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3.xml" ContentType="application/vnd.openxmlformats-officedocument.spreadsheetml.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pivotTables/pivotTable6.xml" ContentType="application/vnd.openxmlformats-officedocument.spreadsheetml.pivotTable+xml"/>
  <Override PartName="/xl/pivotTables/pivotTable7.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borusg.sharepoint.com/team_sites/galileo/Shared Documents/Affordable Learning Georgia (ALG)/Data and Reporting/Data Center Sp2021/"/>
    </mc:Choice>
  </mc:AlternateContent>
  <xr:revisionPtr revIDLastSave="115" documentId="8_{F070B8C3-73E0-4AA7-B8E0-70DBD565C880}" xr6:coauthVersionLast="46" xr6:coauthVersionMax="46" xr10:uidLastSave="{A5AD4EC8-D039-48D3-A066-710D58896B20}"/>
  <bookViews>
    <workbookView xWindow="-120" yWindow="-120" windowWidth="29040" windowHeight="15840" firstSheet="1" activeTab="1" xr2:uid="{00000000-000D-0000-FFFF-FFFF00000000}"/>
  </bookViews>
  <sheets>
    <sheet name="Savings Tables" sheetId="7" r:id="rId1"/>
    <sheet name="Grants Data" sheetId="1" r:id="rId2"/>
    <sheet name="By Fiscal Year" sheetId="12" r:id="rId3"/>
    <sheet name="SC4 Pivot" sheetId="13" r:id="rId4"/>
    <sheet name="Institution Ranks" sheetId="8" r:id="rId5"/>
    <sheet name="Designator Summary" sheetId="9" r:id="rId6"/>
    <sheet name="eCore Savings Data" sheetId="4" r:id="rId7"/>
    <sheet name="Data Types" sheetId="3" r:id="rId8"/>
  </sheets>
  <calcPr calcId="191029"/>
  <pivotCaches>
    <pivotCache cacheId="0" r:id="rId9"/>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9" l="1"/>
  <c r="H4" i="9"/>
  <c r="H5" i="9"/>
  <c r="H6" i="9"/>
  <c r="H7" i="9"/>
  <c r="H8" i="9"/>
  <c r="H9" i="9"/>
  <c r="H10" i="9"/>
  <c r="H11" i="9"/>
  <c r="H12" i="9"/>
  <c r="H13" i="9"/>
  <c r="H14" i="9"/>
  <c r="H15" i="9"/>
  <c r="H16" i="9"/>
  <c r="H17" i="9"/>
  <c r="H18" i="9"/>
  <c r="H19" i="9"/>
  <c r="H20" i="9"/>
  <c r="H21" i="9"/>
  <c r="H22" i="9"/>
  <c r="H23" i="9"/>
  <c r="H24" i="9"/>
  <c r="H25" i="9"/>
  <c r="H26" i="9"/>
  <c r="H27" i="9"/>
  <c r="H2" i="9"/>
  <c r="G3" i="9"/>
  <c r="G4" i="9"/>
  <c r="G5" i="9"/>
  <c r="G6" i="9"/>
  <c r="G7" i="9"/>
  <c r="G8" i="9"/>
  <c r="G9" i="9"/>
  <c r="G10" i="9"/>
  <c r="G11" i="9"/>
  <c r="G12" i="9"/>
  <c r="G13" i="9"/>
  <c r="G14" i="9"/>
  <c r="G15" i="9"/>
  <c r="G16" i="9"/>
  <c r="G17" i="9"/>
  <c r="G18" i="9"/>
  <c r="G19" i="9"/>
  <c r="G20" i="9"/>
  <c r="G21" i="9"/>
  <c r="G22" i="9"/>
  <c r="G23" i="9"/>
  <c r="G24" i="9"/>
  <c r="G25" i="9"/>
  <c r="G26" i="9"/>
  <c r="G27" i="9"/>
  <c r="G2" i="9"/>
  <c r="F3" i="9"/>
  <c r="F4" i="9"/>
  <c r="F5" i="9"/>
  <c r="F6" i="9"/>
  <c r="F7" i="9"/>
  <c r="F8" i="9"/>
  <c r="F9" i="9"/>
  <c r="F10" i="9"/>
  <c r="F11" i="9"/>
  <c r="F12" i="9"/>
  <c r="F13" i="9"/>
  <c r="F14" i="9"/>
  <c r="F15" i="9"/>
  <c r="F16" i="9"/>
  <c r="F17" i="9"/>
  <c r="F18" i="9"/>
  <c r="F19" i="9"/>
  <c r="F20" i="9"/>
  <c r="F21" i="9"/>
  <c r="F22" i="9"/>
  <c r="F23" i="9"/>
  <c r="F24" i="9"/>
  <c r="F25" i="9"/>
  <c r="F26" i="9"/>
  <c r="F27" i="9"/>
  <c r="F2" i="9"/>
  <c r="E3" i="9"/>
  <c r="E4" i="9"/>
  <c r="E5" i="9"/>
  <c r="E6" i="9"/>
  <c r="E7" i="9"/>
  <c r="E8" i="9"/>
  <c r="E9" i="9"/>
  <c r="E10" i="9"/>
  <c r="E11" i="9"/>
  <c r="E12" i="9"/>
  <c r="E13" i="9"/>
  <c r="E14" i="9"/>
  <c r="E15" i="9"/>
  <c r="E16" i="9"/>
  <c r="E17" i="9"/>
  <c r="E18" i="9"/>
  <c r="E19" i="9"/>
  <c r="E20" i="9"/>
  <c r="E21" i="9"/>
  <c r="E22" i="9"/>
  <c r="E23" i="9"/>
  <c r="E24" i="9"/>
  <c r="E25" i="9"/>
  <c r="E26" i="9"/>
  <c r="E27" i="9"/>
  <c r="E2" i="9"/>
  <c r="D27" i="9"/>
  <c r="D3" i="9"/>
  <c r="D4" i="9"/>
  <c r="D5" i="9"/>
  <c r="D6" i="9"/>
  <c r="D7" i="9"/>
  <c r="D8" i="9"/>
  <c r="D9" i="9"/>
  <c r="D10" i="9"/>
  <c r="D11" i="9"/>
  <c r="D12" i="9"/>
  <c r="D13" i="9"/>
  <c r="D14" i="9"/>
  <c r="D15" i="9"/>
  <c r="D16" i="9"/>
  <c r="D17" i="9"/>
  <c r="D18" i="9"/>
  <c r="D19" i="9"/>
  <c r="D20" i="9"/>
  <c r="D21" i="9"/>
  <c r="D22" i="9"/>
  <c r="D23" i="9"/>
  <c r="D24" i="9"/>
  <c r="D25" i="9"/>
  <c r="D26" i="9"/>
  <c r="C3" i="9"/>
  <c r="C4" i="9"/>
  <c r="C5" i="9"/>
  <c r="C6" i="9"/>
  <c r="C7" i="9"/>
  <c r="C8" i="9"/>
  <c r="C9" i="9"/>
  <c r="C10" i="9"/>
  <c r="C11" i="9"/>
  <c r="C12" i="9"/>
  <c r="C13" i="9"/>
  <c r="C14" i="9"/>
  <c r="C15" i="9"/>
  <c r="C16" i="9"/>
  <c r="C17" i="9"/>
  <c r="C18" i="9"/>
  <c r="C19" i="9"/>
  <c r="C20" i="9"/>
  <c r="C21" i="9"/>
  <c r="C22" i="9"/>
  <c r="C23" i="9"/>
  <c r="C24" i="9"/>
  <c r="C25" i="9"/>
  <c r="C26" i="9"/>
  <c r="C27" i="9"/>
  <c r="D2" i="9"/>
  <c r="C2" i="9"/>
  <c r="P3" i="9"/>
  <c r="P4" i="9"/>
  <c r="P5" i="9"/>
  <c r="P6" i="9"/>
  <c r="P7" i="9"/>
  <c r="P8" i="9"/>
  <c r="P9" i="9"/>
  <c r="P10" i="9"/>
  <c r="P11" i="9"/>
  <c r="P12" i="9"/>
  <c r="P13" i="9"/>
  <c r="P14" i="9"/>
  <c r="P15" i="9"/>
  <c r="P16" i="9"/>
  <c r="P17" i="9"/>
  <c r="P18" i="9"/>
  <c r="P19" i="9"/>
  <c r="P20" i="9"/>
  <c r="P21" i="9"/>
  <c r="P22" i="9"/>
  <c r="P23" i="9"/>
  <c r="P24" i="9"/>
  <c r="P25" i="9"/>
  <c r="P26" i="9"/>
  <c r="P27" i="9"/>
  <c r="P2" i="9"/>
  <c r="HV27" i="9"/>
  <c r="HS27" i="9"/>
  <c r="HI27" i="9"/>
  <c r="IA27" i="9" s="1"/>
  <c r="HH27" i="9"/>
  <c r="HZ27" i="9" s="1"/>
  <c r="HG27" i="9"/>
  <c r="HF27" i="9"/>
  <c r="HX27" i="9" s="1"/>
  <c r="HE27" i="9"/>
  <c r="HW27" i="9" s="1"/>
  <c r="HB27" i="9"/>
  <c r="HA27" i="9"/>
  <c r="GZ27" i="9"/>
  <c r="GY27" i="9"/>
  <c r="GX27" i="9"/>
  <c r="GW27" i="9"/>
  <c r="GT27" i="9"/>
  <c r="GL27" i="9"/>
  <c r="GK27" i="9"/>
  <c r="GJ27" i="9"/>
  <c r="GI27" i="9"/>
  <c r="GH27" i="9"/>
  <c r="GG27" i="9"/>
  <c r="GD27" i="9"/>
  <c r="FQ27" i="9"/>
  <c r="FM27" i="9"/>
  <c r="FV27" i="9" s="1"/>
  <c r="FL27" i="9"/>
  <c r="FU27" i="9" s="1"/>
  <c r="FK27" i="9"/>
  <c r="FT27" i="9" s="1"/>
  <c r="FJ27" i="9"/>
  <c r="FS27" i="9" s="1"/>
  <c r="FI27" i="9"/>
  <c r="FR27" i="9" s="1"/>
  <c r="FF27" i="9"/>
  <c r="FE27" i="9"/>
  <c r="FD27" i="9"/>
  <c r="FC27" i="9"/>
  <c r="FB27" i="9"/>
  <c r="FA27" i="9"/>
  <c r="EX27" i="9"/>
  <c r="EP27" i="9"/>
  <c r="EO27" i="9"/>
  <c r="EN27" i="9"/>
  <c r="EM27" i="9"/>
  <c r="EL27" i="9"/>
  <c r="EK27" i="9"/>
  <c r="EH27" i="9"/>
  <c r="DZ27" i="9"/>
  <c r="DR27" i="9"/>
  <c r="DE27" i="9"/>
  <c r="DC27" i="9"/>
  <c r="DB27" i="9"/>
  <c r="DA27" i="9"/>
  <c r="CZ27" i="9"/>
  <c r="CY27" i="9"/>
  <c r="CX27" i="9"/>
  <c r="CV27" i="9"/>
  <c r="CU27" i="9"/>
  <c r="CT27" i="9"/>
  <c r="CS27" i="9"/>
  <c r="CR27" i="9"/>
  <c r="CQ27" i="9"/>
  <c r="CJ27" i="9"/>
  <c r="CH27" i="9"/>
  <c r="CG27" i="9"/>
  <c r="CF27" i="9"/>
  <c r="CE27" i="9"/>
  <c r="CD27" i="9"/>
  <c r="CC27" i="9"/>
  <c r="CA27" i="9"/>
  <c r="BZ27" i="9"/>
  <c r="BY27" i="9"/>
  <c r="BX27" i="9"/>
  <c r="BW27" i="9"/>
  <c r="BV27" i="9"/>
  <c r="BT27" i="9"/>
  <c r="DJ27" i="9" s="1"/>
  <c r="BS27" i="9"/>
  <c r="DI27" i="9" s="1"/>
  <c r="BR27" i="9"/>
  <c r="DH27" i="9" s="1"/>
  <c r="BQ27" i="9"/>
  <c r="DG27" i="9" s="1"/>
  <c r="BP27" i="9"/>
  <c r="DF27" i="9" s="1"/>
  <c r="AY27" i="9"/>
  <c r="CO27" i="9" s="1"/>
  <c r="AX27" i="9"/>
  <c r="CN27" i="9" s="1"/>
  <c r="AW27" i="9"/>
  <c r="CM27" i="9" s="1"/>
  <c r="AV27" i="9"/>
  <c r="CL27" i="9" s="1"/>
  <c r="AU27" i="9"/>
  <c r="CK27" i="9" s="1"/>
  <c r="HV26" i="9"/>
  <c r="HS26" i="9"/>
  <c r="HI26" i="9"/>
  <c r="IA26" i="9" s="1"/>
  <c r="HH26" i="9"/>
  <c r="HZ26" i="9" s="1"/>
  <c r="HG26" i="9"/>
  <c r="HY26" i="9" s="1"/>
  <c r="HF26" i="9"/>
  <c r="HX26" i="9" s="1"/>
  <c r="HE26" i="9"/>
  <c r="HB26" i="9"/>
  <c r="HA26" i="9"/>
  <c r="GZ26" i="9"/>
  <c r="GY26" i="9"/>
  <c r="GX26" i="9"/>
  <c r="GW26" i="9"/>
  <c r="GT26" i="9"/>
  <c r="GL26" i="9"/>
  <c r="GK26" i="9"/>
  <c r="GJ26" i="9"/>
  <c r="GI26" i="9"/>
  <c r="GH26" i="9"/>
  <c r="GG26" i="9"/>
  <c r="GD26" i="9"/>
  <c r="FQ26" i="9"/>
  <c r="FM26" i="9"/>
  <c r="FV26" i="9" s="1"/>
  <c r="FL26" i="9"/>
  <c r="FU26" i="9" s="1"/>
  <c r="FK26" i="9"/>
  <c r="FT26" i="9" s="1"/>
  <c r="FJ26" i="9"/>
  <c r="FS26" i="9" s="1"/>
  <c r="FI26" i="9"/>
  <c r="FR26" i="9" s="1"/>
  <c r="FF26" i="9"/>
  <c r="FE26" i="9"/>
  <c r="FD26" i="9"/>
  <c r="FC26" i="9"/>
  <c r="FB26" i="9"/>
  <c r="FA26" i="9"/>
  <c r="EX26" i="9"/>
  <c r="EP26" i="9"/>
  <c r="EO26" i="9"/>
  <c r="EN26" i="9"/>
  <c r="EM26" i="9"/>
  <c r="EL26" i="9"/>
  <c r="EK26" i="9"/>
  <c r="EH26" i="9"/>
  <c r="DZ26" i="9"/>
  <c r="HT26" i="9" s="1"/>
  <c r="DR26" i="9"/>
  <c r="DE26" i="9"/>
  <c r="DC26" i="9"/>
  <c r="DB26" i="9"/>
  <c r="DA26" i="9"/>
  <c r="CZ26" i="9"/>
  <c r="CY26" i="9"/>
  <c r="CX26" i="9"/>
  <c r="CV26" i="9"/>
  <c r="CU26" i="9"/>
  <c r="CT26" i="9"/>
  <c r="CS26" i="9"/>
  <c r="CR26" i="9"/>
  <c r="CQ26" i="9"/>
  <c r="CJ26" i="9"/>
  <c r="CH26" i="9"/>
  <c r="CG26" i="9"/>
  <c r="CF26" i="9"/>
  <c r="CE26" i="9"/>
  <c r="CD26" i="9"/>
  <c r="CC26" i="9"/>
  <c r="CA26" i="9"/>
  <c r="BZ26" i="9"/>
  <c r="BY26" i="9"/>
  <c r="BX26" i="9"/>
  <c r="BW26" i="9"/>
  <c r="BV26" i="9"/>
  <c r="BT26" i="9"/>
  <c r="DJ26" i="9" s="1"/>
  <c r="BS26" i="9"/>
  <c r="DI26" i="9" s="1"/>
  <c r="BR26" i="9"/>
  <c r="DH26" i="9" s="1"/>
  <c r="BQ26" i="9"/>
  <c r="DG26" i="9" s="1"/>
  <c r="BP26" i="9"/>
  <c r="DF26" i="9" s="1"/>
  <c r="AY26" i="9"/>
  <c r="CO26" i="9" s="1"/>
  <c r="AX26" i="9"/>
  <c r="CN26" i="9" s="1"/>
  <c r="AW26" i="9"/>
  <c r="CM26" i="9" s="1"/>
  <c r="AV26" i="9"/>
  <c r="CL26" i="9" s="1"/>
  <c r="AU26" i="9"/>
  <c r="CK26" i="9" s="1"/>
  <c r="HV25" i="9"/>
  <c r="HS25" i="9"/>
  <c r="HI25" i="9"/>
  <c r="IA25" i="9" s="1"/>
  <c r="HH25" i="9"/>
  <c r="HZ25" i="9" s="1"/>
  <c r="HG25" i="9"/>
  <c r="HY25" i="9" s="1"/>
  <c r="HF25" i="9"/>
  <c r="HX25" i="9" s="1"/>
  <c r="HE25" i="9"/>
  <c r="HW25" i="9" s="1"/>
  <c r="HB25" i="9"/>
  <c r="HA25" i="9"/>
  <c r="GZ25" i="9"/>
  <c r="GY25" i="9"/>
  <c r="GX25" i="9"/>
  <c r="GW25" i="9"/>
  <c r="GT25" i="9"/>
  <c r="GL25" i="9"/>
  <c r="GK25" i="9"/>
  <c r="GJ25" i="9"/>
  <c r="GI25" i="9"/>
  <c r="GH25" i="9"/>
  <c r="GG25" i="9"/>
  <c r="GD25" i="9"/>
  <c r="FQ25" i="9"/>
  <c r="FM25" i="9"/>
  <c r="FV25" i="9" s="1"/>
  <c r="FL25" i="9"/>
  <c r="FU25" i="9" s="1"/>
  <c r="FK25" i="9"/>
  <c r="FT25" i="9" s="1"/>
  <c r="FJ25" i="9"/>
  <c r="FS25" i="9" s="1"/>
  <c r="FI25" i="9"/>
  <c r="FR25" i="9" s="1"/>
  <c r="FF25" i="9"/>
  <c r="FE25" i="9"/>
  <c r="FD25" i="9"/>
  <c r="FC25" i="9"/>
  <c r="FB25" i="9"/>
  <c r="FA25" i="9"/>
  <c r="EX25" i="9"/>
  <c r="EP25" i="9"/>
  <c r="EO25" i="9"/>
  <c r="EN25" i="9"/>
  <c r="EM25" i="9"/>
  <c r="EL25" i="9"/>
  <c r="EK25" i="9"/>
  <c r="EH25" i="9"/>
  <c r="DZ25" i="9"/>
  <c r="DR25" i="9"/>
  <c r="DE25" i="9"/>
  <c r="DC25" i="9"/>
  <c r="DB25" i="9"/>
  <c r="DA25" i="9"/>
  <c r="CZ25" i="9"/>
  <c r="CY25" i="9"/>
  <c r="CX25" i="9"/>
  <c r="CV25" i="9"/>
  <c r="CU25" i="9"/>
  <c r="CT25" i="9"/>
  <c r="CS25" i="9"/>
  <c r="CR25" i="9"/>
  <c r="CQ25" i="9"/>
  <c r="CJ25" i="9"/>
  <c r="CH25" i="9"/>
  <c r="CG25" i="9"/>
  <c r="CF25" i="9"/>
  <c r="CE25" i="9"/>
  <c r="CD25" i="9"/>
  <c r="CC25" i="9"/>
  <c r="CA25" i="9"/>
  <c r="BZ25" i="9"/>
  <c r="BY25" i="9"/>
  <c r="BX25" i="9"/>
  <c r="BW25" i="9"/>
  <c r="BV25" i="9"/>
  <c r="BT25" i="9"/>
  <c r="DJ25" i="9" s="1"/>
  <c r="BS25" i="9"/>
  <c r="DI25" i="9" s="1"/>
  <c r="BR25" i="9"/>
  <c r="DH25" i="9" s="1"/>
  <c r="BQ25" i="9"/>
  <c r="DG25" i="9" s="1"/>
  <c r="BP25" i="9"/>
  <c r="DF25" i="9" s="1"/>
  <c r="AY25" i="9"/>
  <c r="CO25" i="9" s="1"/>
  <c r="AX25" i="9"/>
  <c r="CN25" i="9" s="1"/>
  <c r="AW25" i="9"/>
  <c r="CM25" i="9" s="1"/>
  <c r="AV25" i="9"/>
  <c r="CL25" i="9" s="1"/>
  <c r="AU25" i="9"/>
  <c r="CK25" i="9" s="1"/>
  <c r="HV24" i="9"/>
  <c r="HS24" i="9"/>
  <c r="HI24" i="9"/>
  <c r="IA24" i="9" s="1"/>
  <c r="HH24" i="9"/>
  <c r="HZ24" i="9" s="1"/>
  <c r="HG24" i="9"/>
  <c r="HY24" i="9" s="1"/>
  <c r="HF24" i="9"/>
  <c r="HX24" i="9" s="1"/>
  <c r="HE24" i="9"/>
  <c r="HB24" i="9"/>
  <c r="HA24" i="9"/>
  <c r="GZ24" i="9"/>
  <c r="GY24" i="9"/>
  <c r="GX24" i="9"/>
  <c r="GW24" i="9"/>
  <c r="GT24" i="9"/>
  <c r="GL24" i="9"/>
  <c r="GK24" i="9"/>
  <c r="GJ24" i="9"/>
  <c r="GI24" i="9"/>
  <c r="GH24" i="9"/>
  <c r="GG24" i="9"/>
  <c r="GD24" i="9"/>
  <c r="FQ24" i="9"/>
  <c r="FM24" i="9"/>
  <c r="FV24" i="9" s="1"/>
  <c r="FL24" i="9"/>
  <c r="FU24" i="9" s="1"/>
  <c r="FK24" i="9"/>
  <c r="FT24" i="9" s="1"/>
  <c r="FJ24" i="9"/>
  <c r="FS24" i="9" s="1"/>
  <c r="FI24" i="9"/>
  <c r="FR24" i="9" s="1"/>
  <c r="FF24" i="9"/>
  <c r="FE24" i="9"/>
  <c r="FD24" i="9"/>
  <c r="FC24" i="9"/>
  <c r="FB24" i="9"/>
  <c r="FA24" i="9"/>
  <c r="EX24" i="9"/>
  <c r="EP24" i="9"/>
  <c r="EO24" i="9"/>
  <c r="EN24" i="9"/>
  <c r="EM24" i="9"/>
  <c r="EL24" i="9"/>
  <c r="EK24" i="9"/>
  <c r="EH24" i="9"/>
  <c r="DZ24" i="9"/>
  <c r="DR24" i="9"/>
  <c r="DE24" i="9"/>
  <c r="DC24" i="9"/>
  <c r="DB24" i="9"/>
  <c r="DA24" i="9"/>
  <c r="CZ24" i="9"/>
  <c r="CY24" i="9"/>
  <c r="CX24" i="9"/>
  <c r="CV24" i="9"/>
  <c r="CU24" i="9"/>
  <c r="CT24" i="9"/>
  <c r="CS24" i="9"/>
  <c r="CR24" i="9"/>
  <c r="CQ24" i="9"/>
  <c r="CJ24" i="9"/>
  <c r="CH24" i="9"/>
  <c r="CG24" i="9"/>
  <c r="CF24" i="9"/>
  <c r="CE24" i="9"/>
  <c r="CD24" i="9"/>
  <c r="CC24" i="9"/>
  <c r="CA24" i="9"/>
  <c r="BZ24" i="9"/>
  <c r="BY24" i="9"/>
  <c r="BX24" i="9"/>
  <c r="BW24" i="9"/>
  <c r="BV24" i="9"/>
  <c r="BT24" i="9"/>
  <c r="DJ24" i="9" s="1"/>
  <c r="BS24" i="9"/>
  <c r="DI24" i="9" s="1"/>
  <c r="BR24" i="9"/>
  <c r="DH24" i="9" s="1"/>
  <c r="BQ24" i="9"/>
  <c r="DG24" i="9" s="1"/>
  <c r="BP24" i="9"/>
  <c r="DF24" i="9" s="1"/>
  <c r="AY24" i="9"/>
  <c r="CO24" i="9" s="1"/>
  <c r="AX24" i="9"/>
  <c r="CN24" i="9" s="1"/>
  <c r="AW24" i="9"/>
  <c r="CM24" i="9" s="1"/>
  <c r="AV24" i="9"/>
  <c r="CL24" i="9" s="1"/>
  <c r="AU24" i="9"/>
  <c r="CK24" i="9" s="1"/>
  <c r="HV23" i="9"/>
  <c r="HS23" i="9"/>
  <c r="HI23" i="9"/>
  <c r="IA23" i="9" s="1"/>
  <c r="HH23" i="9"/>
  <c r="HZ23" i="9" s="1"/>
  <c r="HG23" i="9"/>
  <c r="HY23" i="9" s="1"/>
  <c r="HF23" i="9"/>
  <c r="HX23" i="9" s="1"/>
  <c r="HE23" i="9"/>
  <c r="HW23" i="9" s="1"/>
  <c r="HB23" i="9"/>
  <c r="HA23" i="9"/>
  <c r="GZ23" i="9"/>
  <c r="GY23" i="9"/>
  <c r="GX23" i="9"/>
  <c r="GW23" i="9"/>
  <c r="GT23" i="9"/>
  <c r="GL23" i="9"/>
  <c r="GK23" i="9"/>
  <c r="GJ23" i="9"/>
  <c r="GI23" i="9"/>
  <c r="GH23" i="9"/>
  <c r="GG23" i="9"/>
  <c r="GD23" i="9"/>
  <c r="FQ23" i="9"/>
  <c r="FM23" i="9"/>
  <c r="FV23" i="9" s="1"/>
  <c r="FL23" i="9"/>
  <c r="FU23" i="9" s="1"/>
  <c r="FK23" i="9"/>
  <c r="FT23" i="9" s="1"/>
  <c r="FJ23" i="9"/>
  <c r="FS23" i="9" s="1"/>
  <c r="FI23" i="9"/>
  <c r="FR23" i="9" s="1"/>
  <c r="FF23" i="9"/>
  <c r="FE23" i="9"/>
  <c r="FD23" i="9"/>
  <c r="FC23" i="9"/>
  <c r="FB23" i="9"/>
  <c r="FA23" i="9"/>
  <c r="EX23" i="9"/>
  <c r="EP23" i="9"/>
  <c r="EO23" i="9"/>
  <c r="EN23" i="9"/>
  <c r="EM23" i="9"/>
  <c r="EL23" i="9"/>
  <c r="EK23" i="9"/>
  <c r="EH23" i="9"/>
  <c r="DZ23" i="9"/>
  <c r="DR23" i="9"/>
  <c r="DE23" i="9"/>
  <c r="DC23" i="9"/>
  <c r="DB23" i="9"/>
  <c r="DA23" i="9"/>
  <c r="CZ23" i="9"/>
  <c r="CY23" i="9"/>
  <c r="CX23" i="9"/>
  <c r="CV23" i="9"/>
  <c r="CU23" i="9"/>
  <c r="CT23" i="9"/>
  <c r="CS23" i="9"/>
  <c r="CR23" i="9"/>
  <c r="CQ23" i="9"/>
  <c r="CJ23" i="9"/>
  <c r="CH23" i="9"/>
  <c r="CG23" i="9"/>
  <c r="CF23" i="9"/>
  <c r="CE23" i="9"/>
  <c r="CD23" i="9"/>
  <c r="CC23" i="9"/>
  <c r="CA23" i="9"/>
  <c r="BZ23" i="9"/>
  <c r="BY23" i="9"/>
  <c r="BX23" i="9"/>
  <c r="BW23" i="9"/>
  <c r="BV23" i="9"/>
  <c r="BT23" i="9"/>
  <c r="DJ23" i="9" s="1"/>
  <c r="BS23" i="9"/>
  <c r="DI23" i="9" s="1"/>
  <c r="BR23" i="9"/>
  <c r="DH23" i="9" s="1"/>
  <c r="BQ23" i="9"/>
  <c r="DG23" i="9" s="1"/>
  <c r="BP23" i="9"/>
  <c r="DF23" i="9" s="1"/>
  <c r="AY23" i="9"/>
  <c r="CO23" i="9" s="1"/>
  <c r="AX23" i="9"/>
  <c r="CN23" i="9" s="1"/>
  <c r="AW23" i="9"/>
  <c r="CM23" i="9" s="1"/>
  <c r="AV23" i="9"/>
  <c r="CL23" i="9" s="1"/>
  <c r="AU23" i="9"/>
  <c r="CK23" i="9" s="1"/>
  <c r="HV22" i="9"/>
  <c r="HS22" i="9"/>
  <c r="HI22" i="9"/>
  <c r="IA22" i="9" s="1"/>
  <c r="HH22" i="9"/>
  <c r="HZ22" i="9" s="1"/>
  <c r="HG22" i="9"/>
  <c r="HY22" i="9" s="1"/>
  <c r="HF22" i="9"/>
  <c r="HX22" i="9" s="1"/>
  <c r="HE22" i="9"/>
  <c r="HB22" i="9"/>
  <c r="HA22" i="9"/>
  <c r="GZ22" i="9"/>
  <c r="GY22" i="9"/>
  <c r="GX22" i="9"/>
  <c r="GW22" i="9"/>
  <c r="GT22" i="9"/>
  <c r="GL22" i="9"/>
  <c r="GK22" i="9"/>
  <c r="GJ22" i="9"/>
  <c r="GI22" i="9"/>
  <c r="GH22" i="9"/>
  <c r="GG22" i="9"/>
  <c r="GD22" i="9"/>
  <c r="FQ22" i="9"/>
  <c r="FM22" i="9"/>
  <c r="FV22" i="9" s="1"/>
  <c r="FL22" i="9"/>
  <c r="FU22" i="9" s="1"/>
  <c r="FK22" i="9"/>
  <c r="FT22" i="9" s="1"/>
  <c r="FJ22" i="9"/>
  <c r="FS22" i="9" s="1"/>
  <c r="FI22" i="9"/>
  <c r="FR22" i="9" s="1"/>
  <c r="FF22" i="9"/>
  <c r="FE22" i="9"/>
  <c r="FD22" i="9"/>
  <c r="FC22" i="9"/>
  <c r="FB22" i="9"/>
  <c r="FA22" i="9"/>
  <c r="EX22" i="9"/>
  <c r="EP22" i="9"/>
  <c r="EO22" i="9"/>
  <c r="EN22" i="9"/>
  <c r="EM22" i="9"/>
  <c r="EL22" i="9"/>
  <c r="EK22" i="9"/>
  <c r="EH22" i="9"/>
  <c r="DZ22" i="9"/>
  <c r="DR22" i="9"/>
  <c r="DE22" i="9"/>
  <c r="DC22" i="9"/>
  <c r="DB22" i="9"/>
  <c r="DA22" i="9"/>
  <c r="CZ22" i="9"/>
  <c r="CY22" i="9"/>
  <c r="CX22" i="9"/>
  <c r="CV22" i="9"/>
  <c r="CU22" i="9"/>
  <c r="CT22" i="9"/>
  <c r="CS22" i="9"/>
  <c r="CR22" i="9"/>
  <c r="CQ22" i="9"/>
  <c r="CJ22" i="9"/>
  <c r="CH22" i="9"/>
  <c r="CG22" i="9"/>
  <c r="CF22" i="9"/>
  <c r="CE22" i="9"/>
  <c r="CD22" i="9"/>
  <c r="CC22" i="9"/>
  <c r="CA22" i="9"/>
  <c r="BZ22" i="9"/>
  <c r="BY22" i="9"/>
  <c r="BX22" i="9"/>
  <c r="BW22" i="9"/>
  <c r="BV22" i="9"/>
  <c r="BT22" i="9"/>
  <c r="DJ22" i="9" s="1"/>
  <c r="BS22" i="9"/>
  <c r="DI22" i="9" s="1"/>
  <c r="BR22" i="9"/>
  <c r="DH22" i="9" s="1"/>
  <c r="BQ22" i="9"/>
  <c r="DG22" i="9" s="1"/>
  <c r="BP22" i="9"/>
  <c r="DF22" i="9" s="1"/>
  <c r="AY22" i="9"/>
  <c r="CO22" i="9" s="1"/>
  <c r="AX22" i="9"/>
  <c r="CN22" i="9" s="1"/>
  <c r="AW22" i="9"/>
  <c r="CM22" i="9" s="1"/>
  <c r="AV22" i="9"/>
  <c r="CL22" i="9" s="1"/>
  <c r="AU22" i="9"/>
  <c r="CK22" i="9" s="1"/>
  <c r="HV21" i="9"/>
  <c r="HS21" i="9"/>
  <c r="HI21" i="9"/>
  <c r="IA21" i="9" s="1"/>
  <c r="HH21" i="9"/>
  <c r="HZ21" i="9" s="1"/>
  <c r="HG21" i="9"/>
  <c r="HY21" i="9" s="1"/>
  <c r="HF21" i="9"/>
  <c r="HX21" i="9" s="1"/>
  <c r="HE21" i="9"/>
  <c r="HW21" i="9" s="1"/>
  <c r="HB21" i="9"/>
  <c r="HA21" i="9"/>
  <c r="GZ21" i="9"/>
  <c r="GY21" i="9"/>
  <c r="GX21" i="9"/>
  <c r="GW21" i="9"/>
  <c r="GT21" i="9"/>
  <c r="GL21" i="9"/>
  <c r="GK21" i="9"/>
  <c r="GJ21" i="9"/>
  <c r="GI21" i="9"/>
  <c r="GH21" i="9"/>
  <c r="GG21" i="9"/>
  <c r="GD21" i="9"/>
  <c r="FQ21" i="9"/>
  <c r="FM21" i="9"/>
  <c r="FV21" i="9" s="1"/>
  <c r="FL21" i="9"/>
  <c r="FU21" i="9" s="1"/>
  <c r="FK21" i="9"/>
  <c r="FT21" i="9" s="1"/>
  <c r="FJ21" i="9"/>
  <c r="FS21" i="9" s="1"/>
  <c r="FI21" i="9"/>
  <c r="FF21" i="9"/>
  <c r="FE21" i="9"/>
  <c r="FD21" i="9"/>
  <c r="FC21" i="9"/>
  <c r="FB21" i="9"/>
  <c r="FA21" i="9"/>
  <c r="EX21" i="9"/>
  <c r="EP21" i="9"/>
  <c r="EO21" i="9"/>
  <c r="EN21" i="9"/>
  <c r="EM21" i="9"/>
  <c r="EL21" i="9"/>
  <c r="EK21" i="9"/>
  <c r="EH21" i="9"/>
  <c r="DZ21" i="9"/>
  <c r="DR21" i="9"/>
  <c r="DE21" i="9"/>
  <c r="DC21" i="9"/>
  <c r="DB21" i="9"/>
  <c r="DA21" i="9"/>
  <c r="CZ21" i="9"/>
  <c r="CY21" i="9"/>
  <c r="CX21" i="9"/>
  <c r="CV21" i="9"/>
  <c r="CU21" i="9"/>
  <c r="CT21" i="9"/>
  <c r="CS21" i="9"/>
  <c r="CR21" i="9"/>
  <c r="CQ21" i="9"/>
  <c r="CJ21" i="9"/>
  <c r="CH21" i="9"/>
  <c r="CG21" i="9"/>
  <c r="CF21" i="9"/>
  <c r="CE21" i="9"/>
  <c r="CD21" i="9"/>
  <c r="CC21" i="9"/>
  <c r="CA21" i="9"/>
  <c r="BZ21" i="9"/>
  <c r="BY21" i="9"/>
  <c r="BX21" i="9"/>
  <c r="BW21" i="9"/>
  <c r="BV21" i="9"/>
  <c r="BT21" i="9"/>
  <c r="DJ21" i="9" s="1"/>
  <c r="BS21" i="9"/>
  <c r="DI21" i="9" s="1"/>
  <c r="BR21" i="9"/>
  <c r="DH21" i="9" s="1"/>
  <c r="BQ21" i="9"/>
  <c r="DG21" i="9" s="1"/>
  <c r="BP21" i="9"/>
  <c r="DF21" i="9" s="1"/>
  <c r="AY21" i="9"/>
  <c r="CO21" i="9" s="1"/>
  <c r="AX21" i="9"/>
  <c r="CN21" i="9" s="1"/>
  <c r="AW21" i="9"/>
  <c r="CM21" i="9" s="1"/>
  <c r="AV21" i="9"/>
  <c r="CL21" i="9" s="1"/>
  <c r="AU21" i="9"/>
  <c r="CK21" i="9" s="1"/>
  <c r="HV20" i="9"/>
  <c r="HS20" i="9"/>
  <c r="HI20" i="9"/>
  <c r="IA20" i="9" s="1"/>
  <c r="HH20" i="9"/>
  <c r="HZ20" i="9" s="1"/>
  <c r="HG20" i="9"/>
  <c r="HY20" i="9" s="1"/>
  <c r="HF20" i="9"/>
  <c r="HX20" i="9" s="1"/>
  <c r="HE20" i="9"/>
  <c r="HW20" i="9" s="1"/>
  <c r="HB20" i="9"/>
  <c r="HA20" i="9"/>
  <c r="GZ20" i="9"/>
  <c r="GY20" i="9"/>
  <c r="GX20" i="9"/>
  <c r="GW20" i="9"/>
  <c r="GT20" i="9"/>
  <c r="GL20" i="9"/>
  <c r="GK20" i="9"/>
  <c r="GJ20" i="9"/>
  <c r="GI20" i="9"/>
  <c r="GH20" i="9"/>
  <c r="GG20" i="9"/>
  <c r="GD20" i="9"/>
  <c r="FQ20" i="9"/>
  <c r="FM20" i="9"/>
  <c r="FV20" i="9" s="1"/>
  <c r="FL20" i="9"/>
  <c r="FU20" i="9" s="1"/>
  <c r="FK20" i="9"/>
  <c r="FT20" i="9" s="1"/>
  <c r="FJ20" i="9"/>
  <c r="FS20" i="9" s="1"/>
  <c r="FI20" i="9"/>
  <c r="FR20" i="9" s="1"/>
  <c r="FF20" i="9"/>
  <c r="FE20" i="9"/>
  <c r="FD20" i="9"/>
  <c r="FC20" i="9"/>
  <c r="FB20" i="9"/>
  <c r="FA20" i="9"/>
  <c r="EX20" i="9"/>
  <c r="EP20" i="9"/>
  <c r="EO20" i="9"/>
  <c r="EN20" i="9"/>
  <c r="EM20" i="9"/>
  <c r="EL20" i="9"/>
  <c r="EK20" i="9"/>
  <c r="EH20" i="9"/>
  <c r="DZ20" i="9"/>
  <c r="DR20" i="9"/>
  <c r="DE20" i="9"/>
  <c r="DC20" i="9"/>
  <c r="DB20" i="9"/>
  <c r="DA20" i="9"/>
  <c r="CZ20" i="9"/>
  <c r="CY20" i="9"/>
  <c r="CX20" i="9"/>
  <c r="CV20" i="9"/>
  <c r="CU20" i="9"/>
  <c r="CT20" i="9"/>
  <c r="CS20" i="9"/>
  <c r="CR20" i="9"/>
  <c r="CQ20" i="9"/>
  <c r="CJ20" i="9"/>
  <c r="CH20" i="9"/>
  <c r="CG20" i="9"/>
  <c r="CF20" i="9"/>
  <c r="CE20" i="9"/>
  <c r="CD20" i="9"/>
  <c r="CC20" i="9"/>
  <c r="CA20" i="9"/>
  <c r="BZ20" i="9"/>
  <c r="BY20" i="9"/>
  <c r="BX20" i="9"/>
  <c r="BW20" i="9"/>
  <c r="BV20" i="9"/>
  <c r="BT20" i="9"/>
  <c r="DJ20" i="9" s="1"/>
  <c r="BS20" i="9"/>
  <c r="DI20" i="9" s="1"/>
  <c r="BR20" i="9"/>
  <c r="DH20" i="9" s="1"/>
  <c r="BQ20" i="9"/>
  <c r="DG20" i="9" s="1"/>
  <c r="BP20" i="9"/>
  <c r="DF20" i="9" s="1"/>
  <c r="AY20" i="9"/>
  <c r="CO20" i="9" s="1"/>
  <c r="AX20" i="9"/>
  <c r="CN20" i="9" s="1"/>
  <c r="AW20" i="9"/>
  <c r="CM20" i="9" s="1"/>
  <c r="AV20" i="9"/>
  <c r="CL20" i="9" s="1"/>
  <c r="AU20" i="9"/>
  <c r="CK20" i="9" s="1"/>
  <c r="HV19" i="9"/>
  <c r="HS19" i="9"/>
  <c r="HI19" i="9"/>
  <c r="IA19" i="9" s="1"/>
  <c r="HH19" i="9"/>
  <c r="HZ19" i="9" s="1"/>
  <c r="HG19" i="9"/>
  <c r="HY19" i="9" s="1"/>
  <c r="HF19" i="9"/>
  <c r="HX19" i="9" s="1"/>
  <c r="HE19" i="9"/>
  <c r="HW19" i="9" s="1"/>
  <c r="HB19" i="9"/>
  <c r="HA19" i="9"/>
  <c r="GZ19" i="9"/>
  <c r="GY19" i="9"/>
  <c r="GX19" i="9"/>
  <c r="GW19" i="9"/>
  <c r="GT19" i="9"/>
  <c r="GL19" i="9"/>
  <c r="GK19" i="9"/>
  <c r="GJ19" i="9"/>
  <c r="GI19" i="9"/>
  <c r="GH19" i="9"/>
  <c r="GG19" i="9"/>
  <c r="GD19" i="9"/>
  <c r="FQ19" i="9"/>
  <c r="FM19" i="9"/>
  <c r="FV19" i="9" s="1"/>
  <c r="FL19" i="9"/>
  <c r="FU19" i="9" s="1"/>
  <c r="FK19" i="9"/>
  <c r="FT19" i="9" s="1"/>
  <c r="FJ19" i="9"/>
  <c r="FS19" i="9" s="1"/>
  <c r="FI19" i="9"/>
  <c r="FR19" i="9" s="1"/>
  <c r="FF19" i="9"/>
  <c r="FE19" i="9"/>
  <c r="FD19" i="9"/>
  <c r="FC19" i="9"/>
  <c r="FB19" i="9"/>
  <c r="FA19" i="9"/>
  <c r="EX19" i="9"/>
  <c r="EP19" i="9"/>
  <c r="EO19" i="9"/>
  <c r="EN19" i="9"/>
  <c r="EM19" i="9"/>
  <c r="EL19" i="9"/>
  <c r="EK19" i="9"/>
  <c r="EH19" i="9"/>
  <c r="DZ19" i="9"/>
  <c r="DR19" i="9"/>
  <c r="DE19" i="9"/>
  <c r="DC19" i="9"/>
  <c r="DB19" i="9"/>
  <c r="DA19" i="9"/>
  <c r="CZ19" i="9"/>
  <c r="CY19" i="9"/>
  <c r="CX19" i="9"/>
  <c r="CV19" i="9"/>
  <c r="CU19" i="9"/>
  <c r="CT19" i="9"/>
  <c r="CS19" i="9"/>
  <c r="CR19" i="9"/>
  <c r="CQ19" i="9"/>
  <c r="CJ19" i="9"/>
  <c r="CH19" i="9"/>
  <c r="CG19" i="9"/>
  <c r="CF19" i="9"/>
  <c r="CE19" i="9"/>
  <c r="CD19" i="9"/>
  <c r="CC19" i="9"/>
  <c r="CA19" i="9"/>
  <c r="BZ19" i="9"/>
  <c r="BY19" i="9"/>
  <c r="BX19" i="9"/>
  <c r="BW19" i="9"/>
  <c r="BV19" i="9"/>
  <c r="BT19" i="9"/>
  <c r="DJ19" i="9" s="1"/>
  <c r="BS19" i="9"/>
  <c r="DI19" i="9" s="1"/>
  <c r="BR19" i="9"/>
  <c r="DH19" i="9" s="1"/>
  <c r="BQ19" i="9"/>
  <c r="DG19" i="9" s="1"/>
  <c r="BP19" i="9"/>
  <c r="DF19" i="9" s="1"/>
  <c r="AY19" i="9"/>
  <c r="CO19" i="9" s="1"/>
  <c r="AX19" i="9"/>
  <c r="CN19" i="9" s="1"/>
  <c r="AW19" i="9"/>
  <c r="CM19" i="9" s="1"/>
  <c r="AV19" i="9"/>
  <c r="CL19" i="9" s="1"/>
  <c r="AU19" i="9"/>
  <c r="CK19" i="9" s="1"/>
  <c r="HV18" i="9"/>
  <c r="HS18" i="9"/>
  <c r="HI18" i="9"/>
  <c r="IA18" i="9" s="1"/>
  <c r="HH18" i="9"/>
  <c r="HZ18" i="9" s="1"/>
  <c r="HG18" i="9"/>
  <c r="HY18" i="9" s="1"/>
  <c r="HF18" i="9"/>
  <c r="HX18" i="9" s="1"/>
  <c r="HE18" i="9"/>
  <c r="HW18" i="9" s="1"/>
  <c r="HB18" i="9"/>
  <c r="HA18" i="9"/>
  <c r="GZ18" i="9"/>
  <c r="GY18" i="9"/>
  <c r="GX18" i="9"/>
  <c r="GW18" i="9"/>
  <c r="GT18" i="9"/>
  <c r="GL18" i="9"/>
  <c r="GK18" i="9"/>
  <c r="GJ18" i="9"/>
  <c r="GI18" i="9"/>
  <c r="GH18" i="9"/>
  <c r="GG18" i="9"/>
  <c r="GD18" i="9"/>
  <c r="FQ18" i="9"/>
  <c r="FM18" i="9"/>
  <c r="FV18" i="9" s="1"/>
  <c r="FL18" i="9"/>
  <c r="FU18" i="9" s="1"/>
  <c r="FK18" i="9"/>
  <c r="FT18" i="9" s="1"/>
  <c r="FJ18" i="9"/>
  <c r="FS18" i="9" s="1"/>
  <c r="FI18" i="9"/>
  <c r="FR18" i="9" s="1"/>
  <c r="FF18" i="9"/>
  <c r="FE18" i="9"/>
  <c r="FD18" i="9"/>
  <c r="FC18" i="9"/>
  <c r="FB18" i="9"/>
  <c r="FA18" i="9"/>
  <c r="EX18" i="9"/>
  <c r="EP18" i="9"/>
  <c r="EO18" i="9"/>
  <c r="EN18" i="9"/>
  <c r="EM18" i="9"/>
  <c r="EL18" i="9"/>
  <c r="EK18" i="9"/>
  <c r="EH18" i="9"/>
  <c r="DZ18" i="9"/>
  <c r="HT18" i="9" s="1"/>
  <c r="DR18" i="9"/>
  <c r="DE18" i="9"/>
  <c r="DC18" i="9"/>
  <c r="DB18" i="9"/>
  <c r="DA18" i="9"/>
  <c r="CZ18" i="9"/>
  <c r="CY18" i="9"/>
  <c r="CX18" i="9"/>
  <c r="CV18" i="9"/>
  <c r="CU18" i="9"/>
  <c r="CT18" i="9"/>
  <c r="CS18" i="9"/>
  <c r="CR18" i="9"/>
  <c r="CQ18" i="9"/>
  <c r="CJ18" i="9"/>
  <c r="CH18" i="9"/>
  <c r="CG18" i="9"/>
  <c r="CF18" i="9"/>
  <c r="CE18" i="9"/>
  <c r="CD18" i="9"/>
  <c r="CC18" i="9"/>
  <c r="CA18" i="9"/>
  <c r="BZ18" i="9"/>
  <c r="BY18" i="9"/>
  <c r="BX18" i="9"/>
  <c r="BW18" i="9"/>
  <c r="BV18" i="9"/>
  <c r="BT18" i="9"/>
  <c r="DJ18" i="9" s="1"/>
  <c r="BS18" i="9"/>
  <c r="DI18" i="9" s="1"/>
  <c r="BR18" i="9"/>
  <c r="DH18" i="9" s="1"/>
  <c r="BQ18" i="9"/>
  <c r="DG18" i="9" s="1"/>
  <c r="BP18" i="9"/>
  <c r="DF18" i="9" s="1"/>
  <c r="AY18" i="9"/>
  <c r="CO18" i="9" s="1"/>
  <c r="AX18" i="9"/>
  <c r="CN18" i="9" s="1"/>
  <c r="AW18" i="9"/>
  <c r="CM18" i="9" s="1"/>
  <c r="AV18" i="9"/>
  <c r="CL18" i="9" s="1"/>
  <c r="AU18" i="9"/>
  <c r="CK18" i="9" s="1"/>
  <c r="HV17" i="9"/>
  <c r="HS17" i="9"/>
  <c r="HI17" i="9"/>
  <c r="IA17" i="9" s="1"/>
  <c r="HH17" i="9"/>
  <c r="HZ17" i="9" s="1"/>
  <c r="HG17" i="9"/>
  <c r="HY17" i="9" s="1"/>
  <c r="HF17" i="9"/>
  <c r="HX17" i="9" s="1"/>
  <c r="HE17" i="9"/>
  <c r="HB17" i="9"/>
  <c r="HA17" i="9"/>
  <c r="GZ17" i="9"/>
  <c r="GY17" i="9"/>
  <c r="GX17" i="9"/>
  <c r="GW17" i="9"/>
  <c r="GT17" i="9"/>
  <c r="GL17" i="9"/>
  <c r="GK17" i="9"/>
  <c r="GJ17" i="9"/>
  <c r="GI17" i="9"/>
  <c r="GH17" i="9"/>
  <c r="GG17" i="9"/>
  <c r="GD17" i="9"/>
  <c r="FQ17" i="9"/>
  <c r="FM17" i="9"/>
  <c r="FV17" i="9" s="1"/>
  <c r="FL17" i="9"/>
  <c r="FU17" i="9" s="1"/>
  <c r="FK17" i="9"/>
  <c r="FT17" i="9" s="1"/>
  <c r="FJ17" i="9"/>
  <c r="FS17" i="9" s="1"/>
  <c r="FI17" i="9"/>
  <c r="FF17" i="9"/>
  <c r="FE17" i="9"/>
  <c r="FD17" i="9"/>
  <c r="FC17" i="9"/>
  <c r="FB17" i="9"/>
  <c r="FA17" i="9"/>
  <c r="EX17" i="9"/>
  <c r="EP17" i="9"/>
  <c r="EO17" i="9"/>
  <c r="EN17" i="9"/>
  <c r="EM17" i="9"/>
  <c r="EL17" i="9"/>
  <c r="EK17" i="9"/>
  <c r="EH17" i="9"/>
  <c r="DZ17" i="9"/>
  <c r="DR17" i="9"/>
  <c r="DE17" i="9"/>
  <c r="DC17" i="9"/>
  <c r="DB17" i="9"/>
  <c r="DA17" i="9"/>
  <c r="CZ17" i="9"/>
  <c r="CY17" i="9"/>
  <c r="CX17" i="9"/>
  <c r="CV17" i="9"/>
  <c r="CU17" i="9"/>
  <c r="CT17" i="9"/>
  <c r="CS17" i="9"/>
  <c r="CR17" i="9"/>
  <c r="CQ17" i="9"/>
  <c r="CJ17" i="9"/>
  <c r="CH17" i="9"/>
  <c r="CG17" i="9"/>
  <c r="CF17" i="9"/>
  <c r="CE17" i="9"/>
  <c r="CD17" i="9"/>
  <c r="CC17" i="9"/>
  <c r="CA17" i="9"/>
  <c r="BZ17" i="9"/>
  <c r="BY17" i="9"/>
  <c r="BX17" i="9"/>
  <c r="BW17" i="9"/>
  <c r="BV17" i="9"/>
  <c r="BT17" i="9"/>
  <c r="DJ17" i="9" s="1"/>
  <c r="BS17" i="9"/>
  <c r="DI17" i="9" s="1"/>
  <c r="BR17" i="9"/>
  <c r="DH17" i="9" s="1"/>
  <c r="BQ17" i="9"/>
  <c r="DG17" i="9" s="1"/>
  <c r="BP17" i="9"/>
  <c r="DF17" i="9" s="1"/>
  <c r="AY17" i="9"/>
  <c r="CO17" i="9" s="1"/>
  <c r="AX17" i="9"/>
  <c r="CN17" i="9" s="1"/>
  <c r="AW17" i="9"/>
  <c r="CM17" i="9" s="1"/>
  <c r="AV17" i="9"/>
  <c r="CL17" i="9" s="1"/>
  <c r="AU17" i="9"/>
  <c r="CK17" i="9" s="1"/>
  <c r="HV16" i="9"/>
  <c r="HS16" i="9"/>
  <c r="HI16" i="9"/>
  <c r="IA16" i="9" s="1"/>
  <c r="HH16" i="9"/>
  <c r="HZ16" i="9" s="1"/>
  <c r="HG16" i="9"/>
  <c r="HY16" i="9" s="1"/>
  <c r="HF16" i="9"/>
  <c r="HX16" i="9" s="1"/>
  <c r="HE16" i="9"/>
  <c r="HW16" i="9" s="1"/>
  <c r="HB16" i="9"/>
  <c r="HA16" i="9"/>
  <c r="GZ16" i="9"/>
  <c r="GY16" i="9"/>
  <c r="GX16" i="9"/>
  <c r="GW16" i="9"/>
  <c r="GT16" i="9"/>
  <c r="GL16" i="9"/>
  <c r="GK16" i="9"/>
  <c r="GJ16" i="9"/>
  <c r="GI16" i="9"/>
  <c r="GH16" i="9"/>
  <c r="GG16" i="9"/>
  <c r="GD16" i="9"/>
  <c r="FQ16" i="9"/>
  <c r="FM16" i="9"/>
  <c r="FV16" i="9" s="1"/>
  <c r="FL16" i="9"/>
  <c r="FU16" i="9" s="1"/>
  <c r="FK16" i="9"/>
  <c r="FJ16" i="9"/>
  <c r="FS16" i="9" s="1"/>
  <c r="FI16" i="9"/>
  <c r="FR16" i="9" s="1"/>
  <c r="FF16" i="9"/>
  <c r="FE16" i="9"/>
  <c r="FD16" i="9"/>
  <c r="FC16" i="9"/>
  <c r="FB16" i="9"/>
  <c r="FA16" i="9"/>
  <c r="EX16" i="9"/>
  <c r="EP16" i="9"/>
  <c r="EO16" i="9"/>
  <c r="EN16" i="9"/>
  <c r="EM16" i="9"/>
  <c r="EL16" i="9"/>
  <c r="EK16" i="9"/>
  <c r="EH16" i="9"/>
  <c r="DZ16" i="9"/>
  <c r="DR16" i="9"/>
  <c r="DE16" i="9"/>
  <c r="DC16" i="9"/>
  <c r="DB16" i="9"/>
  <c r="DA16" i="9"/>
  <c r="CZ16" i="9"/>
  <c r="CY16" i="9"/>
  <c r="CX16" i="9"/>
  <c r="CV16" i="9"/>
  <c r="CU16" i="9"/>
  <c r="CT16" i="9"/>
  <c r="CS16" i="9"/>
  <c r="CR16" i="9"/>
  <c r="CQ16" i="9"/>
  <c r="CJ16" i="9"/>
  <c r="CH16" i="9"/>
  <c r="CG16" i="9"/>
  <c r="CF16" i="9"/>
  <c r="CE16" i="9"/>
  <c r="CD16" i="9"/>
  <c r="CC16" i="9"/>
  <c r="CA16" i="9"/>
  <c r="BZ16" i="9"/>
  <c r="BY16" i="9"/>
  <c r="BX16" i="9"/>
  <c r="BW16" i="9"/>
  <c r="BV16" i="9"/>
  <c r="BT16" i="9"/>
  <c r="DJ16" i="9" s="1"/>
  <c r="BS16" i="9"/>
  <c r="DI16" i="9" s="1"/>
  <c r="BR16" i="9"/>
  <c r="DH16" i="9" s="1"/>
  <c r="BQ16" i="9"/>
  <c r="DG16" i="9" s="1"/>
  <c r="BP16" i="9"/>
  <c r="DF16" i="9" s="1"/>
  <c r="AY16" i="9"/>
  <c r="CO16" i="9" s="1"/>
  <c r="AX16" i="9"/>
  <c r="CN16" i="9" s="1"/>
  <c r="AW16" i="9"/>
  <c r="CM16" i="9" s="1"/>
  <c r="AV16" i="9"/>
  <c r="CL16" i="9" s="1"/>
  <c r="AU16" i="9"/>
  <c r="CK16" i="9" s="1"/>
  <c r="HV15" i="9"/>
  <c r="HS15" i="9"/>
  <c r="HI15" i="9"/>
  <c r="IA15" i="9" s="1"/>
  <c r="HH15" i="9"/>
  <c r="HZ15" i="9" s="1"/>
  <c r="HG15" i="9"/>
  <c r="HY15" i="9" s="1"/>
  <c r="HF15" i="9"/>
  <c r="HX15" i="9" s="1"/>
  <c r="HE15" i="9"/>
  <c r="HW15" i="9" s="1"/>
  <c r="HB15" i="9"/>
  <c r="HA15" i="9"/>
  <c r="GZ15" i="9"/>
  <c r="GY15" i="9"/>
  <c r="GX15" i="9"/>
  <c r="GW15" i="9"/>
  <c r="GT15" i="9"/>
  <c r="GL15" i="9"/>
  <c r="GK15" i="9"/>
  <c r="GJ15" i="9"/>
  <c r="GI15" i="9"/>
  <c r="GH15" i="9"/>
  <c r="GG15" i="9"/>
  <c r="GD15" i="9"/>
  <c r="FQ15" i="9"/>
  <c r="FM15" i="9"/>
  <c r="FV15" i="9" s="1"/>
  <c r="FL15" i="9"/>
  <c r="FU15" i="9" s="1"/>
  <c r="FK15" i="9"/>
  <c r="FT15" i="9" s="1"/>
  <c r="FJ15" i="9"/>
  <c r="FS15" i="9" s="1"/>
  <c r="FI15" i="9"/>
  <c r="FR15" i="9" s="1"/>
  <c r="FF15" i="9"/>
  <c r="FE15" i="9"/>
  <c r="FD15" i="9"/>
  <c r="FC15" i="9"/>
  <c r="FB15" i="9"/>
  <c r="FA15" i="9"/>
  <c r="EX15" i="9"/>
  <c r="EP15" i="9"/>
  <c r="EO15" i="9"/>
  <c r="EN15" i="9"/>
  <c r="EM15" i="9"/>
  <c r="EL15" i="9"/>
  <c r="EK15" i="9"/>
  <c r="EH15" i="9"/>
  <c r="DZ15" i="9"/>
  <c r="DR15" i="9"/>
  <c r="DE15" i="9"/>
  <c r="DC15" i="9"/>
  <c r="DB15" i="9"/>
  <c r="DA15" i="9"/>
  <c r="CZ15" i="9"/>
  <c r="CY15" i="9"/>
  <c r="CX15" i="9"/>
  <c r="CV15" i="9"/>
  <c r="CU15" i="9"/>
  <c r="CT15" i="9"/>
  <c r="CS15" i="9"/>
  <c r="CR15" i="9"/>
  <c r="CQ15" i="9"/>
  <c r="CJ15" i="9"/>
  <c r="CH15" i="9"/>
  <c r="CG15" i="9"/>
  <c r="CF15" i="9"/>
  <c r="CE15" i="9"/>
  <c r="CD15" i="9"/>
  <c r="CC15" i="9"/>
  <c r="CA15" i="9"/>
  <c r="BZ15" i="9"/>
  <c r="BY15" i="9"/>
  <c r="BX15" i="9"/>
  <c r="BW15" i="9"/>
  <c r="BV15" i="9"/>
  <c r="BT15" i="9"/>
  <c r="DJ15" i="9" s="1"/>
  <c r="BS15" i="9"/>
  <c r="DI15" i="9" s="1"/>
  <c r="BR15" i="9"/>
  <c r="DH15" i="9" s="1"/>
  <c r="BQ15" i="9"/>
  <c r="DG15" i="9" s="1"/>
  <c r="BP15" i="9"/>
  <c r="DF15" i="9" s="1"/>
  <c r="AY15" i="9"/>
  <c r="CO15" i="9" s="1"/>
  <c r="AX15" i="9"/>
  <c r="CN15" i="9" s="1"/>
  <c r="AW15" i="9"/>
  <c r="CM15" i="9" s="1"/>
  <c r="AV15" i="9"/>
  <c r="CL15" i="9" s="1"/>
  <c r="AU15" i="9"/>
  <c r="CK15" i="9" s="1"/>
  <c r="HV14" i="9"/>
  <c r="HS14" i="9"/>
  <c r="HI14" i="9"/>
  <c r="IA14" i="9" s="1"/>
  <c r="HH14" i="9"/>
  <c r="HZ14" i="9" s="1"/>
  <c r="HG14" i="9"/>
  <c r="HY14" i="9" s="1"/>
  <c r="HF14" i="9"/>
  <c r="HX14" i="9" s="1"/>
  <c r="HE14" i="9"/>
  <c r="HW14" i="9" s="1"/>
  <c r="HB14" i="9"/>
  <c r="HA14" i="9"/>
  <c r="GZ14" i="9"/>
  <c r="GY14" i="9"/>
  <c r="GX14" i="9"/>
  <c r="GW14" i="9"/>
  <c r="GT14" i="9"/>
  <c r="GL14" i="9"/>
  <c r="GK14" i="9"/>
  <c r="GJ14" i="9"/>
  <c r="GI14" i="9"/>
  <c r="GH14" i="9"/>
  <c r="GG14" i="9"/>
  <c r="GD14" i="9"/>
  <c r="FQ14" i="9"/>
  <c r="FM14" i="9"/>
  <c r="FV14" i="9" s="1"/>
  <c r="FL14" i="9"/>
  <c r="FK14" i="9"/>
  <c r="FT14" i="9" s="1"/>
  <c r="FJ14" i="9"/>
  <c r="FS14" i="9" s="1"/>
  <c r="FI14" i="9"/>
  <c r="FR14" i="9" s="1"/>
  <c r="FF14" i="9"/>
  <c r="FE14" i="9"/>
  <c r="FD14" i="9"/>
  <c r="FC14" i="9"/>
  <c r="FB14" i="9"/>
  <c r="FA14" i="9"/>
  <c r="EX14" i="9"/>
  <c r="EP14" i="9"/>
  <c r="EO14" i="9"/>
  <c r="EN14" i="9"/>
  <c r="EM14" i="9"/>
  <c r="EL14" i="9"/>
  <c r="EK14" i="9"/>
  <c r="EH14" i="9"/>
  <c r="DZ14" i="9"/>
  <c r="DR14" i="9"/>
  <c r="DE14" i="9"/>
  <c r="DC14" i="9"/>
  <c r="DB14" i="9"/>
  <c r="DA14" i="9"/>
  <c r="CZ14" i="9"/>
  <c r="CY14" i="9"/>
  <c r="CX14" i="9"/>
  <c r="CV14" i="9"/>
  <c r="CU14" i="9"/>
  <c r="CT14" i="9"/>
  <c r="CS14" i="9"/>
  <c r="CR14" i="9"/>
  <c r="CQ14" i="9"/>
  <c r="CJ14" i="9"/>
  <c r="CH14" i="9"/>
  <c r="CG14" i="9"/>
  <c r="CF14" i="9"/>
  <c r="CE14" i="9"/>
  <c r="CD14" i="9"/>
  <c r="CC14" i="9"/>
  <c r="CA14" i="9"/>
  <c r="BZ14" i="9"/>
  <c r="BY14" i="9"/>
  <c r="BX14" i="9"/>
  <c r="BW14" i="9"/>
  <c r="BV14" i="9"/>
  <c r="BT14" i="9"/>
  <c r="DJ14" i="9" s="1"/>
  <c r="BS14" i="9"/>
  <c r="DI14" i="9" s="1"/>
  <c r="BR14" i="9"/>
  <c r="DH14" i="9" s="1"/>
  <c r="BQ14" i="9"/>
  <c r="DG14" i="9" s="1"/>
  <c r="BP14" i="9"/>
  <c r="DF14" i="9" s="1"/>
  <c r="AY14" i="9"/>
  <c r="CO14" i="9" s="1"/>
  <c r="AX14" i="9"/>
  <c r="CN14" i="9" s="1"/>
  <c r="AW14" i="9"/>
  <c r="CM14" i="9" s="1"/>
  <c r="AV14" i="9"/>
  <c r="CL14" i="9" s="1"/>
  <c r="AU14" i="9"/>
  <c r="CK14" i="9" s="1"/>
  <c r="HV13" i="9"/>
  <c r="HS13" i="9"/>
  <c r="HI13" i="9"/>
  <c r="IA13" i="9" s="1"/>
  <c r="HH13" i="9"/>
  <c r="HZ13" i="9" s="1"/>
  <c r="HG13" i="9"/>
  <c r="HY13" i="9" s="1"/>
  <c r="HF13" i="9"/>
  <c r="HE13" i="9"/>
  <c r="HW13" i="9" s="1"/>
  <c r="HB13" i="9"/>
  <c r="HA13" i="9"/>
  <c r="GZ13" i="9"/>
  <c r="GY13" i="9"/>
  <c r="GX13" i="9"/>
  <c r="GW13" i="9"/>
  <c r="GT13" i="9"/>
  <c r="GL13" i="9"/>
  <c r="GK13" i="9"/>
  <c r="GJ13" i="9"/>
  <c r="GI13" i="9"/>
  <c r="GH13" i="9"/>
  <c r="GG13" i="9"/>
  <c r="GD13" i="9"/>
  <c r="FQ13" i="9"/>
  <c r="FM13" i="9"/>
  <c r="FV13" i="9" s="1"/>
  <c r="FL13" i="9"/>
  <c r="FU13" i="9" s="1"/>
  <c r="FK13" i="9"/>
  <c r="FT13" i="9" s="1"/>
  <c r="FJ13" i="9"/>
  <c r="FS13" i="9" s="1"/>
  <c r="FI13" i="9"/>
  <c r="FR13" i="9" s="1"/>
  <c r="FF13" i="9"/>
  <c r="FE13" i="9"/>
  <c r="FD13" i="9"/>
  <c r="FC13" i="9"/>
  <c r="FB13" i="9"/>
  <c r="FA13" i="9"/>
  <c r="EX13" i="9"/>
  <c r="EP13" i="9"/>
  <c r="EO13" i="9"/>
  <c r="EN13" i="9"/>
  <c r="EM13" i="9"/>
  <c r="EL13" i="9"/>
  <c r="EK13" i="9"/>
  <c r="EH13" i="9"/>
  <c r="DZ13" i="9"/>
  <c r="DR13" i="9"/>
  <c r="DE13" i="9"/>
  <c r="DC13" i="9"/>
  <c r="DB13" i="9"/>
  <c r="DA13" i="9"/>
  <c r="CZ13" i="9"/>
  <c r="CY13" i="9"/>
  <c r="CX13" i="9"/>
  <c r="CV13" i="9"/>
  <c r="CU13" i="9"/>
  <c r="CT13" i="9"/>
  <c r="CS13" i="9"/>
  <c r="CR13" i="9"/>
  <c r="CQ13" i="9"/>
  <c r="CJ13" i="9"/>
  <c r="CH13" i="9"/>
  <c r="CG13" i="9"/>
  <c r="CF13" i="9"/>
  <c r="CE13" i="9"/>
  <c r="CD13" i="9"/>
  <c r="CC13" i="9"/>
  <c r="CA13" i="9"/>
  <c r="BZ13" i="9"/>
  <c r="BY13" i="9"/>
  <c r="BX13" i="9"/>
  <c r="BW13" i="9"/>
  <c r="BV13" i="9"/>
  <c r="BT13" i="9"/>
  <c r="DJ13" i="9" s="1"/>
  <c r="BS13" i="9"/>
  <c r="DI13" i="9" s="1"/>
  <c r="BR13" i="9"/>
  <c r="DH13" i="9" s="1"/>
  <c r="BQ13" i="9"/>
  <c r="DG13" i="9" s="1"/>
  <c r="BP13" i="9"/>
  <c r="DF13" i="9" s="1"/>
  <c r="AY13" i="9"/>
  <c r="CO13" i="9" s="1"/>
  <c r="AX13" i="9"/>
  <c r="CN13" i="9" s="1"/>
  <c r="AW13" i="9"/>
  <c r="CM13" i="9" s="1"/>
  <c r="AV13" i="9"/>
  <c r="CL13" i="9" s="1"/>
  <c r="AU13" i="9"/>
  <c r="CK13" i="9" s="1"/>
  <c r="HV12" i="9"/>
  <c r="HS12" i="9"/>
  <c r="HI12" i="9"/>
  <c r="IA12" i="9" s="1"/>
  <c r="HH12" i="9"/>
  <c r="HZ12" i="9" s="1"/>
  <c r="HG12" i="9"/>
  <c r="HY12" i="9" s="1"/>
  <c r="HF12" i="9"/>
  <c r="HX12" i="9" s="1"/>
  <c r="HE12" i="9"/>
  <c r="HB12" i="9"/>
  <c r="HA12" i="9"/>
  <c r="GZ12" i="9"/>
  <c r="GY12" i="9"/>
  <c r="GX12" i="9"/>
  <c r="GW12" i="9"/>
  <c r="GT12" i="9"/>
  <c r="GL12" i="9"/>
  <c r="GK12" i="9"/>
  <c r="GJ12" i="9"/>
  <c r="GI12" i="9"/>
  <c r="GH12" i="9"/>
  <c r="GG12" i="9"/>
  <c r="GD12" i="9"/>
  <c r="FQ12" i="9"/>
  <c r="FM12" i="9"/>
  <c r="FV12" i="9" s="1"/>
  <c r="FL12" i="9"/>
  <c r="FU12" i="9" s="1"/>
  <c r="FK12" i="9"/>
  <c r="FT12" i="9" s="1"/>
  <c r="FJ12" i="9"/>
  <c r="FS12" i="9" s="1"/>
  <c r="FI12" i="9"/>
  <c r="FR12" i="9" s="1"/>
  <c r="FF12" i="9"/>
  <c r="FE12" i="9"/>
  <c r="FD12" i="9"/>
  <c r="FC12" i="9"/>
  <c r="FB12" i="9"/>
  <c r="FA12" i="9"/>
  <c r="EX12" i="9"/>
  <c r="EP12" i="9"/>
  <c r="EO12" i="9"/>
  <c r="EN12" i="9"/>
  <c r="EM12" i="9"/>
  <c r="EL12" i="9"/>
  <c r="EK12" i="9"/>
  <c r="EH12" i="9"/>
  <c r="DZ12" i="9"/>
  <c r="DR12" i="9"/>
  <c r="DE12" i="9"/>
  <c r="DC12" i="9"/>
  <c r="DB12" i="9"/>
  <c r="DA12" i="9"/>
  <c r="CZ12" i="9"/>
  <c r="CY12" i="9"/>
  <c r="CX12" i="9"/>
  <c r="CV12" i="9"/>
  <c r="CU12" i="9"/>
  <c r="CT12" i="9"/>
  <c r="CS12" i="9"/>
  <c r="CR12" i="9"/>
  <c r="CQ12" i="9"/>
  <c r="CJ12" i="9"/>
  <c r="CH12" i="9"/>
  <c r="CG12" i="9"/>
  <c r="CF12" i="9"/>
  <c r="CE12" i="9"/>
  <c r="CD12" i="9"/>
  <c r="CC12" i="9"/>
  <c r="CA12" i="9"/>
  <c r="BZ12" i="9"/>
  <c r="BY12" i="9"/>
  <c r="BX12" i="9"/>
  <c r="BW12" i="9"/>
  <c r="BV12" i="9"/>
  <c r="BT12" i="9"/>
  <c r="DJ12" i="9" s="1"/>
  <c r="BS12" i="9"/>
  <c r="DI12" i="9" s="1"/>
  <c r="BR12" i="9"/>
  <c r="DH12" i="9" s="1"/>
  <c r="BQ12" i="9"/>
  <c r="DG12" i="9" s="1"/>
  <c r="BP12" i="9"/>
  <c r="DF12" i="9" s="1"/>
  <c r="AY12" i="9"/>
  <c r="CO12" i="9" s="1"/>
  <c r="AX12" i="9"/>
  <c r="CN12" i="9" s="1"/>
  <c r="AW12" i="9"/>
  <c r="CM12" i="9" s="1"/>
  <c r="AV12" i="9"/>
  <c r="CL12" i="9" s="1"/>
  <c r="AU12" i="9"/>
  <c r="CK12" i="9" s="1"/>
  <c r="HV11" i="9"/>
  <c r="HS11" i="9"/>
  <c r="HI11" i="9"/>
  <c r="IA11" i="9" s="1"/>
  <c r="HH11" i="9"/>
  <c r="HZ11" i="9" s="1"/>
  <c r="HG11" i="9"/>
  <c r="HY11" i="9" s="1"/>
  <c r="HF11" i="9"/>
  <c r="HE11" i="9"/>
  <c r="HW11" i="9" s="1"/>
  <c r="HB11" i="9"/>
  <c r="HA11" i="9"/>
  <c r="GZ11" i="9"/>
  <c r="GY11" i="9"/>
  <c r="GX11" i="9"/>
  <c r="GW11" i="9"/>
  <c r="GT11" i="9"/>
  <c r="GL11" i="9"/>
  <c r="GK11" i="9"/>
  <c r="GJ11" i="9"/>
  <c r="GI11" i="9"/>
  <c r="GH11" i="9"/>
  <c r="GG11" i="9"/>
  <c r="GD11" i="9"/>
  <c r="FQ11" i="9"/>
  <c r="FM11" i="9"/>
  <c r="FV11" i="9" s="1"/>
  <c r="FL11" i="9"/>
  <c r="FU11" i="9" s="1"/>
  <c r="FK11" i="9"/>
  <c r="FT11" i="9" s="1"/>
  <c r="FJ11" i="9"/>
  <c r="FS11" i="9" s="1"/>
  <c r="FI11" i="9"/>
  <c r="FR11" i="9" s="1"/>
  <c r="FF11" i="9"/>
  <c r="FE11" i="9"/>
  <c r="FD11" i="9"/>
  <c r="FC11" i="9"/>
  <c r="FB11" i="9"/>
  <c r="FA11" i="9"/>
  <c r="EX11" i="9"/>
  <c r="EP11" i="9"/>
  <c r="EO11" i="9"/>
  <c r="EN11" i="9"/>
  <c r="EM11" i="9"/>
  <c r="EL11" i="9"/>
  <c r="EK11" i="9"/>
  <c r="EH11" i="9"/>
  <c r="DZ11" i="9"/>
  <c r="DR11" i="9"/>
  <c r="DE11" i="9"/>
  <c r="DC11" i="9"/>
  <c r="DB11" i="9"/>
  <c r="DA11" i="9"/>
  <c r="CZ11" i="9"/>
  <c r="CY11" i="9"/>
  <c r="CX11" i="9"/>
  <c r="CV11" i="9"/>
  <c r="CU11" i="9"/>
  <c r="CT11" i="9"/>
  <c r="CS11" i="9"/>
  <c r="CR11" i="9"/>
  <c r="CQ11" i="9"/>
  <c r="CJ11" i="9"/>
  <c r="CH11" i="9"/>
  <c r="CG11" i="9"/>
  <c r="CF11" i="9"/>
  <c r="CE11" i="9"/>
  <c r="CD11" i="9"/>
  <c r="CC11" i="9"/>
  <c r="CA11" i="9"/>
  <c r="BZ11" i="9"/>
  <c r="BY11" i="9"/>
  <c r="BX11" i="9"/>
  <c r="BW11" i="9"/>
  <c r="BV11" i="9"/>
  <c r="BT11" i="9"/>
  <c r="DJ11" i="9" s="1"/>
  <c r="BS11" i="9"/>
  <c r="DI11" i="9" s="1"/>
  <c r="BR11" i="9"/>
  <c r="DH11" i="9" s="1"/>
  <c r="BQ11" i="9"/>
  <c r="DG11" i="9" s="1"/>
  <c r="BP11" i="9"/>
  <c r="DF11" i="9" s="1"/>
  <c r="AY11" i="9"/>
  <c r="CO11" i="9" s="1"/>
  <c r="AX11" i="9"/>
  <c r="CN11" i="9" s="1"/>
  <c r="AW11" i="9"/>
  <c r="CM11" i="9" s="1"/>
  <c r="AV11" i="9"/>
  <c r="CL11" i="9" s="1"/>
  <c r="AU11" i="9"/>
  <c r="CK11" i="9" s="1"/>
  <c r="HV10" i="9"/>
  <c r="HS10" i="9"/>
  <c r="HI10" i="9"/>
  <c r="IA10" i="9" s="1"/>
  <c r="HH10" i="9"/>
  <c r="HZ10" i="9" s="1"/>
  <c r="HG10" i="9"/>
  <c r="HY10" i="9" s="1"/>
  <c r="HF10" i="9"/>
  <c r="HX10" i="9" s="1"/>
  <c r="HE10" i="9"/>
  <c r="HW10" i="9" s="1"/>
  <c r="HB10" i="9"/>
  <c r="HA10" i="9"/>
  <c r="GZ10" i="9"/>
  <c r="GY10" i="9"/>
  <c r="GX10" i="9"/>
  <c r="GW10" i="9"/>
  <c r="GT10" i="9"/>
  <c r="GL10" i="9"/>
  <c r="GK10" i="9"/>
  <c r="GJ10" i="9"/>
  <c r="GI10" i="9"/>
  <c r="GH10" i="9"/>
  <c r="GG10" i="9"/>
  <c r="GD10" i="9"/>
  <c r="FQ10" i="9"/>
  <c r="FM10" i="9"/>
  <c r="FV10" i="9" s="1"/>
  <c r="FL10" i="9"/>
  <c r="FU10" i="9" s="1"/>
  <c r="FK10" i="9"/>
  <c r="FT10" i="9" s="1"/>
  <c r="FJ10" i="9"/>
  <c r="FS10" i="9" s="1"/>
  <c r="FI10" i="9"/>
  <c r="FR10" i="9" s="1"/>
  <c r="FF10" i="9"/>
  <c r="FE10" i="9"/>
  <c r="FD10" i="9"/>
  <c r="FC10" i="9"/>
  <c r="FB10" i="9"/>
  <c r="FA10" i="9"/>
  <c r="EX10" i="9"/>
  <c r="EP10" i="9"/>
  <c r="EO10" i="9"/>
  <c r="EN10" i="9"/>
  <c r="EM10" i="9"/>
  <c r="EL10" i="9"/>
  <c r="EK10" i="9"/>
  <c r="EH10" i="9"/>
  <c r="DZ10" i="9"/>
  <c r="DR10" i="9"/>
  <c r="DE10" i="9"/>
  <c r="DC10" i="9"/>
  <c r="DB10" i="9"/>
  <c r="DA10" i="9"/>
  <c r="CZ10" i="9"/>
  <c r="CY10" i="9"/>
  <c r="CX10" i="9"/>
  <c r="CV10" i="9"/>
  <c r="CU10" i="9"/>
  <c r="CT10" i="9"/>
  <c r="CS10" i="9"/>
  <c r="CR10" i="9"/>
  <c r="CQ10" i="9"/>
  <c r="CJ10" i="9"/>
  <c r="CH10" i="9"/>
  <c r="CG10" i="9"/>
  <c r="CF10" i="9"/>
  <c r="CE10" i="9"/>
  <c r="CD10" i="9"/>
  <c r="CC10" i="9"/>
  <c r="CA10" i="9"/>
  <c r="BZ10" i="9"/>
  <c r="BY10" i="9"/>
  <c r="BX10" i="9"/>
  <c r="BW10" i="9"/>
  <c r="BV10" i="9"/>
  <c r="BT10" i="9"/>
  <c r="DJ10" i="9" s="1"/>
  <c r="BS10" i="9"/>
  <c r="DI10" i="9" s="1"/>
  <c r="BR10" i="9"/>
  <c r="DH10" i="9" s="1"/>
  <c r="BQ10" i="9"/>
  <c r="DG10" i="9" s="1"/>
  <c r="BP10" i="9"/>
  <c r="DF10" i="9" s="1"/>
  <c r="AY10" i="9"/>
  <c r="CO10" i="9" s="1"/>
  <c r="AX10" i="9"/>
  <c r="CN10" i="9" s="1"/>
  <c r="AW10" i="9"/>
  <c r="CM10" i="9" s="1"/>
  <c r="AV10" i="9"/>
  <c r="CL10" i="9" s="1"/>
  <c r="AU10" i="9"/>
  <c r="CK10" i="9" s="1"/>
  <c r="HV9" i="9"/>
  <c r="HS9" i="9"/>
  <c r="HI9" i="9"/>
  <c r="IA9" i="9" s="1"/>
  <c r="HH9" i="9"/>
  <c r="HZ9" i="9" s="1"/>
  <c r="HG9" i="9"/>
  <c r="HY9" i="9" s="1"/>
  <c r="HF9" i="9"/>
  <c r="HX9" i="9" s="1"/>
  <c r="HE9" i="9"/>
  <c r="HW9" i="9" s="1"/>
  <c r="HB9" i="9"/>
  <c r="HA9" i="9"/>
  <c r="GZ9" i="9"/>
  <c r="GY9" i="9"/>
  <c r="GX9" i="9"/>
  <c r="GW9" i="9"/>
  <c r="GT9" i="9"/>
  <c r="GL9" i="9"/>
  <c r="GK9" i="9"/>
  <c r="GJ9" i="9"/>
  <c r="GI9" i="9"/>
  <c r="GH9" i="9"/>
  <c r="GG9" i="9"/>
  <c r="GD9" i="9"/>
  <c r="FQ9" i="9"/>
  <c r="FM9" i="9"/>
  <c r="FV9" i="9" s="1"/>
  <c r="FL9" i="9"/>
  <c r="FU9" i="9" s="1"/>
  <c r="FK9" i="9"/>
  <c r="FT9" i="9" s="1"/>
  <c r="FJ9" i="9"/>
  <c r="FS9" i="9" s="1"/>
  <c r="FI9" i="9"/>
  <c r="FF9" i="9"/>
  <c r="FE9" i="9"/>
  <c r="FD9" i="9"/>
  <c r="FC9" i="9"/>
  <c r="FB9" i="9"/>
  <c r="FA9" i="9"/>
  <c r="EX9" i="9"/>
  <c r="EP9" i="9"/>
  <c r="EO9" i="9"/>
  <c r="EN9" i="9"/>
  <c r="EM9" i="9"/>
  <c r="EL9" i="9"/>
  <c r="EK9" i="9"/>
  <c r="EH9" i="9"/>
  <c r="DZ9" i="9"/>
  <c r="DR9" i="9"/>
  <c r="DE9" i="9"/>
  <c r="DC9" i="9"/>
  <c r="DB9" i="9"/>
  <c r="DA9" i="9"/>
  <c r="CZ9" i="9"/>
  <c r="CY9" i="9"/>
  <c r="CX9" i="9"/>
  <c r="CV9" i="9"/>
  <c r="CU9" i="9"/>
  <c r="CT9" i="9"/>
  <c r="CS9" i="9"/>
  <c r="CR9" i="9"/>
  <c r="CQ9" i="9"/>
  <c r="CJ9" i="9"/>
  <c r="CH9" i="9"/>
  <c r="CG9" i="9"/>
  <c r="CF9" i="9"/>
  <c r="CE9" i="9"/>
  <c r="CD9" i="9"/>
  <c r="CC9" i="9"/>
  <c r="CA9" i="9"/>
  <c r="BZ9" i="9"/>
  <c r="BY9" i="9"/>
  <c r="BX9" i="9"/>
  <c r="BW9" i="9"/>
  <c r="BV9" i="9"/>
  <c r="BT9" i="9"/>
  <c r="DJ9" i="9" s="1"/>
  <c r="BS9" i="9"/>
  <c r="DI9" i="9" s="1"/>
  <c r="BR9" i="9"/>
  <c r="DH9" i="9" s="1"/>
  <c r="BQ9" i="9"/>
  <c r="DG9" i="9" s="1"/>
  <c r="BP9" i="9"/>
  <c r="DF9" i="9" s="1"/>
  <c r="AY9" i="9"/>
  <c r="CO9" i="9" s="1"/>
  <c r="AX9" i="9"/>
  <c r="CN9" i="9" s="1"/>
  <c r="AW9" i="9"/>
  <c r="CM9" i="9" s="1"/>
  <c r="AV9" i="9"/>
  <c r="CL9" i="9" s="1"/>
  <c r="AU9" i="9"/>
  <c r="CK9" i="9" s="1"/>
  <c r="HV8" i="9"/>
  <c r="HS8" i="9"/>
  <c r="HI8" i="9"/>
  <c r="IA8" i="9" s="1"/>
  <c r="HH8" i="9"/>
  <c r="HZ8" i="9" s="1"/>
  <c r="HG8" i="9"/>
  <c r="HY8" i="9" s="1"/>
  <c r="HF8" i="9"/>
  <c r="HX8" i="9" s="1"/>
  <c r="HE8" i="9"/>
  <c r="HW8" i="9" s="1"/>
  <c r="HB8" i="9"/>
  <c r="HA8" i="9"/>
  <c r="GZ8" i="9"/>
  <c r="GY8" i="9"/>
  <c r="GX8" i="9"/>
  <c r="GW8" i="9"/>
  <c r="GT8" i="9"/>
  <c r="GL8" i="9"/>
  <c r="GK8" i="9"/>
  <c r="GJ8" i="9"/>
  <c r="GI8" i="9"/>
  <c r="GH8" i="9"/>
  <c r="GG8" i="9"/>
  <c r="GD8" i="9"/>
  <c r="FQ8" i="9"/>
  <c r="FM8" i="9"/>
  <c r="FV8" i="9" s="1"/>
  <c r="FL8" i="9"/>
  <c r="FU8" i="9" s="1"/>
  <c r="FK8" i="9"/>
  <c r="FT8" i="9" s="1"/>
  <c r="FJ8" i="9"/>
  <c r="FS8" i="9" s="1"/>
  <c r="FI8" i="9"/>
  <c r="FF8" i="9"/>
  <c r="FE8" i="9"/>
  <c r="FD8" i="9"/>
  <c r="FC8" i="9"/>
  <c r="FB8" i="9"/>
  <c r="FA8" i="9"/>
  <c r="EX8" i="9"/>
  <c r="EP8" i="9"/>
  <c r="EO8" i="9"/>
  <c r="EN8" i="9"/>
  <c r="EM8" i="9"/>
  <c r="EL8" i="9"/>
  <c r="EK8" i="9"/>
  <c r="EH8" i="9"/>
  <c r="DZ8" i="9"/>
  <c r="DR8" i="9"/>
  <c r="DE8" i="9"/>
  <c r="DC8" i="9"/>
  <c r="DB8" i="9"/>
  <c r="DA8" i="9"/>
  <c r="CZ8" i="9"/>
  <c r="CY8" i="9"/>
  <c r="CX8" i="9"/>
  <c r="CV8" i="9"/>
  <c r="CU8" i="9"/>
  <c r="CT8" i="9"/>
  <c r="CS8" i="9"/>
  <c r="CR8" i="9"/>
  <c r="CQ8" i="9"/>
  <c r="CJ8" i="9"/>
  <c r="CH8" i="9"/>
  <c r="CG8" i="9"/>
  <c r="CF8" i="9"/>
  <c r="CE8" i="9"/>
  <c r="CD8" i="9"/>
  <c r="CC8" i="9"/>
  <c r="CA8" i="9"/>
  <c r="BZ8" i="9"/>
  <c r="BY8" i="9"/>
  <c r="BX8" i="9"/>
  <c r="BW8" i="9"/>
  <c r="BV8" i="9"/>
  <c r="BT8" i="9"/>
  <c r="DJ8" i="9" s="1"/>
  <c r="BS8" i="9"/>
  <c r="DI8" i="9" s="1"/>
  <c r="BR8" i="9"/>
  <c r="DH8" i="9" s="1"/>
  <c r="BQ8" i="9"/>
  <c r="DG8" i="9" s="1"/>
  <c r="BP8" i="9"/>
  <c r="DF8" i="9" s="1"/>
  <c r="AY8" i="9"/>
  <c r="CO8" i="9" s="1"/>
  <c r="AX8" i="9"/>
  <c r="CN8" i="9" s="1"/>
  <c r="AW8" i="9"/>
  <c r="CM8" i="9" s="1"/>
  <c r="AV8" i="9"/>
  <c r="CL8" i="9" s="1"/>
  <c r="AU8" i="9"/>
  <c r="CK8" i="9" s="1"/>
  <c r="HV7" i="9"/>
  <c r="HS7" i="9"/>
  <c r="HI7" i="9"/>
  <c r="IA7" i="9" s="1"/>
  <c r="HH7" i="9"/>
  <c r="HZ7" i="9" s="1"/>
  <c r="HG7" i="9"/>
  <c r="HY7" i="9" s="1"/>
  <c r="HF7" i="9"/>
  <c r="HX7" i="9" s="1"/>
  <c r="HE7" i="9"/>
  <c r="HW7" i="9" s="1"/>
  <c r="HB7" i="9"/>
  <c r="HA7" i="9"/>
  <c r="GZ7" i="9"/>
  <c r="GY7" i="9"/>
  <c r="GX7" i="9"/>
  <c r="GW7" i="9"/>
  <c r="GT7" i="9"/>
  <c r="GL7" i="9"/>
  <c r="GK7" i="9"/>
  <c r="GJ7" i="9"/>
  <c r="GI7" i="9"/>
  <c r="GH7" i="9"/>
  <c r="GG7" i="9"/>
  <c r="GD7" i="9"/>
  <c r="FQ7" i="9"/>
  <c r="FM7" i="9"/>
  <c r="FV7" i="9" s="1"/>
  <c r="FL7" i="9"/>
  <c r="FU7" i="9" s="1"/>
  <c r="FK7" i="9"/>
  <c r="FT7" i="9" s="1"/>
  <c r="FJ7" i="9"/>
  <c r="FS7" i="9" s="1"/>
  <c r="FI7" i="9"/>
  <c r="FR7" i="9" s="1"/>
  <c r="FF7" i="9"/>
  <c r="FE7" i="9"/>
  <c r="FD7" i="9"/>
  <c r="FC7" i="9"/>
  <c r="FB7" i="9"/>
  <c r="FA7" i="9"/>
  <c r="EX7" i="9"/>
  <c r="EP7" i="9"/>
  <c r="EO7" i="9"/>
  <c r="EN7" i="9"/>
  <c r="EM7" i="9"/>
  <c r="EL7" i="9"/>
  <c r="EK7" i="9"/>
  <c r="EH7" i="9"/>
  <c r="DZ7" i="9"/>
  <c r="DR7" i="9"/>
  <c r="DE7" i="9"/>
  <c r="DC7" i="9"/>
  <c r="DB7" i="9"/>
  <c r="DA7" i="9"/>
  <c r="CZ7" i="9"/>
  <c r="CY7" i="9"/>
  <c r="CX7" i="9"/>
  <c r="CV7" i="9"/>
  <c r="CU7" i="9"/>
  <c r="CT7" i="9"/>
  <c r="CS7" i="9"/>
  <c r="CR7" i="9"/>
  <c r="CQ7" i="9"/>
  <c r="CJ7" i="9"/>
  <c r="CH7" i="9"/>
  <c r="CG7" i="9"/>
  <c r="CF7" i="9"/>
  <c r="CE7" i="9"/>
  <c r="CD7" i="9"/>
  <c r="CC7" i="9"/>
  <c r="CA7" i="9"/>
  <c r="BZ7" i="9"/>
  <c r="BY7" i="9"/>
  <c r="BX7" i="9"/>
  <c r="BW7" i="9"/>
  <c r="BV7" i="9"/>
  <c r="BT7" i="9"/>
  <c r="DJ7" i="9" s="1"/>
  <c r="BS7" i="9"/>
  <c r="DI7" i="9" s="1"/>
  <c r="BR7" i="9"/>
  <c r="DH7" i="9" s="1"/>
  <c r="BQ7" i="9"/>
  <c r="DG7" i="9" s="1"/>
  <c r="BP7" i="9"/>
  <c r="DF7" i="9" s="1"/>
  <c r="AY7" i="9"/>
  <c r="CO7" i="9" s="1"/>
  <c r="AX7" i="9"/>
  <c r="CN7" i="9" s="1"/>
  <c r="AW7" i="9"/>
  <c r="CM7" i="9" s="1"/>
  <c r="AV7" i="9"/>
  <c r="CL7" i="9" s="1"/>
  <c r="AU7" i="9"/>
  <c r="CK7" i="9" s="1"/>
  <c r="HV6" i="9"/>
  <c r="HS6" i="9"/>
  <c r="HI6" i="9"/>
  <c r="IA6" i="9" s="1"/>
  <c r="HH6" i="9"/>
  <c r="HZ6" i="9" s="1"/>
  <c r="HG6" i="9"/>
  <c r="HY6" i="9" s="1"/>
  <c r="HF6" i="9"/>
  <c r="HX6" i="9" s="1"/>
  <c r="HE6" i="9"/>
  <c r="HW6" i="9" s="1"/>
  <c r="HB6" i="9"/>
  <c r="HA6" i="9"/>
  <c r="GZ6" i="9"/>
  <c r="GY6" i="9"/>
  <c r="GX6" i="9"/>
  <c r="GW6" i="9"/>
  <c r="GT6" i="9"/>
  <c r="GL6" i="9"/>
  <c r="GK6" i="9"/>
  <c r="GJ6" i="9"/>
  <c r="GI6" i="9"/>
  <c r="GH6" i="9"/>
  <c r="GG6" i="9"/>
  <c r="GD6" i="9"/>
  <c r="FQ6" i="9"/>
  <c r="FM6" i="9"/>
  <c r="FV6" i="9" s="1"/>
  <c r="FL6" i="9"/>
  <c r="FU6" i="9" s="1"/>
  <c r="FK6" i="9"/>
  <c r="FT6" i="9" s="1"/>
  <c r="FJ6" i="9"/>
  <c r="FS6" i="9" s="1"/>
  <c r="FI6" i="9"/>
  <c r="FF6" i="9"/>
  <c r="FE6" i="9"/>
  <c r="FD6" i="9"/>
  <c r="FC6" i="9"/>
  <c r="FB6" i="9"/>
  <c r="FA6" i="9"/>
  <c r="EX6" i="9"/>
  <c r="EP6" i="9"/>
  <c r="EO6" i="9"/>
  <c r="EN6" i="9"/>
  <c r="EM6" i="9"/>
  <c r="EL6" i="9"/>
  <c r="EK6" i="9"/>
  <c r="EH6" i="9"/>
  <c r="DZ6" i="9"/>
  <c r="DR6" i="9"/>
  <c r="DE6" i="9"/>
  <c r="DC6" i="9"/>
  <c r="DB6" i="9"/>
  <c r="DA6" i="9"/>
  <c r="CZ6" i="9"/>
  <c r="CY6" i="9"/>
  <c r="CX6" i="9"/>
  <c r="CV6" i="9"/>
  <c r="CU6" i="9"/>
  <c r="CT6" i="9"/>
  <c r="CS6" i="9"/>
  <c r="CR6" i="9"/>
  <c r="CQ6" i="9"/>
  <c r="CJ6" i="9"/>
  <c r="CH6" i="9"/>
  <c r="CG6" i="9"/>
  <c r="CF6" i="9"/>
  <c r="CE6" i="9"/>
  <c r="CD6" i="9"/>
  <c r="CC6" i="9"/>
  <c r="CA6" i="9"/>
  <c r="BZ6" i="9"/>
  <c r="BY6" i="9"/>
  <c r="BX6" i="9"/>
  <c r="BW6" i="9"/>
  <c r="BV6" i="9"/>
  <c r="BT6" i="9"/>
  <c r="DJ6" i="9" s="1"/>
  <c r="BS6" i="9"/>
  <c r="DI6" i="9" s="1"/>
  <c r="BR6" i="9"/>
  <c r="DH6" i="9" s="1"/>
  <c r="BQ6" i="9"/>
  <c r="DG6" i="9" s="1"/>
  <c r="BP6" i="9"/>
  <c r="DF6" i="9" s="1"/>
  <c r="AY6" i="9"/>
  <c r="CO6" i="9" s="1"/>
  <c r="AX6" i="9"/>
  <c r="CN6" i="9" s="1"/>
  <c r="AW6" i="9"/>
  <c r="CM6" i="9" s="1"/>
  <c r="AV6" i="9"/>
  <c r="CL6" i="9" s="1"/>
  <c r="AU6" i="9"/>
  <c r="CK6" i="9" s="1"/>
  <c r="HV5" i="9"/>
  <c r="HS5" i="9"/>
  <c r="HI5" i="9"/>
  <c r="IA5" i="9" s="1"/>
  <c r="HH5" i="9"/>
  <c r="HZ5" i="9" s="1"/>
  <c r="HG5" i="9"/>
  <c r="HY5" i="9" s="1"/>
  <c r="HF5" i="9"/>
  <c r="HX5" i="9" s="1"/>
  <c r="HE5" i="9"/>
  <c r="HW5" i="9" s="1"/>
  <c r="HB5" i="9"/>
  <c r="HA5" i="9"/>
  <c r="GZ5" i="9"/>
  <c r="GY5" i="9"/>
  <c r="GX5" i="9"/>
  <c r="GW5" i="9"/>
  <c r="GT5" i="9"/>
  <c r="GL5" i="9"/>
  <c r="GK5" i="9"/>
  <c r="GJ5" i="9"/>
  <c r="GI5" i="9"/>
  <c r="GH5" i="9"/>
  <c r="GG5" i="9"/>
  <c r="GD5" i="9"/>
  <c r="FQ5" i="9"/>
  <c r="FM5" i="9"/>
  <c r="FV5" i="9" s="1"/>
  <c r="FL5" i="9"/>
  <c r="FU5" i="9" s="1"/>
  <c r="FK5" i="9"/>
  <c r="FT5" i="9" s="1"/>
  <c r="FJ5" i="9"/>
  <c r="FS5" i="9" s="1"/>
  <c r="FI5" i="9"/>
  <c r="FR5" i="9" s="1"/>
  <c r="FF5" i="9"/>
  <c r="FE5" i="9"/>
  <c r="FD5" i="9"/>
  <c r="FC5" i="9"/>
  <c r="FB5" i="9"/>
  <c r="FA5" i="9"/>
  <c r="EX5" i="9"/>
  <c r="EP5" i="9"/>
  <c r="EO5" i="9"/>
  <c r="EN5" i="9"/>
  <c r="EM5" i="9"/>
  <c r="EL5" i="9"/>
  <c r="EK5" i="9"/>
  <c r="EH5" i="9"/>
  <c r="DZ5" i="9"/>
  <c r="DR5" i="9"/>
  <c r="DE5" i="9"/>
  <c r="DC5" i="9"/>
  <c r="DB5" i="9"/>
  <c r="DA5" i="9"/>
  <c r="CZ5" i="9"/>
  <c r="CY5" i="9"/>
  <c r="CX5" i="9"/>
  <c r="CV5" i="9"/>
  <c r="CU5" i="9"/>
  <c r="CT5" i="9"/>
  <c r="CS5" i="9"/>
  <c r="CR5" i="9"/>
  <c r="CQ5" i="9"/>
  <c r="CJ5" i="9"/>
  <c r="CH5" i="9"/>
  <c r="CG5" i="9"/>
  <c r="CF5" i="9"/>
  <c r="CE5" i="9"/>
  <c r="CD5" i="9"/>
  <c r="CC5" i="9"/>
  <c r="CA5" i="9"/>
  <c r="BZ5" i="9"/>
  <c r="BY5" i="9"/>
  <c r="BX5" i="9"/>
  <c r="BW5" i="9"/>
  <c r="BV5" i="9"/>
  <c r="BT5" i="9"/>
  <c r="DJ5" i="9" s="1"/>
  <c r="BS5" i="9"/>
  <c r="DI5" i="9" s="1"/>
  <c r="BR5" i="9"/>
  <c r="DH5" i="9" s="1"/>
  <c r="BQ5" i="9"/>
  <c r="DG5" i="9" s="1"/>
  <c r="BP5" i="9"/>
  <c r="DF5" i="9" s="1"/>
  <c r="AY5" i="9"/>
  <c r="CO5" i="9" s="1"/>
  <c r="AX5" i="9"/>
  <c r="CN5" i="9" s="1"/>
  <c r="AW5" i="9"/>
  <c r="CM5" i="9" s="1"/>
  <c r="AV5" i="9"/>
  <c r="CL5" i="9" s="1"/>
  <c r="AU5" i="9"/>
  <c r="CK5" i="9" s="1"/>
  <c r="HV4" i="9"/>
  <c r="HS4" i="9"/>
  <c r="HI4" i="9"/>
  <c r="IA4" i="9" s="1"/>
  <c r="HH4" i="9"/>
  <c r="HZ4" i="9" s="1"/>
  <c r="HG4" i="9"/>
  <c r="HY4" i="9" s="1"/>
  <c r="HF4" i="9"/>
  <c r="HX4" i="9" s="1"/>
  <c r="HE4" i="9"/>
  <c r="HW4" i="9" s="1"/>
  <c r="HB4" i="9"/>
  <c r="HA4" i="9"/>
  <c r="GZ4" i="9"/>
  <c r="GY4" i="9"/>
  <c r="GX4" i="9"/>
  <c r="GW4" i="9"/>
  <c r="GT4" i="9"/>
  <c r="GL4" i="9"/>
  <c r="GK4" i="9"/>
  <c r="GJ4" i="9"/>
  <c r="GI4" i="9"/>
  <c r="GH4" i="9"/>
  <c r="GG4" i="9"/>
  <c r="GD4" i="9"/>
  <c r="FQ4" i="9"/>
  <c r="FM4" i="9"/>
  <c r="FV4" i="9" s="1"/>
  <c r="FL4" i="9"/>
  <c r="FU4" i="9" s="1"/>
  <c r="FK4" i="9"/>
  <c r="FT4" i="9" s="1"/>
  <c r="FJ4" i="9"/>
  <c r="FS4" i="9" s="1"/>
  <c r="FI4" i="9"/>
  <c r="FF4" i="9"/>
  <c r="FE4" i="9"/>
  <c r="FD4" i="9"/>
  <c r="FC4" i="9"/>
  <c r="FB4" i="9"/>
  <c r="FA4" i="9"/>
  <c r="EX4" i="9"/>
  <c r="EP4" i="9"/>
  <c r="EO4" i="9"/>
  <c r="EN4" i="9"/>
  <c r="EM4" i="9"/>
  <c r="EL4" i="9"/>
  <c r="EK4" i="9"/>
  <c r="EH4" i="9"/>
  <c r="DZ4" i="9"/>
  <c r="DR4" i="9"/>
  <c r="DE4" i="9"/>
  <c r="DC4" i="9"/>
  <c r="DB4" i="9"/>
  <c r="DA4" i="9"/>
  <c r="CZ4" i="9"/>
  <c r="CY4" i="9"/>
  <c r="CX4" i="9"/>
  <c r="CV4" i="9"/>
  <c r="CU4" i="9"/>
  <c r="CT4" i="9"/>
  <c r="CS4" i="9"/>
  <c r="CR4" i="9"/>
  <c r="CQ4" i="9"/>
  <c r="CJ4" i="9"/>
  <c r="CH4" i="9"/>
  <c r="CG4" i="9"/>
  <c r="CF4" i="9"/>
  <c r="CE4" i="9"/>
  <c r="CD4" i="9"/>
  <c r="CC4" i="9"/>
  <c r="CA4" i="9"/>
  <c r="BZ4" i="9"/>
  <c r="BY4" i="9"/>
  <c r="BX4" i="9"/>
  <c r="BW4" i="9"/>
  <c r="BV4" i="9"/>
  <c r="BT4" i="9"/>
  <c r="DJ4" i="9" s="1"/>
  <c r="BS4" i="9"/>
  <c r="DI4" i="9" s="1"/>
  <c r="BR4" i="9"/>
  <c r="DH4" i="9" s="1"/>
  <c r="BQ4" i="9"/>
  <c r="DG4" i="9" s="1"/>
  <c r="BP4" i="9"/>
  <c r="DF4" i="9" s="1"/>
  <c r="AY4" i="9"/>
  <c r="CO4" i="9" s="1"/>
  <c r="AX4" i="9"/>
  <c r="CN4" i="9" s="1"/>
  <c r="AW4" i="9"/>
  <c r="CM4" i="9" s="1"/>
  <c r="AV4" i="9"/>
  <c r="CL4" i="9" s="1"/>
  <c r="AU4" i="9"/>
  <c r="CK4" i="9" s="1"/>
  <c r="HV3" i="9"/>
  <c r="HS3" i="9"/>
  <c r="HI3" i="9"/>
  <c r="IA3" i="9" s="1"/>
  <c r="HH3" i="9"/>
  <c r="HZ3" i="9" s="1"/>
  <c r="HG3" i="9"/>
  <c r="HY3" i="9" s="1"/>
  <c r="HF3" i="9"/>
  <c r="HX3" i="9" s="1"/>
  <c r="HE3" i="9"/>
  <c r="HW3" i="9" s="1"/>
  <c r="HB3" i="9"/>
  <c r="HA3" i="9"/>
  <c r="GZ3" i="9"/>
  <c r="GY3" i="9"/>
  <c r="GX3" i="9"/>
  <c r="GW3" i="9"/>
  <c r="GT3" i="9"/>
  <c r="GL3" i="9"/>
  <c r="GK3" i="9"/>
  <c r="GJ3" i="9"/>
  <c r="GI3" i="9"/>
  <c r="GH3" i="9"/>
  <c r="GG3" i="9"/>
  <c r="GD3" i="9"/>
  <c r="FQ3" i="9"/>
  <c r="FM3" i="9"/>
  <c r="FV3" i="9" s="1"/>
  <c r="FL3" i="9"/>
  <c r="FU3" i="9" s="1"/>
  <c r="FK3" i="9"/>
  <c r="FT3" i="9" s="1"/>
  <c r="FJ3" i="9"/>
  <c r="FS3" i="9" s="1"/>
  <c r="FI3" i="9"/>
  <c r="FR3" i="9" s="1"/>
  <c r="FF3" i="9"/>
  <c r="FE3" i="9"/>
  <c r="FD3" i="9"/>
  <c r="FC3" i="9"/>
  <c r="FB3" i="9"/>
  <c r="FA3" i="9"/>
  <c r="EX3" i="9"/>
  <c r="EP3" i="9"/>
  <c r="EO3" i="9"/>
  <c r="EN3" i="9"/>
  <c r="EM3" i="9"/>
  <c r="EL3" i="9"/>
  <c r="EK3" i="9"/>
  <c r="EH3" i="9"/>
  <c r="DZ3" i="9"/>
  <c r="DR3" i="9"/>
  <c r="DE3" i="9"/>
  <c r="DC3" i="9"/>
  <c r="DB3" i="9"/>
  <c r="DA3" i="9"/>
  <c r="CZ3" i="9"/>
  <c r="CY3" i="9"/>
  <c r="CX3" i="9"/>
  <c r="CV3" i="9"/>
  <c r="CU3" i="9"/>
  <c r="CT3" i="9"/>
  <c r="CS3" i="9"/>
  <c r="CR3" i="9"/>
  <c r="CQ3" i="9"/>
  <c r="CJ3" i="9"/>
  <c r="CH3" i="9"/>
  <c r="CG3" i="9"/>
  <c r="CF3" i="9"/>
  <c r="CE3" i="9"/>
  <c r="CD3" i="9"/>
  <c r="CC3" i="9"/>
  <c r="CA3" i="9"/>
  <c r="BZ3" i="9"/>
  <c r="BY3" i="9"/>
  <c r="BX3" i="9"/>
  <c r="BW3" i="9"/>
  <c r="BV3" i="9"/>
  <c r="BT3" i="9"/>
  <c r="DJ3" i="9" s="1"/>
  <c r="BS3" i="9"/>
  <c r="DI3" i="9" s="1"/>
  <c r="BR3" i="9"/>
  <c r="DH3" i="9" s="1"/>
  <c r="BQ3" i="9"/>
  <c r="DG3" i="9" s="1"/>
  <c r="BP3" i="9"/>
  <c r="DF3" i="9" s="1"/>
  <c r="AY3" i="9"/>
  <c r="CO3" i="9" s="1"/>
  <c r="AX3" i="9"/>
  <c r="CN3" i="9" s="1"/>
  <c r="AW3" i="9"/>
  <c r="CM3" i="9" s="1"/>
  <c r="AV3" i="9"/>
  <c r="CL3" i="9" s="1"/>
  <c r="AU3" i="9"/>
  <c r="CK3" i="9" s="1"/>
  <c r="HV2" i="9"/>
  <c r="HS2" i="9"/>
  <c r="HI2" i="9"/>
  <c r="IA2" i="9" s="1"/>
  <c r="HH2" i="9"/>
  <c r="HZ2" i="9" s="1"/>
  <c r="HG2" i="9"/>
  <c r="HY2" i="9" s="1"/>
  <c r="HF2" i="9"/>
  <c r="HX2" i="9" s="1"/>
  <c r="HE2" i="9"/>
  <c r="HW2" i="9" s="1"/>
  <c r="HB2" i="9"/>
  <c r="HA2" i="9"/>
  <c r="GZ2" i="9"/>
  <c r="GY2" i="9"/>
  <c r="GX2" i="9"/>
  <c r="GW2" i="9"/>
  <c r="GT2" i="9"/>
  <c r="GL2" i="9"/>
  <c r="GK2" i="9"/>
  <c r="GJ2" i="9"/>
  <c r="GI2" i="9"/>
  <c r="GH2" i="9"/>
  <c r="GG2" i="9"/>
  <c r="GD2" i="9"/>
  <c r="FQ2" i="9"/>
  <c r="FM2" i="9"/>
  <c r="FV2" i="9" s="1"/>
  <c r="FL2" i="9"/>
  <c r="FU2" i="9" s="1"/>
  <c r="FK2" i="9"/>
  <c r="FT2" i="9" s="1"/>
  <c r="FJ2" i="9"/>
  <c r="FS2" i="9" s="1"/>
  <c r="FI2" i="9"/>
  <c r="FF2" i="9"/>
  <c r="FE2" i="9"/>
  <c r="FD2" i="9"/>
  <c r="FC2" i="9"/>
  <c r="FB2" i="9"/>
  <c r="FA2" i="9"/>
  <c r="EX2" i="9"/>
  <c r="EP2" i="9"/>
  <c r="EO2" i="9"/>
  <c r="EN2" i="9"/>
  <c r="EM2" i="9"/>
  <c r="EL2" i="9"/>
  <c r="EK2" i="9"/>
  <c r="EH2" i="9"/>
  <c r="DZ2" i="9"/>
  <c r="DR2" i="9"/>
  <c r="DE2" i="9"/>
  <c r="DC2" i="9"/>
  <c r="DB2" i="9"/>
  <c r="DA2" i="9"/>
  <c r="CZ2" i="9"/>
  <c r="CY2" i="9"/>
  <c r="CX2" i="9"/>
  <c r="CV2" i="9"/>
  <c r="CU2" i="9"/>
  <c r="CT2" i="9"/>
  <c r="CS2" i="9"/>
  <c r="CR2" i="9"/>
  <c r="CQ2" i="9"/>
  <c r="CJ2" i="9"/>
  <c r="CH2" i="9"/>
  <c r="CG2" i="9"/>
  <c r="CF2" i="9"/>
  <c r="CE2" i="9"/>
  <c r="CD2" i="9"/>
  <c r="CC2" i="9"/>
  <c r="CA2" i="9"/>
  <c r="BZ2" i="9"/>
  <c r="BY2" i="9"/>
  <c r="BX2" i="9"/>
  <c r="BW2" i="9"/>
  <c r="BV2" i="9"/>
  <c r="BT2" i="9"/>
  <c r="DJ2" i="9" s="1"/>
  <c r="BS2" i="9"/>
  <c r="DI2" i="9" s="1"/>
  <c r="BR2" i="9"/>
  <c r="DH2" i="9" s="1"/>
  <c r="BQ2" i="9"/>
  <c r="DG2" i="9" s="1"/>
  <c r="BP2" i="9"/>
  <c r="DF2" i="9" s="1"/>
  <c r="AY2" i="9"/>
  <c r="CO2" i="9" s="1"/>
  <c r="AX2" i="9"/>
  <c r="CN2" i="9" s="1"/>
  <c r="AW2" i="9"/>
  <c r="CM2" i="9" s="1"/>
  <c r="AV2" i="9"/>
  <c r="CL2" i="9" s="1"/>
  <c r="AU2" i="9"/>
  <c r="CK2" i="9" s="1"/>
  <c r="EI2" i="9" l="1"/>
  <c r="EY5" i="9"/>
  <c r="GE10" i="9"/>
  <c r="GE2" i="9"/>
  <c r="EY27" i="9"/>
  <c r="EI27" i="9"/>
  <c r="GU19" i="9"/>
  <c r="GU9" i="9"/>
  <c r="EI9" i="9"/>
  <c r="GE13" i="9"/>
  <c r="HT11" i="9"/>
  <c r="GE20" i="9"/>
  <c r="GE3" i="9"/>
  <c r="EY16" i="9"/>
  <c r="GE17" i="9"/>
  <c r="EY23" i="9"/>
  <c r="HJ12" i="9"/>
  <c r="HK12" i="9" s="1"/>
  <c r="HT22" i="9"/>
  <c r="EI23" i="9"/>
  <c r="GE7" i="9"/>
  <c r="EI6" i="9"/>
  <c r="EY11" i="9"/>
  <c r="HT24" i="9"/>
  <c r="EY25" i="9"/>
  <c r="HT25" i="9"/>
  <c r="HT10" i="9"/>
  <c r="FN14" i="9"/>
  <c r="FO14" i="9" s="1"/>
  <c r="HJ17" i="9"/>
  <c r="HK17" i="9" s="1"/>
  <c r="EI25" i="9"/>
  <c r="EI3" i="9"/>
  <c r="FN4" i="9"/>
  <c r="FO4" i="9" s="1"/>
  <c r="GU6" i="9"/>
  <c r="EI7" i="9"/>
  <c r="EY15" i="9"/>
  <c r="GU17" i="9"/>
  <c r="GE6" i="9"/>
  <c r="FN17" i="9"/>
  <c r="FO17" i="9" s="1"/>
  <c r="FN22" i="9"/>
  <c r="FO22" i="9" s="1"/>
  <c r="EY12" i="9"/>
  <c r="GE14" i="9"/>
  <c r="GU24" i="9"/>
  <c r="HT14" i="9"/>
  <c r="EY2" i="9"/>
  <c r="GU3" i="9"/>
  <c r="GU7" i="9"/>
  <c r="EY9" i="9"/>
  <c r="HJ9" i="9"/>
  <c r="HK9" i="9" s="1"/>
  <c r="GU10" i="9"/>
  <c r="EI12" i="9"/>
  <c r="GU13" i="9"/>
  <c r="EY19" i="9"/>
  <c r="GU20" i="9"/>
  <c r="EI21" i="9"/>
  <c r="HJ11" i="9"/>
  <c r="HK11" i="9" s="1"/>
  <c r="HT5" i="9"/>
  <c r="EY4" i="9"/>
  <c r="HT4" i="9"/>
  <c r="EI5" i="9"/>
  <c r="HJ8" i="9"/>
  <c r="HK8" i="9" s="1"/>
  <c r="GU11" i="9"/>
  <c r="GU12" i="9"/>
  <c r="HT15" i="9"/>
  <c r="EI16" i="9"/>
  <c r="FN16" i="9"/>
  <c r="FO16" i="9" s="1"/>
  <c r="EY17" i="9"/>
  <c r="EY20" i="9"/>
  <c r="FN21" i="9"/>
  <c r="FO21" i="9" s="1"/>
  <c r="HJ22" i="9"/>
  <c r="HK22" i="9" s="1"/>
  <c r="GE24" i="9"/>
  <c r="FN2" i="9"/>
  <c r="FO2" i="9" s="1"/>
  <c r="EY3" i="9"/>
  <c r="HT3" i="9"/>
  <c r="EI4" i="9"/>
  <c r="HJ6" i="9"/>
  <c r="HK6" i="9" s="1"/>
  <c r="HJ7" i="9"/>
  <c r="HK7" i="9" s="1"/>
  <c r="GU8" i="9"/>
  <c r="GE12" i="9"/>
  <c r="HT16" i="9"/>
  <c r="EI17" i="9"/>
  <c r="EI20" i="9"/>
  <c r="HT20" i="9"/>
  <c r="EY21" i="9"/>
  <c r="GU22" i="9"/>
  <c r="HT23" i="9"/>
  <c r="GE27" i="9"/>
  <c r="HW17" i="9"/>
  <c r="HT2" i="9"/>
  <c r="HJ5" i="9"/>
  <c r="HK5" i="9" s="1"/>
  <c r="GE8" i="9"/>
  <c r="FN9" i="9"/>
  <c r="FO9" i="9" s="1"/>
  <c r="GU14" i="9"/>
  <c r="GE18" i="9"/>
  <c r="GU18" i="9"/>
  <c r="GE22" i="9"/>
  <c r="HJ4" i="9"/>
  <c r="HK4" i="9" s="1"/>
  <c r="GU5" i="9"/>
  <c r="GE9" i="9"/>
  <c r="FN13" i="9"/>
  <c r="FO13" i="9" s="1"/>
  <c r="FN26" i="9"/>
  <c r="FO26" i="9" s="1"/>
  <c r="HJ3" i="9"/>
  <c r="HK3" i="9" s="1"/>
  <c r="GU4" i="9"/>
  <c r="GE5" i="9"/>
  <c r="FN8" i="9"/>
  <c r="FO8" i="9" s="1"/>
  <c r="HT12" i="9"/>
  <c r="EY13" i="9"/>
  <c r="HJ15" i="9"/>
  <c r="HK15" i="9" s="1"/>
  <c r="HJ16" i="9"/>
  <c r="HK16" i="9" s="1"/>
  <c r="HJ19" i="9"/>
  <c r="HK19" i="9" s="1"/>
  <c r="HJ20" i="9"/>
  <c r="HK20" i="9" s="1"/>
  <c r="HJ26" i="9"/>
  <c r="HK26" i="9" s="1"/>
  <c r="HW26" i="9"/>
  <c r="HJ2" i="9"/>
  <c r="HK2" i="9" s="1"/>
  <c r="GE4" i="9"/>
  <c r="FN6" i="9"/>
  <c r="FO6" i="9" s="1"/>
  <c r="EY8" i="9"/>
  <c r="HT8" i="9"/>
  <c r="EI13" i="9"/>
  <c r="HJ13" i="9"/>
  <c r="HK13" i="9" s="1"/>
  <c r="GU16" i="9"/>
  <c r="FN24" i="9"/>
  <c r="FO24" i="9" s="1"/>
  <c r="GU26" i="9"/>
  <c r="GU2" i="9"/>
  <c r="EY6" i="9"/>
  <c r="HT6" i="9"/>
  <c r="EY7" i="9"/>
  <c r="HT7" i="9"/>
  <c r="EI8" i="9"/>
  <c r="HX11" i="9"/>
  <c r="HW12" i="9"/>
  <c r="HJ14" i="9"/>
  <c r="HK14" i="9" s="1"/>
  <c r="GU15" i="9"/>
  <c r="GE16" i="9"/>
  <c r="HJ24" i="9"/>
  <c r="HK24" i="9" s="1"/>
  <c r="FR8" i="9"/>
  <c r="FN5" i="9"/>
  <c r="FO5" i="9" s="1"/>
  <c r="FN7" i="9"/>
  <c r="FO7" i="9" s="1"/>
  <c r="FN10" i="9"/>
  <c r="FO10" i="9" s="1"/>
  <c r="HX13" i="9"/>
  <c r="EY14" i="9"/>
  <c r="FU14" i="9"/>
  <c r="FN18" i="9"/>
  <c r="FO18" i="9" s="1"/>
  <c r="HJ21" i="9"/>
  <c r="HK21" i="9" s="1"/>
  <c r="HJ23" i="9"/>
  <c r="HK23" i="9" s="1"/>
  <c r="HJ25" i="9"/>
  <c r="HK25" i="9" s="1"/>
  <c r="GU27" i="9"/>
  <c r="FR2" i="9"/>
  <c r="FN3" i="9"/>
  <c r="FO3" i="9" s="1"/>
  <c r="HT9" i="9"/>
  <c r="FN11" i="9"/>
  <c r="FO11" i="9" s="1"/>
  <c r="EI14" i="9"/>
  <c r="GE15" i="9"/>
  <c r="FT16" i="9"/>
  <c r="HT17" i="9"/>
  <c r="FN19" i="9"/>
  <c r="FO19" i="9" s="1"/>
  <c r="FR21" i="9"/>
  <c r="HJ27" i="9"/>
  <c r="HK27" i="9" s="1"/>
  <c r="HY27" i="9"/>
  <c r="EI11" i="9"/>
  <c r="FN12" i="9"/>
  <c r="FO12" i="9" s="1"/>
  <c r="EI19" i="9"/>
  <c r="FN20" i="9"/>
  <c r="FO20" i="9" s="1"/>
  <c r="GU21" i="9"/>
  <c r="GE21" i="9"/>
  <c r="HT21" i="9"/>
  <c r="HJ10" i="9"/>
  <c r="HK10" i="9" s="1"/>
  <c r="HJ18" i="9"/>
  <c r="HK18" i="9" s="1"/>
  <c r="HT19" i="9"/>
  <c r="EY22" i="9"/>
  <c r="GU23" i="9"/>
  <c r="GE23" i="9"/>
  <c r="EY24" i="9"/>
  <c r="GU25" i="9"/>
  <c r="GE25" i="9"/>
  <c r="EY26" i="9"/>
  <c r="GE26" i="9"/>
  <c r="FR4" i="9"/>
  <c r="FR6" i="9"/>
  <c r="EY10" i="9"/>
  <c r="EY18" i="9"/>
  <c r="EI22" i="9"/>
  <c r="HW22" i="9"/>
  <c r="EI24" i="9"/>
  <c r="HW24" i="9"/>
  <c r="EI26" i="9"/>
  <c r="EI10" i="9"/>
  <c r="GE11" i="9"/>
  <c r="HT13" i="9"/>
  <c r="FN15" i="9"/>
  <c r="FO15" i="9" s="1"/>
  <c r="EI18" i="9"/>
  <c r="GE19" i="9"/>
  <c r="HT27" i="9"/>
  <c r="FR9" i="9"/>
  <c r="EI15" i="9"/>
  <c r="FR17" i="9"/>
  <c r="FN23" i="9"/>
  <c r="FO23" i="9" s="1"/>
  <c r="FN25" i="9"/>
  <c r="FO25" i="9" s="1"/>
  <c r="FN27" i="9"/>
  <c r="FO27" i="9" s="1"/>
  <c r="CU58" i="1" l="1"/>
  <c r="CW147" i="1" l="1"/>
  <c r="CU147" i="1"/>
  <c r="CU139" i="1"/>
  <c r="CU195" i="1"/>
  <c r="CU388" i="1" l="1"/>
  <c r="B35" i="7" l="1"/>
  <c r="B34" i="7"/>
  <c r="CU241" i="1"/>
  <c r="A17" i="7"/>
  <c r="DE403" i="1"/>
  <c r="DE404" i="1"/>
  <c r="DE405" i="1"/>
  <c r="DE406" i="1"/>
  <c r="DE407" i="1"/>
  <c r="DE408" i="1"/>
  <c r="DE409" i="1"/>
  <c r="DE410" i="1"/>
  <c r="DE411" i="1"/>
  <c r="DE412" i="1"/>
  <c r="DE413" i="1"/>
  <c r="DE414" i="1"/>
  <c r="DE415" i="1"/>
  <c r="DE417" i="1"/>
  <c r="DE420" i="1"/>
  <c r="DE423" i="1"/>
  <c r="DE425" i="1"/>
  <c r="DE426" i="1"/>
  <c r="DE427" i="1"/>
  <c r="DE428" i="1"/>
  <c r="DE429" i="1"/>
  <c r="DE430" i="1"/>
  <c r="DE431" i="1"/>
  <c r="DE432" i="1"/>
  <c r="DE433" i="1"/>
  <c r="DE434" i="1"/>
  <c r="DE435" i="1"/>
  <c r="DE436" i="1"/>
  <c r="DE437" i="1"/>
  <c r="DE438" i="1"/>
  <c r="DE439" i="1"/>
  <c r="DE440" i="1"/>
  <c r="DE441" i="1"/>
  <c r="DE442" i="1"/>
  <c r="DE443" i="1"/>
  <c r="DE444" i="1"/>
  <c r="DE445" i="1"/>
  <c r="DE446" i="1"/>
  <c r="DE447" i="1"/>
  <c r="DE448" i="1"/>
  <c r="DE449" i="1"/>
  <c r="DE450" i="1"/>
  <c r="DE451" i="1"/>
  <c r="DE452" i="1"/>
  <c r="DE453" i="1"/>
  <c r="CW385" i="1"/>
  <c r="CU379" i="1"/>
  <c r="CW379" i="1" s="1"/>
  <c r="CU380" i="1"/>
  <c r="CW380" i="1" s="1"/>
  <c r="CU381" i="1"/>
  <c r="CW381" i="1" s="1"/>
  <c r="CU382" i="1"/>
  <c r="CW382" i="1" s="1"/>
  <c r="CU383" i="1"/>
  <c r="CW383" i="1" s="1"/>
  <c r="CU384" i="1"/>
  <c r="CW384" i="1" s="1"/>
  <c r="CU385" i="1"/>
  <c r="CU386" i="1"/>
  <c r="CW386" i="1" s="1"/>
  <c r="CU387" i="1"/>
  <c r="CW387" i="1" s="1"/>
  <c r="CW388" i="1"/>
  <c r="CU389" i="1"/>
  <c r="CW389" i="1" s="1"/>
  <c r="CU390" i="1"/>
  <c r="CW390" i="1" s="1"/>
  <c r="DD403" i="1" l="1"/>
  <c r="DD404" i="1"/>
  <c r="DD405" i="1"/>
  <c r="DD406" i="1"/>
  <c r="DD407" i="1"/>
  <c r="DD408" i="1"/>
  <c r="DD409" i="1"/>
  <c r="DD410" i="1"/>
  <c r="DD411" i="1"/>
  <c r="DD412" i="1"/>
  <c r="DD413" i="1"/>
  <c r="DD414" i="1"/>
  <c r="DD415" i="1"/>
  <c r="DD417" i="1"/>
  <c r="DD420" i="1"/>
  <c r="DD423" i="1"/>
  <c r="DD425" i="1"/>
  <c r="DD426" i="1"/>
  <c r="DD427" i="1"/>
  <c r="DD428" i="1"/>
  <c r="DD429" i="1"/>
  <c r="DD430" i="1"/>
  <c r="DD431" i="1"/>
  <c r="DD432" i="1"/>
  <c r="DD433" i="1"/>
  <c r="DD434" i="1"/>
  <c r="DD435" i="1"/>
  <c r="DD436" i="1"/>
  <c r="DD437" i="1"/>
  <c r="DD438" i="1"/>
  <c r="DD439" i="1"/>
  <c r="DD440" i="1"/>
  <c r="DD441" i="1"/>
  <c r="DD442" i="1"/>
  <c r="DD443" i="1"/>
  <c r="DD444" i="1"/>
  <c r="DD445" i="1"/>
  <c r="DD446" i="1"/>
  <c r="DD447" i="1"/>
  <c r="DD448" i="1"/>
  <c r="DD449" i="1"/>
  <c r="DD450" i="1"/>
  <c r="DD451" i="1"/>
  <c r="DD452" i="1"/>
  <c r="DD453" i="1"/>
  <c r="DC424" i="1"/>
  <c r="DC422" i="1"/>
  <c r="DC421" i="1"/>
  <c r="DC419" i="1"/>
  <c r="DC418" i="1"/>
  <c r="DC416" i="1"/>
  <c r="DC3" i="1"/>
  <c r="DD3" i="1" s="1"/>
  <c r="DC4" i="1"/>
  <c r="DD4" i="1" s="1"/>
  <c r="DC5" i="1"/>
  <c r="DD5" i="1" s="1"/>
  <c r="DC6" i="1"/>
  <c r="DD6" i="1" s="1"/>
  <c r="DC7" i="1"/>
  <c r="DD7" i="1" s="1"/>
  <c r="DC8" i="1"/>
  <c r="DD8" i="1" s="1"/>
  <c r="DC9" i="1"/>
  <c r="DD9" i="1" s="1"/>
  <c r="DC10" i="1"/>
  <c r="DD10" i="1" s="1"/>
  <c r="DC11" i="1"/>
  <c r="DD11" i="1" s="1"/>
  <c r="DC12" i="1"/>
  <c r="DD12" i="1" s="1"/>
  <c r="DC13" i="1"/>
  <c r="DD13" i="1" s="1"/>
  <c r="DC14" i="1"/>
  <c r="DD14" i="1" s="1"/>
  <c r="DC15" i="1"/>
  <c r="DD15" i="1" s="1"/>
  <c r="DC16" i="1"/>
  <c r="DD16" i="1" s="1"/>
  <c r="DC17" i="1"/>
  <c r="DD17" i="1" s="1"/>
  <c r="DC18" i="1"/>
  <c r="DD18" i="1" s="1"/>
  <c r="DC19" i="1"/>
  <c r="DD19" i="1" s="1"/>
  <c r="DC20" i="1"/>
  <c r="DD20" i="1" s="1"/>
  <c r="DC21" i="1"/>
  <c r="DD21" i="1" s="1"/>
  <c r="DC22" i="1"/>
  <c r="DD22" i="1" s="1"/>
  <c r="DC23" i="1"/>
  <c r="DD23" i="1" s="1"/>
  <c r="DC24" i="1"/>
  <c r="DD24" i="1" s="1"/>
  <c r="DC25" i="1"/>
  <c r="DD25" i="1" s="1"/>
  <c r="DC26" i="1"/>
  <c r="DD26" i="1" s="1"/>
  <c r="DC27" i="1"/>
  <c r="DD27" i="1" s="1"/>
  <c r="DC28" i="1"/>
  <c r="DD28" i="1" s="1"/>
  <c r="DC29" i="1"/>
  <c r="DD29" i="1" s="1"/>
  <c r="DC30" i="1"/>
  <c r="DD30" i="1" s="1"/>
  <c r="DC31" i="1"/>
  <c r="DD31" i="1" s="1"/>
  <c r="DC32" i="1"/>
  <c r="DD32" i="1" s="1"/>
  <c r="DC33" i="1"/>
  <c r="DD33" i="1" s="1"/>
  <c r="DC34" i="1"/>
  <c r="DD34" i="1" s="1"/>
  <c r="DC35" i="1"/>
  <c r="DD35" i="1" s="1"/>
  <c r="DC36" i="1"/>
  <c r="DD36" i="1" s="1"/>
  <c r="DC37" i="1"/>
  <c r="DD37" i="1" s="1"/>
  <c r="DC38" i="1"/>
  <c r="DD38" i="1" s="1"/>
  <c r="DC39" i="1"/>
  <c r="DD39" i="1" s="1"/>
  <c r="DC40" i="1"/>
  <c r="DD40" i="1" s="1"/>
  <c r="DC41" i="1"/>
  <c r="DD41" i="1" s="1"/>
  <c r="DC42" i="1"/>
  <c r="DD42" i="1" s="1"/>
  <c r="DC43" i="1"/>
  <c r="DD43" i="1" s="1"/>
  <c r="DC44" i="1"/>
  <c r="DD44" i="1" s="1"/>
  <c r="DC45" i="1"/>
  <c r="DD45" i="1" s="1"/>
  <c r="DC46" i="1"/>
  <c r="DD46" i="1" s="1"/>
  <c r="DC47" i="1"/>
  <c r="DD47" i="1" s="1"/>
  <c r="DC48" i="1"/>
  <c r="DD48" i="1" s="1"/>
  <c r="DC49" i="1"/>
  <c r="DD49" i="1" s="1"/>
  <c r="DC50" i="1"/>
  <c r="DD50" i="1" s="1"/>
  <c r="DC51" i="1"/>
  <c r="DD51" i="1" s="1"/>
  <c r="DC52" i="1"/>
  <c r="DD52" i="1" s="1"/>
  <c r="DC53" i="1"/>
  <c r="DD53" i="1" s="1"/>
  <c r="DC54" i="1"/>
  <c r="DD54" i="1" s="1"/>
  <c r="DC55" i="1"/>
  <c r="DD55" i="1" s="1"/>
  <c r="DC56" i="1"/>
  <c r="DD56" i="1" s="1"/>
  <c r="DC57" i="1"/>
  <c r="DD57" i="1" s="1"/>
  <c r="DC58" i="1"/>
  <c r="DD58" i="1" s="1"/>
  <c r="DC59" i="1"/>
  <c r="DD59" i="1" s="1"/>
  <c r="DC60" i="1"/>
  <c r="DD60" i="1" s="1"/>
  <c r="DC61" i="1"/>
  <c r="DD61" i="1" s="1"/>
  <c r="DC62" i="1"/>
  <c r="DD62" i="1" s="1"/>
  <c r="DC63" i="1"/>
  <c r="DD63" i="1" s="1"/>
  <c r="DC64" i="1"/>
  <c r="DD64" i="1" s="1"/>
  <c r="DC65" i="1"/>
  <c r="DD65" i="1" s="1"/>
  <c r="DC66" i="1"/>
  <c r="DD66" i="1" s="1"/>
  <c r="DC67" i="1"/>
  <c r="DD67" i="1" s="1"/>
  <c r="DC69" i="1"/>
  <c r="DD69" i="1" s="1"/>
  <c r="DC70" i="1"/>
  <c r="DD70" i="1" s="1"/>
  <c r="DC71" i="1"/>
  <c r="DD71" i="1" s="1"/>
  <c r="DC72" i="1"/>
  <c r="DD72" i="1" s="1"/>
  <c r="DC73" i="1"/>
  <c r="DD73" i="1" s="1"/>
  <c r="DC75" i="1"/>
  <c r="DD75" i="1" s="1"/>
  <c r="DC76" i="1"/>
  <c r="DD76" i="1" s="1"/>
  <c r="DC77" i="1"/>
  <c r="DD77" i="1" s="1"/>
  <c r="DC78" i="1"/>
  <c r="DD78" i="1" s="1"/>
  <c r="DC79" i="1"/>
  <c r="DD79" i="1" s="1"/>
  <c r="DC80" i="1"/>
  <c r="DD80" i="1" s="1"/>
  <c r="DC81" i="1"/>
  <c r="DD81" i="1" s="1"/>
  <c r="DC82" i="1"/>
  <c r="DD82" i="1" s="1"/>
  <c r="DC83" i="1"/>
  <c r="DD83" i="1" s="1"/>
  <c r="DC85" i="1"/>
  <c r="DD85" i="1" s="1"/>
  <c r="DC86" i="1"/>
  <c r="DD86" i="1" s="1"/>
  <c r="DC87" i="1"/>
  <c r="DD87" i="1" s="1"/>
  <c r="DC88" i="1"/>
  <c r="DD88" i="1" s="1"/>
  <c r="DC89" i="1"/>
  <c r="DD89" i="1" s="1"/>
  <c r="DC90" i="1"/>
  <c r="DD90" i="1" s="1"/>
  <c r="DC91" i="1"/>
  <c r="DC92" i="1"/>
  <c r="DD92" i="1" s="1"/>
  <c r="DC93" i="1"/>
  <c r="DD93" i="1" s="1"/>
  <c r="DC94" i="1"/>
  <c r="DD94" i="1" s="1"/>
  <c r="DC95" i="1"/>
  <c r="DD95" i="1" s="1"/>
  <c r="DC96" i="1"/>
  <c r="DD96" i="1" s="1"/>
  <c r="DC97" i="1"/>
  <c r="DD97" i="1" s="1"/>
  <c r="DC98" i="1"/>
  <c r="DD98" i="1" s="1"/>
  <c r="DC99" i="1"/>
  <c r="DD99" i="1" s="1"/>
  <c r="DC100" i="1"/>
  <c r="DD100" i="1" s="1"/>
  <c r="DC101" i="1"/>
  <c r="DD101" i="1" s="1"/>
  <c r="DC102" i="1"/>
  <c r="DD102" i="1" s="1"/>
  <c r="DC103" i="1"/>
  <c r="DD103" i="1" s="1"/>
  <c r="DC104" i="1"/>
  <c r="DD104" i="1" s="1"/>
  <c r="DC105" i="1"/>
  <c r="DD105" i="1" s="1"/>
  <c r="DC106" i="1"/>
  <c r="DD106" i="1" s="1"/>
  <c r="DC107" i="1"/>
  <c r="DD107" i="1" s="1"/>
  <c r="DC108" i="1"/>
  <c r="DD108" i="1" s="1"/>
  <c r="DC109" i="1"/>
  <c r="DD109" i="1" s="1"/>
  <c r="DC110" i="1"/>
  <c r="DD110" i="1" s="1"/>
  <c r="DC111" i="1"/>
  <c r="DD111" i="1" s="1"/>
  <c r="DC112" i="1"/>
  <c r="DD112" i="1" s="1"/>
  <c r="DC113" i="1"/>
  <c r="DD113" i="1" s="1"/>
  <c r="DC114" i="1"/>
  <c r="DD114" i="1" s="1"/>
  <c r="DC115" i="1"/>
  <c r="DD115" i="1" s="1"/>
  <c r="DC116" i="1"/>
  <c r="DD116" i="1" s="1"/>
  <c r="DC117" i="1"/>
  <c r="DD117" i="1" s="1"/>
  <c r="DC118" i="1"/>
  <c r="DD118" i="1" s="1"/>
  <c r="DC119" i="1"/>
  <c r="DD119" i="1" s="1"/>
  <c r="DC120" i="1"/>
  <c r="DD120" i="1" s="1"/>
  <c r="DC121" i="1"/>
  <c r="DD121" i="1" s="1"/>
  <c r="DC122" i="1"/>
  <c r="DD122" i="1" s="1"/>
  <c r="DC123" i="1"/>
  <c r="DD123" i="1" s="1"/>
  <c r="DC124" i="1"/>
  <c r="DD124" i="1" s="1"/>
  <c r="DC125" i="1"/>
  <c r="DD125" i="1" s="1"/>
  <c r="DC126" i="1"/>
  <c r="DD126" i="1" s="1"/>
  <c r="DC127" i="1"/>
  <c r="DD127" i="1" s="1"/>
  <c r="DC128" i="1"/>
  <c r="DD128" i="1" s="1"/>
  <c r="DC129" i="1"/>
  <c r="DD129" i="1" s="1"/>
  <c r="DC130" i="1"/>
  <c r="DD130" i="1" s="1"/>
  <c r="DC131" i="1"/>
  <c r="DD131" i="1" s="1"/>
  <c r="DC132" i="1"/>
  <c r="DD132" i="1" s="1"/>
  <c r="DC133" i="1"/>
  <c r="DD133" i="1" s="1"/>
  <c r="DC134" i="1"/>
  <c r="DD134" i="1" s="1"/>
  <c r="DC135" i="1"/>
  <c r="DD135" i="1" s="1"/>
  <c r="DC136" i="1"/>
  <c r="DD136" i="1" s="1"/>
  <c r="DC137" i="1"/>
  <c r="DD137" i="1" s="1"/>
  <c r="DC138" i="1"/>
  <c r="DD138" i="1" s="1"/>
  <c r="DC139" i="1"/>
  <c r="DD139" i="1" s="1"/>
  <c r="DC140" i="1"/>
  <c r="DD140" i="1" s="1"/>
  <c r="DC141" i="1"/>
  <c r="DD141" i="1" s="1"/>
  <c r="DC142" i="1"/>
  <c r="DD142" i="1" s="1"/>
  <c r="DC143" i="1"/>
  <c r="DD143" i="1" s="1"/>
  <c r="DC144" i="1"/>
  <c r="DD144" i="1" s="1"/>
  <c r="DC145" i="1"/>
  <c r="DD145" i="1" s="1"/>
  <c r="DC146" i="1"/>
  <c r="DD146" i="1" s="1"/>
  <c r="DC147" i="1"/>
  <c r="DD147" i="1" s="1"/>
  <c r="DC148" i="1"/>
  <c r="DD148" i="1" s="1"/>
  <c r="DC149" i="1"/>
  <c r="DD149" i="1" s="1"/>
  <c r="DC150" i="1"/>
  <c r="DD150" i="1" s="1"/>
  <c r="DC151" i="1"/>
  <c r="DD151" i="1" s="1"/>
  <c r="DC152" i="1"/>
  <c r="DD152" i="1" s="1"/>
  <c r="DC153" i="1"/>
  <c r="DD153" i="1" s="1"/>
  <c r="DC154" i="1"/>
  <c r="DD154" i="1" s="1"/>
  <c r="DC155" i="1"/>
  <c r="DD155" i="1" s="1"/>
  <c r="DC156" i="1"/>
  <c r="DD156" i="1" s="1"/>
  <c r="DC157" i="1"/>
  <c r="DD157" i="1" s="1"/>
  <c r="DC158" i="1"/>
  <c r="DD158" i="1" s="1"/>
  <c r="DC159" i="1"/>
  <c r="DD159" i="1" s="1"/>
  <c r="DC160" i="1"/>
  <c r="DD160" i="1" s="1"/>
  <c r="DC161" i="1"/>
  <c r="DD161" i="1" s="1"/>
  <c r="DC162" i="1"/>
  <c r="DD162" i="1" s="1"/>
  <c r="DC163" i="1"/>
  <c r="DD163" i="1" s="1"/>
  <c r="DC164" i="1"/>
  <c r="DD164" i="1" s="1"/>
  <c r="DC165" i="1"/>
  <c r="DD165" i="1" s="1"/>
  <c r="DC166" i="1"/>
  <c r="DD166" i="1" s="1"/>
  <c r="DC167" i="1"/>
  <c r="DD167" i="1" s="1"/>
  <c r="DC168" i="1"/>
  <c r="DD168" i="1" s="1"/>
  <c r="DC169" i="1"/>
  <c r="DD169" i="1" s="1"/>
  <c r="DC170" i="1"/>
  <c r="DD170" i="1" s="1"/>
  <c r="DC171" i="1"/>
  <c r="DD171" i="1" s="1"/>
  <c r="DC172" i="1"/>
  <c r="DD172" i="1" s="1"/>
  <c r="DC173" i="1"/>
  <c r="DD173" i="1" s="1"/>
  <c r="DC174" i="1"/>
  <c r="DD174" i="1" s="1"/>
  <c r="DC175" i="1"/>
  <c r="DD175" i="1" s="1"/>
  <c r="DC176" i="1"/>
  <c r="DD176" i="1" s="1"/>
  <c r="DC177" i="1"/>
  <c r="DD177" i="1" s="1"/>
  <c r="DC178" i="1"/>
  <c r="DD178" i="1" s="1"/>
  <c r="DC180" i="1"/>
  <c r="DD180" i="1" s="1"/>
  <c r="DC181" i="1"/>
  <c r="DD181" i="1" s="1"/>
  <c r="DC182" i="1"/>
  <c r="DD182" i="1" s="1"/>
  <c r="DC183" i="1"/>
  <c r="DD183" i="1" s="1"/>
  <c r="DC184" i="1"/>
  <c r="DD184" i="1" s="1"/>
  <c r="DC185" i="1"/>
  <c r="DD185" i="1" s="1"/>
  <c r="DC186" i="1"/>
  <c r="DD186" i="1" s="1"/>
  <c r="DC187" i="1"/>
  <c r="DD187" i="1" s="1"/>
  <c r="DC188" i="1"/>
  <c r="DD188" i="1" s="1"/>
  <c r="DC189" i="1"/>
  <c r="DD189" i="1" s="1"/>
  <c r="DC190" i="1"/>
  <c r="DD190" i="1" s="1"/>
  <c r="DC191" i="1"/>
  <c r="DD191" i="1" s="1"/>
  <c r="DC192" i="1"/>
  <c r="DD192" i="1" s="1"/>
  <c r="DC193" i="1"/>
  <c r="DD193" i="1" s="1"/>
  <c r="DC194" i="1"/>
  <c r="DD194" i="1" s="1"/>
  <c r="DC195" i="1"/>
  <c r="DD195" i="1" s="1"/>
  <c r="DC196" i="1"/>
  <c r="DD196" i="1" s="1"/>
  <c r="DC197" i="1"/>
  <c r="DD197" i="1" s="1"/>
  <c r="DC198" i="1"/>
  <c r="DD198" i="1" s="1"/>
  <c r="DC199" i="1"/>
  <c r="DD199" i="1" s="1"/>
  <c r="DC200" i="1"/>
  <c r="DD200" i="1" s="1"/>
  <c r="DC201" i="1"/>
  <c r="DD201" i="1" s="1"/>
  <c r="DC202" i="1"/>
  <c r="DD202" i="1" s="1"/>
  <c r="DC203" i="1"/>
  <c r="DD203" i="1" s="1"/>
  <c r="DC204" i="1"/>
  <c r="DD204" i="1" s="1"/>
  <c r="DC205" i="1"/>
  <c r="DD205" i="1" s="1"/>
  <c r="DC206" i="1"/>
  <c r="DD206" i="1" s="1"/>
  <c r="DC207" i="1"/>
  <c r="DD207" i="1" s="1"/>
  <c r="DC208" i="1"/>
  <c r="DD208" i="1" s="1"/>
  <c r="DC209" i="1"/>
  <c r="DD209" i="1" s="1"/>
  <c r="DC210" i="1"/>
  <c r="DD210" i="1" s="1"/>
  <c r="DC211" i="1"/>
  <c r="DD211" i="1" s="1"/>
  <c r="DC212" i="1"/>
  <c r="DD212" i="1" s="1"/>
  <c r="DC213" i="1"/>
  <c r="DD213" i="1" s="1"/>
  <c r="DC214" i="1"/>
  <c r="DD214" i="1" s="1"/>
  <c r="DC215" i="1"/>
  <c r="DD215" i="1" s="1"/>
  <c r="DC216" i="1"/>
  <c r="DD216" i="1" s="1"/>
  <c r="DC217" i="1"/>
  <c r="DD217" i="1" s="1"/>
  <c r="DC218" i="1"/>
  <c r="DD218" i="1" s="1"/>
  <c r="DC219" i="1"/>
  <c r="DD219" i="1" s="1"/>
  <c r="DC220" i="1"/>
  <c r="DD220" i="1" s="1"/>
  <c r="DC221" i="1"/>
  <c r="DD221" i="1" s="1"/>
  <c r="DC222" i="1"/>
  <c r="DD222" i="1" s="1"/>
  <c r="DC223" i="1"/>
  <c r="DD223" i="1" s="1"/>
  <c r="DC224" i="1"/>
  <c r="DD224" i="1" s="1"/>
  <c r="DC225" i="1"/>
  <c r="DD225" i="1" s="1"/>
  <c r="DC226" i="1"/>
  <c r="DD226" i="1" s="1"/>
  <c r="DC227" i="1"/>
  <c r="DD227" i="1" s="1"/>
  <c r="DC228" i="1"/>
  <c r="DD228" i="1" s="1"/>
  <c r="DC229" i="1"/>
  <c r="DD229" i="1" s="1"/>
  <c r="DC230" i="1"/>
  <c r="DD230" i="1" s="1"/>
  <c r="DC231" i="1"/>
  <c r="DD231" i="1" s="1"/>
  <c r="DC232" i="1"/>
  <c r="DD232" i="1" s="1"/>
  <c r="DC233" i="1"/>
  <c r="DD233" i="1" s="1"/>
  <c r="DC234" i="1"/>
  <c r="DD234" i="1" s="1"/>
  <c r="DC235" i="1"/>
  <c r="DD235" i="1" s="1"/>
  <c r="DC236" i="1"/>
  <c r="DD236" i="1" s="1"/>
  <c r="DC237" i="1"/>
  <c r="DD237" i="1" s="1"/>
  <c r="DC238" i="1"/>
  <c r="DD238" i="1" s="1"/>
  <c r="DC239" i="1"/>
  <c r="DD239" i="1" s="1"/>
  <c r="DC240" i="1"/>
  <c r="DD240" i="1" s="1"/>
  <c r="DC241" i="1"/>
  <c r="DD241" i="1" s="1"/>
  <c r="DC242" i="1"/>
  <c r="DD242" i="1" s="1"/>
  <c r="DC243" i="1"/>
  <c r="DD243" i="1" s="1"/>
  <c r="DC244" i="1"/>
  <c r="DD244" i="1" s="1"/>
  <c r="DC245" i="1"/>
  <c r="DD245" i="1" s="1"/>
  <c r="DC246" i="1"/>
  <c r="DD246" i="1" s="1"/>
  <c r="DC247" i="1"/>
  <c r="DD247" i="1" s="1"/>
  <c r="DC248" i="1"/>
  <c r="DD248" i="1" s="1"/>
  <c r="DC249" i="1"/>
  <c r="DD249" i="1" s="1"/>
  <c r="DC250" i="1"/>
  <c r="DD250" i="1" s="1"/>
  <c r="DC251" i="1"/>
  <c r="DD251" i="1" s="1"/>
  <c r="DC252" i="1"/>
  <c r="DD252" i="1" s="1"/>
  <c r="DC253" i="1"/>
  <c r="DD253" i="1" s="1"/>
  <c r="DC254" i="1"/>
  <c r="DD254" i="1" s="1"/>
  <c r="DC255" i="1"/>
  <c r="DD255" i="1" s="1"/>
  <c r="DC256" i="1"/>
  <c r="DD256" i="1" s="1"/>
  <c r="DC257" i="1"/>
  <c r="DD257" i="1" s="1"/>
  <c r="DC258" i="1"/>
  <c r="DD258" i="1" s="1"/>
  <c r="DC259" i="1"/>
  <c r="DD259" i="1" s="1"/>
  <c r="DC260" i="1"/>
  <c r="DD260" i="1" s="1"/>
  <c r="DC261" i="1"/>
  <c r="DD261" i="1" s="1"/>
  <c r="DC262" i="1"/>
  <c r="DD262" i="1" s="1"/>
  <c r="DC263" i="1"/>
  <c r="DD263" i="1" s="1"/>
  <c r="DC264" i="1"/>
  <c r="DD264" i="1" s="1"/>
  <c r="DC265" i="1"/>
  <c r="DD265" i="1" s="1"/>
  <c r="DC266" i="1"/>
  <c r="DD266" i="1" s="1"/>
  <c r="DC267" i="1"/>
  <c r="DD267" i="1" s="1"/>
  <c r="DC268" i="1"/>
  <c r="DD268" i="1" s="1"/>
  <c r="DC269" i="1"/>
  <c r="DD269" i="1" s="1"/>
  <c r="DC270" i="1"/>
  <c r="DD270" i="1" s="1"/>
  <c r="DC271" i="1"/>
  <c r="DD271" i="1" s="1"/>
  <c r="DC272" i="1"/>
  <c r="DD272" i="1" s="1"/>
  <c r="DC273" i="1"/>
  <c r="DD273" i="1" s="1"/>
  <c r="DC274" i="1"/>
  <c r="DD274" i="1" s="1"/>
  <c r="DC275" i="1"/>
  <c r="DD275" i="1" s="1"/>
  <c r="DC276" i="1"/>
  <c r="DD276" i="1" s="1"/>
  <c r="DC277" i="1"/>
  <c r="DD277" i="1" s="1"/>
  <c r="DC278" i="1"/>
  <c r="DD278" i="1" s="1"/>
  <c r="DC279" i="1"/>
  <c r="DD279" i="1" s="1"/>
  <c r="DC280" i="1"/>
  <c r="DD280" i="1" s="1"/>
  <c r="DC281" i="1"/>
  <c r="DD281" i="1" s="1"/>
  <c r="DC282" i="1"/>
  <c r="DD282" i="1" s="1"/>
  <c r="DC283" i="1"/>
  <c r="DD283" i="1" s="1"/>
  <c r="DC284" i="1"/>
  <c r="DD284" i="1" s="1"/>
  <c r="DC285" i="1"/>
  <c r="DD285" i="1" s="1"/>
  <c r="DC286" i="1"/>
  <c r="DD286" i="1" s="1"/>
  <c r="DC287" i="1"/>
  <c r="DD287" i="1" s="1"/>
  <c r="DC288" i="1"/>
  <c r="DD288" i="1" s="1"/>
  <c r="DC289" i="1"/>
  <c r="DD289" i="1" s="1"/>
  <c r="DC290" i="1"/>
  <c r="DD290" i="1" s="1"/>
  <c r="DC291" i="1"/>
  <c r="DD291" i="1" s="1"/>
  <c r="DC292" i="1"/>
  <c r="DD292" i="1" s="1"/>
  <c r="DC293" i="1"/>
  <c r="DD293" i="1" s="1"/>
  <c r="DC294" i="1"/>
  <c r="DD294" i="1" s="1"/>
  <c r="DC295" i="1"/>
  <c r="DD295" i="1" s="1"/>
  <c r="DC296" i="1"/>
  <c r="DD296" i="1" s="1"/>
  <c r="DC297" i="1"/>
  <c r="DD297" i="1" s="1"/>
  <c r="DC298" i="1"/>
  <c r="DD298" i="1" s="1"/>
  <c r="DC299" i="1"/>
  <c r="DD299" i="1" s="1"/>
  <c r="DC300" i="1"/>
  <c r="DD300" i="1" s="1"/>
  <c r="DC301" i="1"/>
  <c r="DD301" i="1" s="1"/>
  <c r="DC302" i="1"/>
  <c r="DD302" i="1" s="1"/>
  <c r="DC303" i="1"/>
  <c r="DD303" i="1" s="1"/>
  <c r="DC304" i="1"/>
  <c r="DD304" i="1" s="1"/>
  <c r="DC305" i="1"/>
  <c r="DD305" i="1" s="1"/>
  <c r="DC306" i="1"/>
  <c r="DD306" i="1" s="1"/>
  <c r="DC307" i="1"/>
  <c r="DD307" i="1" s="1"/>
  <c r="DC308" i="1"/>
  <c r="DD308" i="1" s="1"/>
  <c r="DC309" i="1"/>
  <c r="DD309" i="1" s="1"/>
  <c r="DC310" i="1"/>
  <c r="DD310" i="1" s="1"/>
  <c r="DC311" i="1"/>
  <c r="DD311" i="1" s="1"/>
  <c r="DC312" i="1"/>
  <c r="DD312" i="1" s="1"/>
  <c r="DC313" i="1"/>
  <c r="DD313" i="1" s="1"/>
  <c r="DC314" i="1"/>
  <c r="DD314" i="1" s="1"/>
  <c r="DC315" i="1"/>
  <c r="DD315" i="1" s="1"/>
  <c r="DC316" i="1"/>
  <c r="DD316" i="1" s="1"/>
  <c r="DC317" i="1"/>
  <c r="DD317" i="1" s="1"/>
  <c r="DC318" i="1"/>
  <c r="DD318" i="1" s="1"/>
  <c r="DC319" i="1"/>
  <c r="DD319" i="1" s="1"/>
  <c r="DC320" i="1"/>
  <c r="DD320" i="1" s="1"/>
  <c r="DC321" i="1"/>
  <c r="DD321" i="1" s="1"/>
  <c r="DC322" i="1"/>
  <c r="DD322" i="1" s="1"/>
  <c r="DC323" i="1"/>
  <c r="DD323" i="1" s="1"/>
  <c r="DC324" i="1"/>
  <c r="DD324" i="1" s="1"/>
  <c r="DC325" i="1"/>
  <c r="DD325" i="1" s="1"/>
  <c r="DC326" i="1"/>
  <c r="DD326" i="1" s="1"/>
  <c r="DC327" i="1"/>
  <c r="DD327" i="1" s="1"/>
  <c r="DC328" i="1"/>
  <c r="DD328" i="1" s="1"/>
  <c r="DC329" i="1"/>
  <c r="DD329" i="1" s="1"/>
  <c r="DC330" i="1"/>
  <c r="DD330" i="1" s="1"/>
  <c r="DC331" i="1"/>
  <c r="DD331" i="1" s="1"/>
  <c r="DC332" i="1"/>
  <c r="DD332" i="1" s="1"/>
  <c r="DC333" i="1"/>
  <c r="DD333" i="1" s="1"/>
  <c r="DC334" i="1"/>
  <c r="DD334" i="1" s="1"/>
  <c r="DC335" i="1"/>
  <c r="DD335" i="1" s="1"/>
  <c r="DC336" i="1"/>
  <c r="DD336" i="1" s="1"/>
  <c r="DC337" i="1"/>
  <c r="DD337" i="1" s="1"/>
  <c r="DC338" i="1"/>
  <c r="DD338" i="1" s="1"/>
  <c r="DC339" i="1"/>
  <c r="DD339" i="1" s="1"/>
  <c r="DC340" i="1"/>
  <c r="DD340" i="1" s="1"/>
  <c r="DC341" i="1"/>
  <c r="DD341" i="1" s="1"/>
  <c r="DC342" i="1"/>
  <c r="DD342" i="1" s="1"/>
  <c r="DC343" i="1"/>
  <c r="DD343" i="1" s="1"/>
  <c r="DC344" i="1"/>
  <c r="DD344" i="1" s="1"/>
  <c r="DC345" i="1"/>
  <c r="DD345" i="1" s="1"/>
  <c r="DC346" i="1"/>
  <c r="DD346" i="1" s="1"/>
  <c r="DC347" i="1"/>
  <c r="DD347" i="1" s="1"/>
  <c r="DC348" i="1"/>
  <c r="DD348" i="1" s="1"/>
  <c r="DC349" i="1"/>
  <c r="DD349" i="1" s="1"/>
  <c r="DC350" i="1"/>
  <c r="DD350" i="1" s="1"/>
  <c r="DC351" i="1"/>
  <c r="DD351" i="1" s="1"/>
  <c r="DC352" i="1"/>
  <c r="DD352" i="1" s="1"/>
  <c r="DC353" i="1"/>
  <c r="DD353" i="1" s="1"/>
  <c r="DC354" i="1"/>
  <c r="DD354" i="1" s="1"/>
  <c r="DC355" i="1"/>
  <c r="DD355" i="1" s="1"/>
  <c r="DC356" i="1"/>
  <c r="DD356" i="1" s="1"/>
  <c r="DC357" i="1"/>
  <c r="DD357" i="1" s="1"/>
  <c r="DC358" i="1"/>
  <c r="DD358" i="1" s="1"/>
  <c r="DC359" i="1"/>
  <c r="DD359" i="1" s="1"/>
  <c r="DC360" i="1"/>
  <c r="DD360" i="1" s="1"/>
  <c r="DC361" i="1"/>
  <c r="DD361" i="1" s="1"/>
  <c r="DC362" i="1"/>
  <c r="DD362" i="1" s="1"/>
  <c r="DC363" i="1"/>
  <c r="DD363" i="1" s="1"/>
  <c r="DC364" i="1"/>
  <c r="DD364" i="1" s="1"/>
  <c r="DC365" i="1"/>
  <c r="DD365" i="1" s="1"/>
  <c r="DC366" i="1"/>
  <c r="DD366" i="1" s="1"/>
  <c r="DC367" i="1"/>
  <c r="DD367" i="1" s="1"/>
  <c r="DC368" i="1"/>
  <c r="DD368" i="1" s="1"/>
  <c r="DC369" i="1"/>
  <c r="DD369" i="1" s="1"/>
  <c r="DC370" i="1"/>
  <c r="DD370" i="1" s="1"/>
  <c r="DC371" i="1"/>
  <c r="DD371" i="1" s="1"/>
  <c r="DC372" i="1"/>
  <c r="DD372" i="1" s="1"/>
  <c r="DC373" i="1"/>
  <c r="DD373" i="1" s="1"/>
  <c r="DC374" i="1"/>
  <c r="DD374" i="1" s="1"/>
  <c r="DC375" i="1"/>
  <c r="DD375" i="1" s="1"/>
  <c r="DC376" i="1"/>
  <c r="DD376" i="1" s="1"/>
  <c r="DC377" i="1"/>
  <c r="DD377" i="1" s="1"/>
  <c r="DC378" i="1"/>
  <c r="DD378" i="1" s="1"/>
  <c r="DC379" i="1"/>
  <c r="DC380" i="1"/>
  <c r="DC381" i="1"/>
  <c r="DC382" i="1"/>
  <c r="DC383" i="1"/>
  <c r="DC384" i="1"/>
  <c r="DC385" i="1"/>
  <c r="DC386" i="1"/>
  <c r="DC387" i="1"/>
  <c r="DC388" i="1"/>
  <c r="DC389" i="1"/>
  <c r="DC390" i="1"/>
  <c r="DC391" i="1"/>
  <c r="DC392" i="1"/>
  <c r="DC393" i="1"/>
  <c r="DC394" i="1"/>
  <c r="DE394" i="1" s="1"/>
  <c r="DC395" i="1"/>
  <c r="DC396" i="1"/>
  <c r="DC397" i="1"/>
  <c r="DC398" i="1"/>
  <c r="DC399" i="1"/>
  <c r="DC400" i="1"/>
  <c r="DC401" i="1"/>
  <c r="DC402" i="1"/>
  <c r="DC2" i="1"/>
  <c r="DD2" i="1" s="1"/>
  <c r="DB379" i="1"/>
  <c r="DB380" i="1"/>
  <c r="DB381" i="1"/>
  <c r="DB382" i="1"/>
  <c r="DB383" i="1"/>
  <c r="DB384" i="1"/>
  <c r="DB385" i="1"/>
  <c r="DB386" i="1"/>
  <c r="DB387" i="1"/>
  <c r="DB388" i="1"/>
  <c r="DB389" i="1"/>
  <c r="DB390" i="1"/>
  <c r="DB391" i="1"/>
  <c r="DB392" i="1"/>
  <c r="DB393" i="1"/>
  <c r="DB394" i="1"/>
  <c r="DB395" i="1"/>
  <c r="DB396" i="1"/>
  <c r="DB397" i="1"/>
  <c r="DB398" i="1"/>
  <c r="DB399" i="1"/>
  <c r="DB400" i="1"/>
  <c r="DB401" i="1"/>
  <c r="DB402" i="1"/>
  <c r="DB403" i="1"/>
  <c r="DB404" i="1"/>
  <c r="DB405" i="1"/>
  <c r="DB406" i="1"/>
  <c r="DB407" i="1"/>
  <c r="DB408" i="1"/>
  <c r="DB409" i="1"/>
  <c r="DB410" i="1"/>
  <c r="DB411" i="1"/>
  <c r="DB412" i="1"/>
  <c r="DB413" i="1"/>
  <c r="DB414" i="1"/>
  <c r="DB415" i="1"/>
  <c r="DB416" i="1"/>
  <c r="DB417" i="1"/>
  <c r="DB418" i="1"/>
  <c r="DB419" i="1"/>
  <c r="DB420" i="1"/>
  <c r="DB421" i="1"/>
  <c r="DB422" i="1"/>
  <c r="DB423" i="1"/>
  <c r="DB424" i="1"/>
  <c r="DB425" i="1"/>
  <c r="DB426" i="1"/>
  <c r="DB427" i="1"/>
  <c r="DB428" i="1"/>
  <c r="DB429" i="1"/>
  <c r="DB430" i="1"/>
  <c r="DB431" i="1"/>
  <c r="DB432" i="1"/>
  <c r="DB433" i="1"/>
  <c r="DB434" i="1"/>
  <c r="DB435" i="1"/>
  <c r="DB436" i="1"/>
  <c r="DB437" i="1"/>
  <c r="DB438" i="1"/>
  <c r="DB439" i="1"/>
  <c r="DB440" i="1"/>
  <c r="DB441" i="1"/>
  <c r="DB442" i="1"/>
  <c r="DB443" i="1"/>
  <c r="DB444" i="1"/>
  <c r="DB445" i="1"/>
  <c r="DB446" i="1"/>
  <c r="DB447" i="1"/>
  <c r="DB448" i="1"/>
  <c r="DB449" i="1"/>
  <c r="DB450" i="1"/>
  <c r="DB451" i="1"/>
  <c r="DB452" i="1"/>
  <c r="DB453" i="1"/>
  <c r="CZ351" i="1"/>
  <c r="CZ352" i="1"/>
  <c r="CZ353" i="1"/>
  <c r="CZ354" i="1"/>
  <c r="CZ356" i="1"/>
  <c r="CZ357" i="1"/>
  <c r="CZ358" i="1"/>
  <c r="CZ359" i="1"/>
  <c r="CZ360" i="1"/>
  <c r="CZ361" i="1"/>
  <c r="CZ362" i="1"/>
  <c r="CZ363" i="1"/>
  <c r="CZ365" i="1"/>
  <c r="CZ367" i="1"/>
  <c r="CZ375" i="1"/>
  <c r="CZ376" i="1"/>
  <c r="CZ377" i="1"/>
  <c r="CZ378" i="1"/>
  <c r="CZ379" i="1"/>
  <c r="CZ380" i="1"/>
  <c r="CZ381" i="1"/>
  <c r="CZ382" i="1"/>
  <c r="CZ383" i="1"/>
  <c r="CZ384" i="1"/>
  <c r="CZ385" i="1"/>
  <c r="CZ386" i="1"/>
  <c r="CZ387" i="1"/>
  <c r="CZ388" i="1"/>
  <c r="CZ389" i="1"/>
  <c r="CZ390" i="1"/>
  <c r="CZ391" i="1"/>
  <c r="CZ392" i="1"/>
  <c r="CZ393" i="1"/>
  <c r="CZ394" i="1"/>
  <c r="CZ395" i="1"/>
  <c r="CZ396" i="1"/>
  <c r="CZ397" i="1"/>
  <c r="CZ398" i="1"/>
  <c r="CZ399" i="1"/>
  <c r="CZ400" i="1"/>
  <c r="CZ401" i="1"/>
  <c r="CZ402" i="1"/>
  <c r="CZ403" i="1"/>
  <c r="CZ404" i="1"/>
  <c r="CZ405" i="1"/>
  <c r="CZ406" i="1"/>
  <c r="CZ407" i="1"/>
  <c r="CZ408" i="1"/>
  <c r="DF408" i="1" s="1"/>
  <c r="CZ409" i="1"/>
  <c r="DF409" i="1" s="1"/>
  <c r="CZ410" i="1"/>
  <c r="CZ411" i="1"/>
  <c r="CZ412" i="1"/>
  <c r="CZ413" i="1"/>
  <c r="CZ414" i="1"/>
  <c r="CZ415" i="1"/>
  <c r="CZ416" i="1"/>
  <c r="CZ417" i="1"/>
  <c r="DF417" i="1" s="1"/>
  <c r="CZ418" i="1"/>
  <c r="CZ419" i="1"/>
  <c r="CZ420" i="1"/>
  <c r="CZ421" i="1"/>
  <c r="CZ422" i="1"/>
  <c r="CZ423" i="1"/>
  <c r="CZ424" i="1"/>
  <c r="CZ425" i="1"/>
  <c r="DF425" i="1" s="1"/>
  <c r="CZ426" i="1"/>
  <c r="DF426" i="1" s="1"/>
  <c r="CZ427" i="1"/>
  <c r="CZ428" i="1"/>
  <c r="CZ429" i="1"/>
  <c r="CZ430" i="1"/>
  <c r="CZ431" i="1"/>
  <c r="CZ432" i="1"/>
  <c r="CZ433" i="1"/>
  <c r="DF433" i="1" s="1"/>
  <c r="CZ434" i="1"/>
  <c r="DF434" i="1" s="1"/>
  <c r="CZ435" i="1"/>
  <c r="CZ436" i="1"/>
  <c r="CZ437" i="1"/>
  <c r="CZ438" i="1"/>
  <c r="CZ439" i="1"/>
  <c r="CZ440" i="1"/>
  <c r="CZ441" i="1"/>
  <c r="DF441" i="1" s="1"/>
  <c r="CZ442" i="1"/>
  <c r="DF442" i="1" s="1"/>
  <c r="CZ443" i="1"/>
  <c r="CZ444" i="1"/>
  <c r="CZ445" i="1"/>
  <c r="CZ446" i="1"/>
  <c r="CZ447" i="1"/>
  <c r="CZ448" i="1"/>
  <c r="CZ449" i="1"/>
  <c r="DF449" i="1" s="1"/>
  <c r="CZ450" i="1"/>
  <c r="DF450" i="1" s="1"/>
  <c r="CZ451" i="1"/>
  <c r="CZ452" i="1"/>
  <c r="CZ453" i="1"/>
  <c r="DA2" i="1"/>
  <c r="DB2" i="1" s="1"/>
  <c r="DA3" i="1"/>
  <c r="DB3" i="1" s="1"/>
  <c r="DA4" i="1"/>
  <c r="DB4" i="1" s="1"/>
  <c r="DA5" i="1"/>
  <c r="DB5" i="1" s="1"/>
  <c r="DA6" i="1"/>
  <c r="DB6" i="1" s="1"/>
  <c r="DA7" i="1"/>
  <c r="DB7" i="1" s="1"/>
  <c r="DA8" i="1"/>
  <c r="DB8" i="1" s="1"/>
  <c r="DA9" i="1"/>
  <c r="DB9" i="1" s="1"/>
  <c r="DA10" i="1"/>
  <c r="DB10" i="1" s="1"/>
  <c r="DA11" i="1"/>
  <c r="DB11" i="1" s="1"/>
  <c r="DA12" i="1"/>
  <c r="DB12" i="1" s="1"/>
  <c r="DA13" i="1"/>
  <c r="DB13" i="1" s="1"/>
  <c r="DA14" i="1"/>
  <c r="DB14" i="1" s="1"/>
  <c r="DA15" i="1"/>
  <c r="DB15" i="1" s="1"/>
  <c r="DA16" i="1"/>
  <c r="DB16" i="1" s="1"/>
  <c r="DA17" i="1"/>
  <c r="DB17" i="1" s="1"/>
  <c r="DA18" i="1"/>
  <c r="DB18" i="1" s="1"/>
  <c r="DA19" i="1"/>
  <c r="DB19" i="1" s="1"/>
  <c r="DA20" i="1"/>
  <c r="DB20" i="1" s="1"/>
  <c r="DA21" i="1"/>
  <c r="DB21" i="1" s="1"/>
  <c r="DA22" i="1"/>
  <c r="DB22" i="1" s="1"/>
  <c r="DA23" i="1"/>
  <c r="DB23" i="1" s="1"/>
  <c r="DA24" i="1"/>
  <c r="DB24" i="1" s="1"/>
  <c r="DA25" i="1"/>
  <c r="DB25" i="1" s="1"/>
  <c r="DA26" i="1"/>
  <c r="DB26" i="1" s="1"/>
  <c r="DA27" i="1"/>
  <c r="DB27" i="1" s="1"/>
  <c r="DA28" i="1"/>
  <c r="DB28" i="1" s="1"/>
  <c r="DA29" i="1"/>
  <c r="DB29" i="1" s="1"/>
  <c r="DA30" i="1"/>
  <c r="DB30" i="1" s="1"/>
  <c r="DA31" i="1"/>
  <c r="DB31" i="1" s="1"/>
  <c r="DA32" i="1"/>
  <c r="DB32" i="1" s="1"/>
  <c r="DA33" i="1"/>
  <c r="DB33" i="1" s="1"/>
  <c r="DA34" i="1"/>
  <c r="DB34" i="1" s="1"/>
  <c r="DA35" i="1"/>
  <c r="DB35" i="1" s="1"/>
  <c r="DA36" i="1"/>
  <c r="DB36" i="1" s="1"/>
  <c r="DA37" i="1"/>
  <c r="DB37" i="1" s="1"/>
  <c r="DA38" i="1"/>
  <c r="DB38" i="1" s="1"/>
  <c r="DA39" i="1"/>
  <c r="DB39" i="1" s="1"/>
  <c r="DA40" i="1"/>
  <c r="DB40" i="1" s="1"/>
  <c r="DA41" i="1"/>
  <c r="DB41" i="1" s="1"/>
  <c r="DA42" i="1"/>
  <c r="DB42" i="1" s="1"/>
  <c r="DA43" i="1"/>
  <c r="DB43" i="1" s="1"/>
  <c r="DA44" i="1"/>
  <c r="DB44" i="1" s="1"/>
  <c r="DA45" i="1"/>
  <c r="DB45" i="1" s="1"/>
  <c r="DA46" i="1"/>
  <c r="DB46" i="1" s="1"/>
  <c r="DA47" i="1"/>
  <c r="DB47" i="1" s="1"/>
  <c r="DA48" i="1"/>
  <c r="DB48" i="1" s="1"/>
  <c r="DA49" i="1"/>
  <c r="DB49" i="1" s="1"/>
  <c r="DA50" i="1"/>
  <c r="DB50" i="1" s="1"/>
  <c r="DA51" i="1"/>
  <c r="DB51" i="1" s="1"/>
  <c r="DA52" i="1"/>
  <c r="DB52" i="1" s="1"/>
  <c r="DA53" i="1"/>
  <c r="DB53" i="1" s="1"/>
  <c r="DA54" i="1"/>
  <c r="DB54" i="1" s="1"/>
  <c r="DA55" i="1"/>
  <c r="DB55" i="1" s="1"/>
  <c r="DA56" i="1"/>
  <c r="DB56" i="1" s="1"/>
  <c r="DA57" i="1"/>
  <c r="DB57" i="1" s="1"/>
  <c r="DA58" i="1"/>
  <c r="DB58" i="1" s="1"/>
  <c r="DA59" i="1"/>
  <c r="DB59" i="1" s="1"/>
  <c r="DA60" i="1"/>
  <c r="DB60" i="1" s="1"/>
  <c r="DA61" i="1"/>
  <c r="DB61" i="1" s="1"/>
  <c r="DA62" i="1"/>
  <c r="DB62" i="1" s="1"/>
  <c r="DA63" i="1"/>
  <c r="DB63" i="1" s="1"/>
  <c r="DA64" i="1"/>
  <c r="DB64" i="1" s="1"/>
  <c r="DA65" i="1"/>
  <c r="DB65" i="1" s="1"/>
  <c r="DA66" i="1"/>
  <c r="DB66" i="1" s="1"/>
  <c r="DA67" i="1"/>
  <c r="DB67" i="1" s="1"/>
  <c r="DA69" i="1"/>
  <c r="DB69" i="1" s="1"/>
  <c r="DA70" i="1"/>
  <c r="DB70" i="1" s="1"/>
  <c r="DA71" i="1"/>
  <c r="DB71" i="1" s="1"/>
  <c r="DA72" i="1"/>
  <c r="DB72" i="1" s="1"/>
  <c r="DA73" i="1"/>
  <c r="DB73" i="1" s="1"/>
  <c r="DA74" i="1"/>
  <c r="DB74" i="1" s="1"/>
  <c r="DA75" i="1"/>
  <c r="DB75" i="1" s="1"/>
  <c r="DA76" i="1"/>
  <c r="DB76" i="1" s="1"/>
  <c r="DA77" i="1"/>
  <c r="DB77" i="1" s="1"/>
  <c r="DA78" i="1"/>
  <c r="DB78" i="1" s="1"/>
  <c r="DA79" i="1"/>
  <c r="DB79" i="1" s="1"/>
  <c r="DA80" i="1"/>
  <c r="DB80" i="1" s="1"/>
  <c r="DA81" i="1"/>
  <c r="DB81" i="1" s="1"/>
  <c r="DA82" i="1"/>
  <c r="DB82" i="1" s="1"/>
  <c r="DA83" i="1"/>
  <c r="DB83" i="1" s="1"/>
  <c r="DA84" i="1"/>
  <c r="DB84" i="1" s="1"/>
  <c r="DA85" i="1"/>
  <c r="DB85" i="1" s="1"/>
  <c r="DA86" i="1"/>
  <c r="DB86" i="1" s="1"/>
  <c r="DA87" i="1"/>
  <c r="DB87" i="1" s="1"/>
  <c r="DA88" i="1"/>
  <c r="DB88" i="1" s="1"/>
  <c r="DA89" i="1"/>
  <c r="DB89" i="1" s="1"/>
  <c r="DA90" i="1"/>
  <c r="DB90" i="1" s="1"/>
  <c r="DA91" i="1"/>
  <c r="DB91" i="1" s="1"/>
  <c r="DA92" i="1"/>
  <c r="DB92" i="1" s="1"/>
  <c r="DA93" i="1"/>
  <c r="DB93" i="1" s="1"/>
  <c r="DA94" i="1"/>
  <c r="DB94" i="1" s="1"/>
  <c r="DA95" i="1"/>
  <c r="DB95" i="1" s="1"/>
  <c r="DA96" i="1"/>
  <c r="DB96" i="1" s="1"/>
  <c r="DA97" i="1"/>
  <c r="DB97" i="1" s="1"/>
  <c r="DA98" i="1"/>
  <c r="DB98" i="1" s="1"/>
  <c r="DA99" i="1"/>
  <c r="DB99" i="1" s="1"/>
  <c r="DA100" i="1"/>
  <c r="DB100" i="1" s="1"/>
  <c r="DA101" i="1"/>
  <c r="DB101" i="1" s="1"/>
  <c r="DA102" i="1"/>
  <c r="DB102" i="1" s="1"/>
  <c r="DA103" i="1"/>
  <c r="DB103" i="1" s="1"/>
  <c r="DA104" i="1"/>
  <c r="DB104" i="1" s="1"/>
  <c r="DA105" i="1"/>
  <c r="DB105" i="1" s="1"/>
  <c r="DA106" i="1"/>
  <c r="DB106" i="1" s="1"/>
  <c r="DA107" i="1"/>
  <c r="DA108" i="1"/>
  <c r="DB108" i="1" s="1"/>
  <c r="DA109" i="1"/>
  <c r="DB109" i="1" s="1"/>
  <c r="DA110" i="1"/>
  <c r="DB110" i="1" s="1"/>
  <c r="DA111" i="1"/>
  <c r="DB111" i="1" s="1"/>
  <c r="DA112" i="1"/>
  <c r="DB112" i="1" s="1"/>
  <c r="DA113" i="1"/>
  <c r="DB113" i="1" s="1"/>
  <c r="DA114" i="1"/>
  <c r="DB114" i="1" s="1"/>
  <c r="DA115" i="1"/>
  <c r="DB115" i="1" s="1"/>
  <c r="DA116" i="1"/>
  <c r="DB116" i="1" s="1"/>
  <c r="DA117" i="1"/>
  <c r="DB117" i="1" s="1"/>
  <c r="DA118" i="1"/>
  <c r="DB118" i="1" s="1"/>
  <c r="DA119" i="1"/>
  <c r="DB119" i="1" s="1"/>
  <c r="DA120" i="1"/>
  <c r="DB120" i="1" s="1"/>
  <c r="DA121" i="1"/>
  <c r="DB121" i="1" s="1"/>
  <c r="DA122" i="1"/>
  <c r="DB122" i="1" s="1"/>
  <c r="DA123" i="1"/>
  <c r="DB123" i="1" s="1"/>
  <c r="DA124" i="1"/>
  <c r="DB124" i="1" s="1"/>
  <c r="DA125" i="1"/>
  <c r="DB125" i="1" s="1"/>
  <c r="DA126" i="1"/>
  <c r="DB126" i="1" s="1"/>
  <c r="DA127" i="1"/>
  <c r="DB127" i="1" s="1"/>
  <c r="DA128" i="1"/>
  <c r="DB128" i="1" s="1"/>
  <c r="DA129" i="1"/>
  <c r="DB129" i="1" s="1"/>
  <c r="DA130" i="1"/>
  <c r="DB130" i="1" s="1"/>
  <c r="DA131" i="1"/>
  <c r="DB131" i="1" s="1"/>
  <c r="DA132" i="1"/>
  <c r="DB132" i="1" s="1"/>
  <c r="DA133" i="1"/>
  <c r="DB133" i="1" s="1"/>
  <c r="DA134" i="1"/>
  <c r="DB134" i="1" s="1"/>
  <c r="DA135" i="1"/>
  <c r="DB135" i="1" s="1"/>
  <c r="DA136" i="1"/>
  <c r="DB136" i="1" s="1"/>
  <c r="DA137" i="1"/>
  <c r="DB137" i="1" s="1"/>
  <c r="DA138" i="1"/>
  <c r="DB138" i="1" s="1"/>
  <c r="DA139" i="1"/>
  <c r="DB139" i="1" s="1"/>
  <c r="DA140" i="1"/>
  <c r="DB140" i="1" s="1"/>
  <c r="DA141" i="1"/>
  <c r="DB141" i="1" s="1"/>
  <c r="DA142" i="1"/>
  <c r="DB142" i="1" s="1"/>
  <c r="DA143" i="1"/>
  <c r="DB143" i="1" s="1"/>
  <c r="DA144" i="1"/>
  <c r="DB144" i="1" s="1"/>
  <c r="DA145" i="1"/>
  <c r="DB145" i="1" s="1"/>
  <c r="DA146" i="1"/>
  <c r="DB146" i="1" s="1"/>
  <c r="DA147" i="1"/>
  <c r="DB147" i="1" s="1"/>
  <c r="DA148" i="1"/>
  <c r="DB148" i="1" s="1"/>
  <c r="DA149" i="1"/>
  <c r="DB149" i="1" s="1"/>
  <c r="DA150" i="1"/>
  <c r="DB150" i="1" s="1"/>
  <c r="DA151" i="1"/>
  <c r="DB151" i="1" s="1"/>
  <c r="DA152" i="1"/>
  <c r="DB152" i="1" s="1"/>
  <c r="DA153" i="1"/>
  <c r="DB153" i="1" s="1"/>
  <c r="DA154" i="1"/>
  <c r="DB154" i="1" s="1"/>
  <c r="DA155" i="1"/>
  <c r="DB155" i="1" s="1"/>
  <c r="DA156" i="1"/>
  <c r="DB156" i="1" s="1"/>
  <c r="DA157" i="1"/>
  <c r="DB157" i="1" s="1"/>
  <c r="DA158" i="1"/>
  <c r="DB158" i="1" s="1"/>
  <c r="DA159" i="1"/>
  <c r="DB159" i="1" s="1"/>
  <c r="DA160" i="1"/>
  <c r="DB160" i="1" s="1"/>
  <c r="DA161" i="1"/>
  <c r="DB161" i="1" s="1"/>
  <c r="DA162" i="1"/>
  <c r="DB162" i="1" s="1"/>
  <c r="DA163" i="1"/>
  <c r="DB163" i="1" s="1"/>
  <c r="DA164" i="1"/>
  <c r="DB164" i="1" s="1"/>
  <c r="DA165" i="1"/>
  <c r="DB165" i="1" s="1"/>
  <c r="DA166" i="1"/>
  <c r="DB166" i="1" s="1"/>
  <c r="DA167" i="1"/>
  <c r="DB167" i="1" s="1"/>
  <c r="DA168" i="1"/>
  <c r="DB168" i="1" s="1"/>
  <c r="DA169" i="1"/>
  <c r="DB169" i="1" s="1"/>
  <c r="DA170" i="1"/>
  <c r="DB170" i="1" s="1"/>
  <c r="DA171" i="1"/>
  <c r="DB171" i="1" s="1"/>
  <c r="DA172" i="1"/>
  <c r="DB172" i="1" s="1"/>
  <c r="DA173" i="1"/>
  <c r="DB173" i="1" s="1"/>
  <c r="DA174" i="1"/>
  <c r="DB174" i="1" s="1"/>
  <c r="DA175" i="1"/>
  <c r="DB175" i="1" s="1"/>
  <c r="DA176" i="1"/>
  <c r="DB176" i="1" s="1"/>
  <c r="DA177" i="1"/>
  <c r="DB177" i="1" s="1"/>
  <c r="DA178" i="1"/>
  <c r="DB178" i="1" s="1"/>
  <c r="DA180" i="1"/>
  <c r="DB180" i="1" s="1"/>
  <c r="DA181" i="1"/>
  <c r="DB181" i="1" s="1"/>
  <c r="DA182" i="1"/>
  <c r="DB182" i="1" s="1"/>
  <c r="DA183" i="1"/>
  <c r="DB183" i="1" s="1"/>
  <c r="DA184" i="1"/>
  <c r="DB184" i="1" s="1"/>
  <c r="DA185" i="1"/>
  <c r="DB185" i="1" s="1"/>
  <c r="DA186" i="1"/>
  <c r="DB186" i="1" s="1"/>
  <c r="DA187" i="1"/>
  <c r="DB187" i="1" s="1"/>
  <c r="DA188" i="1"/>
  <c r="DB188" i="1" s="1"/>
  <c r="DA189" i="1"/>
  <c r="DB189" i="1" s="1"/>
  <c r="DA190" i="1"/>
  <c r="DB190" i="1" s="1"/>
  <c r="DA191" i="1"/>
  <c r="DB191" i="1" s="1"/>
  <c r="DA192" i="1"/>
  <c r="DB192" i="1" s="1"/>
  <c r="DA193" i="1"/>
  <c r="DB193" i="1" s="1"/>
  <c r="DA194" i="1"/>
  <c r="DB194" i="1" s="1"/>
  <c r="DA195" i="1"/>
  <c r="DB195" i="1" s="1"/>
  <c r="DA196" i="1"/>
  <c r="DB196" i="1" s="1"/>
  <c r="DA197" i="1"/>
  <c r="DB197" i="1" s="1"/>
  <c r="DA198" i="1"/>
  <c r="DB198" i="1" s="1"/>
  <c r="DA199" i="1"/>
  <c r="DB199" i="1" s="1"/>
  <c r="DA200" i="1"/>
  <c r="DB200" i="1" s="1"/>
  <c r="DA201" i="1"/>
  <c r="DB201" i="1" s="1"/>
  <c r="DA202" i="1"/>
  <c r="DB202" i="1" s="1"/>
  <c r="DA203" i="1"/>
  <c r="DB203" i="1" s="1"/>
  <c r="DA204" i="1"/>
  <c r="DB204" i="1" s="1"/>
  <c r="DA205" i="1"/>
  <c r="DB205" i="1" s="1"/>
  <c r="DA206" i="1"/>
  <c r="DB206" i="1" s="1"/>
  <c r="DA207" i="1"/>
  <c r="DB207" i="1" s="1"/>
  <c r="DA208" i="1"/>
  <c r="DB208" i="1" s="1"/>
  <c r="DA209" i="1"/>
  <c r="DB209" i="1" s="1"/>
  <c r="DA210" i="1"/>
  <c r="DB210" i="1" s="1"/>
  <c r="DA211" i="1"/>
  <c r="DB211" i="1" s="1"/>
  <c r="DA212" i="1"/>
  <c r="DB212" i="1" s="1"/>
  <c r="DA213" i="1"/>
  <c r="DB213" i="1" s="1"/>
  <c r="DA214" i="1"/>
  <c r="DB214" i="1" s="1"/>
  <c r="DA215" i="1"/>
  <c r="DB215" i="1" s="1"/>
  <c r="DA216" i="1"/>
  <c r="DB216" i="1" s="1"/>
  <c r="DA217" i="1"/>
  <c r="DB217" i="1" s="1"/>
  <c r="DA218" i="1"/>
  <c r="DB218" i="1" s="1"/>
  <c r="DA219" i="1"/>
  <c r="DB219" i="1" s="1"/>
  <c r="DA220" i="1"/>
  <c r="DB220" i="1" s="1"/>
  <c r="DA221" i="1"/>
  <c r="DB221" i="1" s="1"/>
  <c r="DA222" i="1"/>
  <c r="DB222" i="1" s="1"/>
  <c r="DA223" i="1"/>
  <c r="DB223" i="1" s="1"/>
  <c r="DA224" i="1"/>
  <c r="DB224" i="1" s="1"/>
  <c r="DA225" i="1"/>
  <c r="DB225" i="1" s="1"/>
  <c r="DA226" i="1"/>
  <c r="DB226" i="1" s="1"/>
  <c r="DA227" i="1"/>
  <c r="DB227" i="1" s="1"/>
  <c r="DA228" i="1"/>
  <c r="DB228" i="1" s="1"/>
  <c r="DA229" i="1"/>
  <c r="DB229" i="1" s="1"/>
  <c r="DA230" i="1"/>
  <c r="DB230" i="1" s="1"/>
  <c r="DA231" i="1"/>
  <c r="DB231" i="1" s="1"/>
  <c r="DA232" i="1"/>
  <c r="DB232" i="1" s="1"/>
  <c r="DA233" i="1"/>
  <c r="DB233" i="1" s="1"/>
  <c r="DA234" i="1"/>
  <c r="DB234" i="1" s="1"/>
  <c r="DA235" i="1"/>
  <c r="DB235" i="1" s="1"/>
  <c r="DA236" i="1"/>
  <c r="DB236" i="1" s="1"/>
  <c r="DA237" i="1"/>
  <c r="DB237" i="1" s="1"/>
  <c r="DA238" i="1"/>
  <c r="DB238" i="1" s="1"/>
  <c r="DA239" i="1"/>
  <c r="DB239" i="1" s="1"/>
  <c r="DA240" i="1"/>
  <c r="DB240" i="1" s="1"/>
  <c r="DA241" i="1"/>
  <c r="DB241" i="1" s="1"/>
  <c r="DA242" i="1"/>
  <c r="DB242" i="1" s="1"/>
  <c r="DA243" i="1"/>
  <c r="DB243" i="1" s="1"/>
  <c r="DA244" i="1"/>
  <c r="DB244" i="1" s="1"/>
  <c r="DA245" i="1"/>
  <c r="DB245" i="1" s="1"/>
  <c r="DA246" i="1"/>
  <c r="DB246" i="1" s="1"/>
  <c r="DA247" i="1"/>
  <c r="DB247" i="1" s="1"/>
  <c r="DA248" i="1"/>
  <c r="DB248" i="1" s="1"/>
  <c r="DA249" i="1"/>
  <c r="DB249" i="1" s="1"/>
  <c r="DA250" i="1"/>
  <c r="DB250" i="1" s="1"/>
  <c r="DA251" i="1"/>
  <c r="DB251" i="1" s="1"/>
  <c r="DA252" i="1"/>
  <c r="DB252" i="1" s="1"/>
  <c r="DA253" i="1"/>
  <c r="DB253" i="1" s="1"/>
  <c r="DA254" i="1"/>
  <c r="DB254" i="1" s="1"/>
  <c r="DA255" i="1"/>
  <c r="DB255" i="1" s="1"/>
  <c r="DA256" i="1"/>
  <c r="DB256" i="1" s="1"/>
  <c r="DA257" i="1"/>
  <c r="DB257" i="1" s="1"/>
  <c r="DA258" i="1"/>
  <c r="DB258" i="1" s="1"/>
  <c r="DA259" i="1"/>
  <c r="DB259" i="1" s="1"/>
  <c r="DA260" i="1"/>
  <c r="DB260" i="1" s="1"/>
  <c r="DA261" i="1"/>
  <c r="DB261" i="1" s="1"/>
  <c r="DA262" i="1"/>
  <c r="DB262" i="1" s="1"/>
  <c r="DA263" i="1"/>
  <c r="DB263" i="1" s="1"/>
  <c r="DA264" i="1"/>
  <c r="DB264" i="1" s="1"/>
  <c r="DA265" i="1"/>
  <c r="DB265" i="1" s="1"/>
  <c r="DA266" i="1"/>
  <c r="DB266" i="1" s="1"/>
  <c r="DA267" i="1"/>
  <c r="DB267" i="1" s="1"/>
  <c r="DA268" i="1"/>
  <c r="DB268" i="1" s="1"/>
  <c r="DA269" i="1"/>
  <c r="DB269" i="1" s="1"/>
  <c r="DA270" i="1"/>
  <c r="DB270" i="1" s="1"/>
  <c r="DA271" i="1"/>
  <c r="DB271" i="1" s="1"/>
  <c r="DA272" i="1"/>
  <c r="DB272" i="1" s="1"/>
  <c r="DA273" i="1"/>
  <c r="DB273" i="1" s="1"/>
  <c r="DA274" i="1"/>
  <c r="DB274" i="1" s="1"/>
  <c r="DA275" i="1"/>
  <c r="DB275" i="1" s="1"/>
  <c r="DA276" i="1"/>
  <c r="DB276" i="1" s="1"/>
  <c r="DA277" i="1"/>
  <c r="DB277" i="1" s="1"/>
  <c r="DA278" i="1"/>
  <c r="DB278" i="1" s="1"/>
  <c r="DA279" i="1"/>
  <c r="DB279" i="1" s="1"/>
  <c r="DA280" i="1"/>
  <c r="DB280" i="1" s="1"/>
  <c r="DA281" i="1"/>
  <c r="DB281" i="1" s="1"/>
  <c r="DA282" i="1"/>
  <c r="DB282" i="1" s="1"/>
  <c r="DA283" i="1"/>
  <c r="DB283" i="1" s="1"/>
  <c r="DA284" i="1"/>
  <c r="DB284" i="1" s="1"/>
  <c r="DA285" i="1"/>
  <c r="DB285" i="1" s="1"/>
  <c r="DA286" i="1"/>
  <c r="DB286" i="1" s="1"/>
  <c r="DA287" i="1"/>
  <c r="DB287" i="1" s="1"/>
  <c r="DA288" i="1"/>
  <c r="DB288" i="1" s="1"/>
  <c r="DA289" i="1"/>
  <c r="DB289" i="1" s="1"/>
  <c r="DA290" i="1"/>
  <c r="DB290" i="1" s="1"/>
  <c r="DA291" i="1"/>
  <c r="DB291" i="1" s="1"/>
  <c r="DA292" i="1"/>
  <c r="DB292" i="1" s="1"/>
  <c r="DA293" i="1"/>
  <c r="DB293" i="1" s="1"/>
  <c r="DA294" i="1"/>
  <c r="DB294" i="1" s="1"/>
  <c r="DA295" i="1"/>
  <c r="DB295" i="1" s="1"/>
  <c r="DA296" i="1"/>
  <c r="DB296" i="1" s="1"/>
  <c r="DA297" i="1"/>
  <c r="DB297" i="1" s="1"/>
  <c r="DA298" i="1"/>
  <c r="DB298" i="1" s="1"/>
  <c r="DA299" i="1"/>
  <c r="DB299" i="1" s="1"/>
  <c r="DA300" i="1"/>
  <c r="DB300" i="1" s="1"/>
  <c r="DA301" i="1"/>
  <c r="DB301" i="1" s="1"/>
  <c r="DA302" i="1"/>
  <c r="DB302" i="1" s="1"/>
  <c r="DA303" i="1"/>
  <c r="DB303" i="1" s="1"/>
  <c r="DA304" i="1"/>
  <c r="DB304" i="1" s="1"/>
  <c r="DA305" i="1"/>
  <c r="DB305" i="1" s="1"/>
  <c r="DA306" i="1"/>
  <c r="DB306" i="1" s="1"/>
  <c r="DA307" i="1"/>
  <c r="DB307" i="1" s="1"/>
  <c r="DA308" i="1"/>
  <c r="DB308" i="1" s="1"/>
  <c r="DA309" i="1"/>
  <c r="DB309" i="1" s="1"/>
  <c r="DA310" i="1"/>
  <c r="DB310" i="1" s="1"/>
  <c r="DA311" i="1"/>
  <c r="DB311" i="1" s="1"/>
  <c r="DA312" i="1"/>
  <c r="DB312" i="1" s="1"/>
  <c r="DA313" i="1"/>
  <c r="DB313" i="1" s="1"/>
  <c r="DA314" i="1"/>
  <c r="DB314" i="1" s="1"/>
  <c r="DA315" i="1"/>
  <c r="DB315" i="1" s="1"/>
  <c r="DA316" i="1"/>
  <c r="DB316" i="1" s="1"/>
  <c r="DA317" i="1"/>
  <c r="DB317" i="1" s="1"/>
  <c r="DA318" i="1"/>
  <c r="DB318" i="1" s="1"/>
  <c r="DA319" i="1"/>
  <c r="DB319" i="1" s="1"/>
  <c r="DA320" i="1"/>
  <c r="DB320" i="1" s="1"/>
  <c r="DA321" i="1"/>
  <c r="DB321" i="1" s="1"/>
  <c r="DA322" i="1"/>
  <c r="DB322" i="1" s="1"/>
  <c r="DA323" i="1"/>
  <c r="DB323" i="1" s="1"/>
  <c r="DA324" i="1"/>
  <c r="DB324" i="1" s="1"/>
  <c r="DA325" i="1"/>
  <c r="DB325" i="1" s="1"/>
  <c r="DA326" i="1"/>
  <c r="DB326" i="1" s="1"/>
  <c r="DA327" i="1"/>
  <c r="DB327" i="1" s="1"/>
  <c r="DA328" i="1"/>
  <c r="DB328" i="1" s="1"/>
  <c r="DA329" i="1"/>
  <c r="DB329" i="1" s="1"/>
  <c r="DA330" i="1"/>
  <c r="DB330" i="1" s="1"/>
  <c r="DA331" i="1"/>
  <c r="DB331" i="1" s="1"/>
  <c r="DA332" i="1"/>
  <c r="DB332" i="1" s="1"/>
  <c r="DA333" i="1"/>
  <c r="DB333" i="1" s="1"/>
  <c r="DA334" i="1"/>
  <c r="DB334" i="1" s="1"/>
  <c r="DA335" i="1"/>
  <c r="DB335" i="1" s="1"/>
  <c r="DA336" i="1"/>
  <c r="DB336" i="1" s="1"/>
  <c r="DA337" i="1"/>
  <c r="DB337" i="1" s="1"/>
  <c r="DA338" i="1"/>
  <c r="DB338" i="1" s="1"/>
  <c r="DA339" i="1"/>
  <c r="DB339" i="1" s="1"/>
  <c r="DA340" i="1"/>
  <c r="DB340" i="1" s="1"/>
  <c r="DA341" i="1"/>
  <c r="DB341" i="1" s="1"/>
  <c r="DA342" i="1"/>
  <c r="DB342" i="1" s="1"/>
  <c r="DA343" i="1"/>
  <c r="DB343" i="1" s="1"/>
  <c r="DA344" i="1"/>
  <c r="DB344" i="1" s="1"/>
  <c r="DA345" i="1"/>
  <c r="DB345" i="1" s="1"/>
  <c r="DA346" i="1"/>
  <c r="DB346" i="1" s="1"/>
  <c r="DA347" i="1"/>
  <c r="DB347" i="1" s="1"/>
  <c r="DA348" i="1"/>
  <c r="DB348" i="1" s="1"/>
  <c r="DA349" i="1"/>
  <c r="DB349" i="1" s="1"/>
  <c r="DA350" i="1"/>
  <c r="DB350" i="1" s="1"/>
  <c r="DA351" i="1"/>
  <c r="DA352" i="1"/>
  <c r="DA353" i="1"/>
  <c r="DA354" i="1"/>
  <c r="DA355" i="1"/>
  <c r="DB355" i="1" s="1"/>
  <c r="DA356" i="1"/>
  <c r="DA357" i="1"/>
  <c r="DA358" i="1"/>
  <c r="DA359" i="1"/>
  <c r="DA360" i="1"/>
  <c r="DA361" i="1"/>
  <c r="DA362" i="1"/>
  <c r="DA363" i="1"/>
  <c r="DA364" i="1"/>
  <c r="DB364" i="1" s="1"/>
  <c r="DA365" i="1"/>
  <c r="DA366" i="1"/>
  <c r="DB366" i="1" s="1"/>
  <c r="DA367" i="1"/>
  <c r="DA368" i="1"/>
  <c r="DB368" i="1" s="1"/>
  <c r="DA369" i="1"/>
  <c r="DB369" i="1" s="1"/>
  <c r="DA370" i="1"/>
  <c r="DB370" i="1" s="1"/>
  <c r="DA371" i="1"/>
  <c r="DB371" i="1" s="1"/>
  <c r="DA372" i="1"/>
  <c r="DB372" i="1" s="1"/>
  <c r="DA373" i="1"/>
  <c r="DB373" i="1" s="1"/>
  <c r="DA374" i="1"/>
  <c r="DB374" i="1" s="1"/>
  <c r="DA375" i="1"/>
  <c r="DA376" i="1"/>
  <c r="DA377" i="1"/>
  <c r="DA378" i="1"/>
  <c r="CY374" i="1"/>
  <c r="CY373" i="1"/>
  <c r="CY372" i="1"/>
  <c r="CY371" i="1"/>
  <c r="CY370" i="1"/>
  <c r="CY369" i="1"/>
  <c r="CY368" i="1"/>
  <c r="CY366" i="1"/>
  <c r="CY364" i="1"/>
  <c r="CY355" i="1"/>
  <c r="CY210" i="1"/>
  <c r="CY211" i="1"/>
  <c r="CY212" i="1"/>
  <c r="CY213" i="1"/>
  <c r="CY214" i="1"/>
  <c r="CY215" i="1"/>
  <c r="CY216" i="1"/>
  <c r="CY217" i="1"/>
  <c r="CY218" i="1"/>
  <c r="CY219" i="1"/>
  <c r="CY220" i="1"/>
  <c r="CY221" i="1"/>
  <c r="CY222" i="1"/>
  <c r="CY223" i="1"/>
  <c r="CY224" i="1"/>
  <c r="CY225" i="1"/>
  <c r="CY226" i="1"/>
  <c r="CY227" i="1"/>
  <c r="CY228" i="1"/>
  <c r="CY229" i="1"/>
  <c r="CY230" i="1"/>
  <c r="CY231" i="1"/>
  <c r="CY232" i="1"/>
  <c r="CY233" i="1"/>
  <c r="CY234" i="1"/>
  <c r="CY235" i="1"/>
  <c r="CY236" i="1"/>
  <c r="CY237" i="1"/>
  <c r="CY238" i="1"/>
  <c r="CY239" i="1"/>
  <c r="CY240" i="1"/>
  <c r="CY241" i="1"/>
  <c r="CY242" i="1"/>
  <c r="CY243" i="1"/>
  <c r="CY244" i="1"/>
  <c r="CY245" i="1"/>
  <c r="CY246" i="1"/>
  <c r="CY247" i="1"/>
  <c r="CY248" i="1"/>
  <c r="CY249" i="1"/>
  <c r="CY250" i="1"/>
  <c r="CY251" i="1"/>
  <c r="CY252" i="1"/>
  <c r="CY253" i="1"/>
  <c r="CY254" i="1"/>
  <c r="CY255" i="1"/>
  <c r="CY256" i="1"/>
  <c r="CY257" i="1"/>
  <c r="CY258" i="1"/>
  <c r="CY259" i="1"/>
  <c r="CY260" i="1"/>
  <c r="CY261" i="1"/>
  <c r="CY262" i="1"/>
  <c r="CY263" i="1"/>
  <c r="CY264" i="1"/>
  <c r="CY265" i="1"/>
  <c r="CY266" i="1"/>
  <c r="CY267" i="1"/>
  <c r="CY268" i="1"/>
  <c r="CY269" i="1"/>
  <c r="CY270" i="1"/>
  <c r="CY271" i="1"/>
  <c r="CY272" i="1"/>
  <c r="CY273" i="1"/>
  <c r="CY274" i="1"/>
  <c r="CY275" i="1"/>
  <c r="CY276" i="1"/>
  <c r="CY277" i="1"/>
  <c r="CY278" i="1"/>
  <c r="CY279" i="1"/>
  <c r="CY280" i="1"/>
  <c r="CY281" i="1"/>
  <c r="CY282" i="1"/>
  <c r="CY283" i="1"/>
  <c r="CY284" i="1"/>
  <c r="CY285" i="1"/>
  <c r="CY286" i="1"/>
  <c r="CY287" i="1"/>
  <c r="CY288" i="1"/>
  <c r="CY289" i="1"/>
  <c r="CY290" i="1"/>
  <c r="DE290" i="1" s="1"/>
  <c r="CY291" i="1"/>
  <c r="CY292" i="1"/>
  <c r="CY293" i="1"/>
  <c r="CY294" i="1"/>
  <c r="CY295" i="1"/>
  <c r="CY296" i="1"/>
  <c r="CY297" i="1"/>
  <c r="CY298" i="1"/>
  <c r="CY299" i="1"/>
  <c r="CY300" i="1"/>
  <c r="CY301" i="1"/>
  <c r="CY302" i="1"/>
  <c r="CY303" i="1"/>
  <c r="CY304" i="1"/>
  <c r="CY305" i="1"/>
  <c r="CY306" i="1"/>
  <c r="CY307" i="1"/>
  <c r="CY308" i="1"/>
  <c r="CY309" i="1"/>
  <c r="CY310" i="1"/>
  <c r="CY311" i="1"/>
  <c r="CY312" i="1"/>
  <c r="CY313" i="1"/>
  <c r="CY314" i="1"/>
  <c r="CY315" i="1"/>
  <c r="CY316" i="1"/>
  <c r="CY317" i="1"/>
  <c r="CY318" i="1"/>
  <c r="CY319" i="1"/>
  <c r="CY320" i="1"/>
  <c r="CY321" i="1"/>
  <c r="CY322" i="1"/>
  <c r="CY323" i="1"/>
  <c r="CY324" i="1"/>
  <c r="CY325" i="1"/>
  <c r="CY326" i="1"/>
  <c r="CY327" i="1"/>
  <c r="CY328" i="1"/>
  <c r="CY329" i="1"/>
  <c r="CY330" i="1"/>
  <c r="CY331" i="1"/>
  <c r="CY332" i="1"/>
  <c r="CY333" i="1"/>
  <c r="CY334" i="1"/>
  <c r="CY335" i="1"/>
  <c r="CY336" i="1"/>
  <c r="CY337" i="1"/>
  <c r="CY338" i="1"/>
  <c r="CY339" i="1"/>
  <c r="CY340" i="1"/>
  <c r="CY341" i="1"/>
  <c r="CY342" i="1"/>
  <c r="CY343" i="1"/>
  <c r="CY344" i="1"/>
  <c r="CY345" i="1"/>
  <c r="CY346" i="1"/>
  <c r="CY347" i="1"/>
  <c r="CY348" i="1"/>
  <c r="CY349" i="1"/>
  <c r="CY350" i="1"/>
  <c r="CY3" i="1"/>
  <c r="CY4" i="1"/>
  <c r="CY5" i="1"/>
  <c r="CY6" i="1"/>
  <c r="CY7" i="1"/>
  <c r="CY8" i="1"/>
  <c r="CY9" i="1"/>
  <c r="CY10" i="1"/>
  <c r="CY11" i="1"/>
  <c r="CY12" i="1"/>
  <c r="CY13" i="1"/>
  <c r="CY14" i="1"/>
  <c r="CY15" i="1"/>
  <c r="CY16" i="1"/>
  <c r="CY17" i="1"/>
  <c r="CY18" i="1"/>
  <c r="CY19" i="1"/>
  <c r="CY20" i="1"/>
  <c r="CY21" i="1"/>
  <c r="CY22" i="1"/>
  <c r="CY23" i="1"/>
  <c r="CY24" i="1"/>
  <c r="CY25" i="1"/>
  <c r="CY26" i="1"/>
  <c r="CY27" i="1"/>
  <c r="CY28" i="1"/>
  <c r="CY29" i="1"/>
  <c r="CY30" i="1"/>
  <c r="CY31" i="1"/>
  <c r="CY32" i="1"/>
  <c r="CY33" i="1"/>
  <c r="CY34" i="1"/>
  <c r="CY35" i="1"/>
  <c r="CY36" i="1"/>
  <c r="CY37" i="1"/>
  <c r="CY38" i="1"/>
  <c r="CY39" i="1"/>
  <c r="CY40" i="1"/>
  <c r="CY41" i="1"/>
  <c r="CY42" i="1"/>
  <c r="CY43" i="1"/>
  <c r="CY44" i="1"/>
  <c r="CY45" i="1"/>
  <c r="CY46" i="1"/>
  <c r="CY47" i="1"/>
  <c r="CY48" i="1"/>
  <c r="CY49" i="1"/>
  <c r="CY50" i="1"/>
  <c r="CY51" i="1"/>
  <c r="CY52" i="1"/>
  <c r="CY53" i="1"/>
  <c r="CY54" i="1"/>
  <c r="CY55" i="1"/>
  <c r="CY56" i="1"/>
  <c r="CY57" i="1"/>
  <c r="CY58" i="1"/>
  <c r="CY59" i="1"/>
  <c r="CY60" i="1"/>
  <c r="CY61" i="1"/>
  <c r="CY62" i="1"/>
  <c r="CY63" i="1"/>
  <c r="CY64" i="1"/>
  <c r="CY65" i="1"/>
  <c r="CY66" i="1"/>
  <c r="CY67" i="1"/>
  <c r="CY68" i="1"/>
  <c r="CY69" i="1"/>
  <c r="CY70" i="1"/>
  <c r="CY71" i="1"/>
  <c r="CY72" i="1"/>
  <c r="CY73" i="1"/>
  <c r="CY74" i="1"/>
  <c r="CY75" i="1"/>
  <c r="CY76" i="1"/>
  <c r="CY77" i="1"/>
  <c r="CY78" i="1"/>
  <c r="CY79" i="1"/>
  <c r="CY80" i="1"/>
  <c r="CY81" i="1"/>
  <c r="CY82" i="1"/>
  <c r="CY83" i="1"/>
  <c r="CY84" i="1"/>
  <c r="CY85" i="1"/>
  <c r="CY86" i="1"/>
  <c r="CY87" i="1"/>
  <c r="CY88" i="1"/>
  <c r="CY89" i="1"/>
  <c r="CY90" i="1"/>
  <c r="CY91" i="1"/>
  <c r="CZ91" i="1" s="1"/>
  <c r="CY92" i="1"/>
  <c r="CY93" i="1"/>
  <c r="CY94" i="1"/>
  <c r="CY95" i="1"/>
  <c r="CY96" i="1"/>
  <c r="CY97" i="1"/>
  <c r="CY98" i="1"/>
  <c r="CY99" i="1"/>
  <c r="CY100" i="1"/>
  <c r="CY101" i="1"/>
  <c r="CY102" i="1"/>
  <c r="CY103" i="1"/>
  <c r="CY104" i="1"/>
  <c r="CY105" i="1"/>
  <c r="CY106" i="1"/>
  <c r="CY107" i="1"/>
  <c r="CY108" i="1"/>
  <c r="CY109" i="1"/>
  <c r="CY110" i="1"/>
  <c r="CY111" i="1"/>
  <c r="CY112" i="1"/>
  <c r="CY113" i="1"/>
  <c r="CY114" i="1"/>
  <c r="CY115" i="1"/>
  <c r="CY116" i="1"/>
  <c r="CY117" i="1"/>
  <c r="CY118" i="1"/>
  <c r="CY119" i="1"/>
  <c r="CY120" i="1"/>
  <c r="CY121" i="1"/>
  <c r="CY122" i="1"/>
  <c r="CY123" i="1"/>
  <c r="CY124" i="1"/>
  <c r="CY125" i="1"/>
  <c r="CY126" i="1"/>
  <c r="CY127" i="1"/>
  <c r="CY128" i="1"/>
  <c r="CY129" i="1"/>
  <c r="CY130" i="1"/>
  <c r="CY131" i="1"/>
  <c r="CY132" i="1"/>
  <c r="CY133" i="1"/>
  <c r="CY134" i="1"/>
  <c r="CY135" i="1"/>
  <c r="CY136" i="1"/>
  <c r="CY137" i="1"/>
  <c r="CY138" i="1"/>
  <c r="CY139" i="1"/>
  <c r="CY140" i="1"/>
  <c r="CY141" i="1"/>
  <c r="CY142" i="1"/>
  <c r="CY143" i="1"/>
  <c r="CY144" i="1"/>
  <c r="CY145" i="1"/>
  <c r="CY146" i="1"/>
  <c r="CY147" i="1"/>
  <c r="CY148" i="1"/>
  <c r="CY149" i="1"/>
  <c r="CY150" i="1"/>
  <c r="CY151" i="1"/>
  <c r="CY152" i="1"/>
  <c r="CY153" i="1"/>
  <c r="CY154" i="1"/>
  <c r="CY155" i="1"/>
  <c r="CY156" i="1"/>
  <c r="CY157" i="1"/>
  <c r="CY158" i="1"/>
  <c r="CY159" i="1"/>
  <c r="CY160" i="1"/>
  <c r="CY161" i="1"/>
  <c r="CY162" i="1"/>
  <c r="CY163" i="1"/>
  <c r="CY164" i="1"/>
  <c r="CY165" i="1"/>
  <c r="CY166" i="1"/>
  <c r="CY167" i="1"/>
  <c r="CY168" i="1"/>
  <c r="CY169" i="1"/>
  <c r="CY170" i="1"/>
  <c r="CY171" i="1"/>
  <c r="CY172" i="1"/>
  <c r="CY173" i="1"/>
  <c r="CY174" i="1"/>
  <c r="CY175" i="1"/>
  <c r="CY176" i="1"/>
  <c r="CY177" i="1"/>
  <c r="CY178" i="1"/>
  <c r="CY179" i="1"/>
  <c r="CY180" i="1"/>
  <c r="CY181" i="1"/>
  <c r="CY182" i="1"/>
  <c r="CY183" i="1"/>
  <c r="CY184" i="1"/>
  <c r="CY185" i="1"/>
  <c r="CY186" i="1"/>
  <c r="CY187" i="1"/>
  <c r="CY188" i="1"/>
  <c r="CY189" i="1"/>
  <c r="CY190" i="1"/>
  <c r="CY191" i="1"/>
  <c r="CY192" i="1"/>
  <c r="CY193" i="1"/>
  <c r="CY194" i="1"/>
  <c r="CY195" i="1"/>
  <c r="CY196" i="1"/>
  <c r="CY197" i="1"/>
  <c r="CY198" i="1"/>
  <c r="CY199" i="1"/>
  <c r="CY200" i="1"/>
  <c r="CY201" i="1"/>
  <c r="CY202" i="1"/>
  <c r="CY203" i="1"/>
  <c r="CY204" i="1"/>
  <c r="CY205" i="1"/>
  <c r="CY206" i="1"/>
  <c r="CY207" i="1"/>
  <c r="CY208" i="1"/>
  <c r="CY209" i="1"/>
  <c r="CY2" i="1"/>
  <c r="DE2" i="1" s="1"/>
  <c r="CU2" i="1"/>
  <c r="CU3" i="1"/>
  <c r="CW3" i="1" s="1"/>
  <c r="CU4" i="1"/>
  <c r="CW4" i="1" s="1"/>
  <c r="CU5" i="1"/>
  <c r="CW5" i="1" s="1"/>
  <c r="CU6" i="1"/>
  <c r="CW6" i="1" s="1"/>
  <c r="CU7" i="1"/>
  <c r="CW7" i="1" s="1"/>
  <c r="CU8" i="1"/>
  <c r="CW8" i="1" s="1"/>
  <c r="CU9" i="1"/>
  <c r="CW9" i="1" s="1"/>
  <c r="CU10" i="1"/>
  <c r="CW10" i="1" s="1"/>
  <c r="CU11" i="1"/>
  <c r="CW11" i="1" s="1"/>
  <c r="CU12" i="1"/>
  <c r="CW12" i="1" s="1"/>
  <c r="CW13" i="1"/>
  <c r="CU14" i="1"/>
  <c r="CW14" i="1" s="1"/>
  <c r="CU15" i="1"/>
  <c r="CW15" i="1" s="1"/>
  <c r="CU16" i="1"/>
  <c r="CW16" i="1" s="1"/>
  <c r="CU17" i="1"/>
  <c r="CW17" i="1" s="1"/>
  <c r="CU18" i="1"/>
  <c r="CW18" i="1" s="1"/>
  <c r="CU19" i="1"/>
  <c r="CW19" i="1" s="1"/>
  <c r="CU20" i="1"/>
  <c r="CW20" i="1" s="1"/>
  <c r="CW21" i="1"/>
  <c r="CU22" i="1"/>
  <c r="CW22" i="1" s="1"/>
  <c r="CU23" i="1"/>
  <c r="CW23" i="1" s="1"/>
  <c r="CU24" i="1"/>
  <c r="CW24" i="1" s="1"/>
  <c r="CU25" i="1"/>
  <c r="CW25" i="1" s="1"/>
  <c r="CU26" i="1"/>
  <c r="CW26" i="1" s="1"/>
  <c r="CU27" i="1"/>
  <c r="CW27" i="1" s="1"/>
  <c r="CU28" i="1"/>
  <c r="CW28" i="1" s="1"/>
  <c r="CU29" i="1"/>
  <c r="CW29" i="1" s="1"/>
  <c r="CW30" i="1"/>
  <c r="CU31" i="1"/>
  <c r="CW31" i="1" s="1"/>
  <c r="CU32" i="1"/>
  <c r="CW32" i="1" s="1"/>
  <c r="CU33" i="1"/>
  <c r="CW33" i="1" s="1"/>
  <c r="CU34" i="1"/>
  <c r="CW34" i="1" s="1"/>
  <c r="CU35" i="1"/>
  <c r="CW35" i="1" s="1"/>
  <c r="CU36" i="1"/>
  <c r="CW36" i="1" s="1"/>
  <c r="CU37" i="1"/>
  <c r="CW37" i="1" s="1"/>
  <c r="CU38" i="1"/>
  <c r="CW38" i="1" s="1"/>
  <c r="CU39" i="1"/>
  <c r="CW39" i="1" s="1"/>
  <c r="CU40" i="1"/>
  <c r="CW40" i="1" s="1"/>
  <c r="CU41" i="1"/>
  <c r="CW41" i="1" s="1"/>
  <c r="CU42" i="1"/>
  <c r="CW42" i="1" s="1"/>
  <c r="CU43" i="1"/>
  <c r="CW43" i="1" s="1"/>
  <c r="CU44" i="1"/>
  <c r="CW44" i="1" s="1"/>
  <c r="CU45" i="1"/>
  <c r="CW45" i="1" s="1"/>
  <c r="CU46" i="1"/>
  <c r="CW46" i="1" s="1"/>
  <c r="CU47" i="1"/>
  <c r="CW47" i="1" s="1"/>
  <c r="CU48" i="1"/>
  <c r="CW48" i="1" s="1"/>
  <c r="CU49" i="1"/>
  <c r="CW49" i="1" s="1"/>
  <c r="CU50" i="1"/>
  <c r="CW50" i="1" s="1"/>
  <c r="CU51" i="1"/>
  <c r="CW51" i="1" s="1"/>
  <c r="CW52" i="1"/>
  <c r="CU53" i="1"/>
  <c r="CW53" i="1" s="1"/>
  <c r="CU54" i="1"/>
  <c r="CW54" i="1" s="1"/>
  <c r="CU55" i="1"/>
  <c r="CW55" i="1" s="1"/>
  <c r="CU56" i="1"/>
  <c r="CW56" i="1" s="1"/>
  <c r="CU57" i="1"/>
  <c r="CW57" i="1" s="1"/>
  <c r="CW58" i="1"/>
  <c r="CU59" i="1"/>
  <c r="CW59" i="1" s="1"/>
  <c r="CW60" i="1"/>
  <c r="CU61" i="1"/>
  <c r="CW61" i="1" s="1"/>
  <c r="CU62" i="1"/>
  <c r="CW62" i="1" s="1"/>
  <c r="CU63" i="1"/>
  <c r="CW63" i="1" s="1"/>
  <c r="CU64" i="1"/>
  <c r="CW64" i="1" s="1"/>
  <c r="CW65" i="1"/>
  <c r="CU66" i="1"/>
  <c r="CW66" i="1" s="1"/>
  <c r="CU67" i="1"/>
  <c r="CW67" i="1" s="1"/>
  <c r="CU68" i="1"/>
  <c r="CW68" i="1" s="1"/>
  <c r="CU69" i="1"/>
  <c r="CW69" i="1" s="1"/>
  <c r="CU70" i="1"/>
  <c r="CW70" i="1" s="1"/>
  <c r="CU71" i="1"/>
  <c r="CW71" i="1" s="1"/>
  <c r="CU72" i="1"/>
  <c r="CW72" i="1" s="1"/>
  <c r="CU73" i="1"/>
  <c r="CW73" i="1" s="1"/>
  <c r="CU74" i="1"/>
  <c r="CW74" i="1" s="1"/>
  <c r="CU75" i="1"/>
  <c r="CW75" i="1" s="1"/>
  <c r="CU76" i="1"/>
  <c r="CW76" i="1" s="1"/>
  <c r="CU77" i="1"/>
  <c r="CW77" i="1" s="1"/>
  <c r="CU78" i="1"/>
  <c r="CW78" i="1" s="1"/>
  <c r="CU79" i="1"/>
  <c r="CW79" i="1" s="1"/>
  <c r="CU80" i="1"/>
  <c r="CW80" i="1" s="1"/>
  <c r="CU81" i="1"/>
  <c r="CW81" i="1" s="1"/>
  <c r="CU82" i="1"/>
  <c r="CW82" i="1" s="1"/>
  <c r="CU83" i="1"/>
  <c r="CW83" i="1" s="1"/>
  <c r="CU84" i="1"/>
  <c r="CW84" i="1" s="1"/>
  <c r="CU85" i="1"/>
  <c r="CW85" i="1" s="1"/>
  <c r="CU86" i="1"/>
  <c r="CW86" i="1" s="1"/>
  <c r="CU87" i="1"/>
  <c r="CW87" i="1" s="1"/>
  <c r="CU88" i="1"/>
  <c r="CW88" i="1" s="1"/>
  <c r="CU89" i="1"/>
  <c r="CW89" i="1" s="1"/>
  <c r="CU90" i="1"/>
  <c r="CW90" i="1" s="1"/>
  <c r="CU91" i="1"/>
  <c r="CW91" i="1" s="1"/>
  <c r="CU92" i="1"/>
  <c r="CW92" i="1" s="1"/>
  <c r="CU93" i="1"/>
  <c r="CW93" i="1" s="1"/>
  <c r="CW94" i="1"/>
  <c r="CU95" i="1"/>
  <c r="CW95" i="1" s="1"/>
  <c r="CU96" i="1"/>
  <c r="CW96" i="1" s="1"/>
  <c r="CU97" i="1"/>
  <c r="CW97" i="1" s="1"/>
  <c r="CW98" i="1"/>
  <c r="CW99" i="1"/>
  <c r="CU100" i="1"/>
  <c r="CW100" i="1" s="1"/>
  <c r="CW101" i="1"/>
  <c r="CU102" i="1"/>
  <c r="CW102" i="1" s="1"/>
  <c r="CU103" i="1"/>
  <c r="CW103" i="1" s="1"/>
  <c r="CW104" i="1"/>
  <c r="CU105" i="1"/>
  <c r="CW105" i="1" s="1"/>
  <c r="CU106" i="1"/>
  <c r="CW106" i="1" s="1"/>
  <c r="CU107" i="1"/>
  <c r="CW107" i="1" s="1"/>
  <c r="CU108" i="1"/>
  <c r="CW108" i="1" s="1"/>
  <c r="CU109" i="1"/>
  <c r="CW109" i="1" s="1"/>
  <c r="CU110" i="1"/>
  <c r="CW110" i="1" s="1"/>
  <c r="CU111" i="1"/>
  <c r="CW111" i="1" s="1"/>
  <c r="CU112" i="1"/>
  <c r="CW112" i="1" s="1"/>
  <c r="CU113" i="1"/>
  <c r="CW113" i="1" s="1"/>
  <c r="CU114" i="1"/>
  <c r="CW114" i="1" s="1"/>
  <c r="CU115" i="1"/>
  <c r="CW115" i="1" s="1"/>
  <c r="CU116" i="1"/>
  <c r="CW116" i="1" s="1"/>
  <c r="CU117" i="1"/>
  <c r="CW117" i="1" s="1"/>
  <c r="CU118" i="1"/>
  <c r="CW118" i="1" s="1"/>
  <c r="CU119" i="1"/>
  <c r="CW119" i="1" s="1"/>
  <c r="CU120" i="1"/>
  <c r="CW120" i="1" s="1"/>
  <c r="CU121" i="1"/>
  <c r="CW121" i="1" s="1"/>
  <c r="CU122" i="1"/>
  <c r="CW122" i="1" s="1"/>
  <c r="CU123" i="1"/>
  <c r="CW123" i="1" s="1"/>
  <c r="CU124" i="1"/>
  <c r="CW124" i="1" s="1"/>
  <c r="CU125" i="1"/>
  <c r="CW125" i="1" s="1"/>
  <c r="CU126" i="1"/>
  <c r="CW126" i="1" s="1"/>
  <c r="CU127" i="1"/>
  <c r="CW127" i="1" s="1"/>
  <c r="CU128" i="1"/>
  <c r="CW128" i="1" s="1"/>
  <c r="CU129" i="1"/>
  <c r="CW129" i="1" s="1"/>
  <c r="CU130" i="1"/>
  <c r="CW130" i="1" s="1"/>
  <c r="CU131" i="1"/>
  <c r="CW131" i="1" s="1"/>
  <c r="CW132" i="1"/>
  <c r="CU133" i="1"/>
  <c r="CW133" i="1" s="1"/>
  <c r="CU134" i="1"/>
  <c r="CW134" i="1" s="1"/>
  <c r="CU135" i="1"/>
  <c r="CW135" i="1" s="1"/>
  <c r="CW136" i="1"/>
  <c r="CU137" i="1"/>
  <c r="CW137" i="1" s="1"/>
  <c r="CU138" i="1"/>
  <c r="CW138" i="1" s="1"/>
  <c r="CW139" i="1"/>
  <c r="CU140" i="1"/>
  <c r="CW140" i="1" s="1"/>
  <c r="CU141" i="1"/>
  <c r="CW141" i="1" s="1"/>
  <c r="CU142" i="1"/>
  <c r="CW142" i="1" s="1"/>
  <c r="CW143" i="1"/>
  <c r="CW144" i="1"/>
  <c r="CU145" i="1"/>
  <c r="CW145" i="1" s="1"/>
  <c r="CU146" i="1"/>
  <c r="CW146" i="1" s="1"/>
  <c r="CU148" i="1"/>
  <c r="CW148" i="1" s="1"/>
  <c r="CW149" i="1"/>
  <c r="CU150" i="1"/>
  <c r="CW150" i="1" s="1"/>
  <c r="CU151" i="1"/>
  <c r="CW151" i="1" s="1"/>
  <c r="CW152" i="1"/>
  <c r="CU153" i="1"/>
  <c r="CW153" i="1" s="1"/>
  <c r="CU154" i="1"/>
  <c r="CW154" i="1" s="1"/>
  <c r="CU155" i="1"/>
  <c r="CW155" i="1" s="1"/>
  <c r="CU156" i="1"/>
  <c r="CW156" i="1" s="1"/>
  <c r="CU157" i="1"/>
  <c r="CW157" i="1" s="1"/>
  <c r="CU158" i="1"/>
  <c r="CW158" i="1" s="1"/>
  <c r="CU159" i="1"/>
  <c r="CW159" i="1" s="1"/>
  <c r="CU160" i="1"/>
  <c r="CW160" i="1" s="1"/>
  <c r="CU161" i="1"/>
  <c r="CW161" i="1" s="1"/>
  <c r="CW162" i="1"/>
  <c r="CU163" i="1"/>
  <c r="CW163" i="1" s="1"/>
  <c r="CU164" i="1"/>
  <c r="CW164" i="1" s="1"/>
  <c r="CU165" i="1"/>
  <c r="CW165" i="1" s="1"/>
  <c r="CU166" i="1"/>
  <c r="CW166" i="1" s="1"/>
  <c r="CU167" i="1"/>
  <c r="CW167" i="1" s="1"/>
  <c r="CU168" i="1"/>
  <c r="CW168" i="1" s="1"/>
  <c r="CU169" i="1"/>
  <c r="CW169" i="1" s="1"/>
  <c r="CU170" i="1"/>
  <c r="CW170" i="1" s="1"/>
  <c r="CU171" i="1"/>
  <c r="CW171" i="1" s="1"/>
  <c r="CU172" i="1"/>
  <c r="CW172" i="1" s="1"/>
  <c r="CU173" i="1"/>
  <c r="CW173" i="1" s="1"/>
  <c r="CU174" i="1"/>
  <c r="CW174" i="1" s="1"/>
  <c r="CW175" i="1"/>
  <c r="CU176" i="1"/>
  <c r="CW176" i="1" s="1"/>
  <c r="CU177" i="1"/>
  <c r="CW177" i="1" s="1"/>
  <c r="CU178" i="1"/>
  <c r="CW178" i="1" s="1"/>
  <c r="CW179" i="1"/>
  <c r="CU180" i="1"/>
  <c r="CW180" i="1" s="1"/>
  <c r="CU181" i="1"/>
  <c r="CW181" i="1" s="1"/>
  <c r="CU182" i="1"/>
  <c r="CW182" i="1" s="1"/>
  <c r="CU183" i="1"/>
  <c r="CW183" i="1" s="1"/>
  <c r="CU184" i="1"/>
  <c r="CW184" i="1" s="1"/>
  <c r="CU185" i="1"/>
  <c r="CW185" i="1" s="1"/>
  <c r="CU186" i="1"/>
  <c r="CW186" i="1" s="1"/>
  <c r="CU187" i="1"/>
  <c r="CW187" i="1" s="1"/>
  <c r="CU188" i="1"/>
  <c r="CW188" i="1" s="1"/>
  <c r="CU189" i="1"/>
  <c r="CW189" i="1" s="1"/>
  <c r="CU190" i="1"/>
  <c r="CW190" i="1" s="1"/>
  <c r="CU191" i="1"/>
  <c r="CW191" i="1" s="1"/>
  <c r="CU192" i="1"/>
  <c r="CW192" i="1" s="1"/>
  <c r="CU193" i="1"/>
  <c r="CW193" i="1" s="1"/>
  <c r="CU194" i="1"/>
  <c r="CW194" i="1" s="1"/>
  <c r="CW195" i="1"/>
  <c r="CW196" i="1"/>
  <c r="CU197" i="1"/>
  <c r="CW197" i="1" s="1"/>
  <c r="CU198" i="1"/>
  <c r="CW198" i="1" s="1"/>
  <c r="CU199" i="1"/>
  <c r="CW199" i="1" s="1"/>
  <c r="CU200" i="1"/>
  <c r="CW200" i="1" s="1"/>
  <c r="CW201" i="1"/>
  <c r="CW202" i="1"/>
  <c r="CW203" i="1"/>
  <c r="CU204" i="1"/>
  <c r="CW204" i="1" s="1"/>
  <c r="CU205" i="1"/>
  <c r="CW205" i="1" s="1"/>
  <c r="CW206" i="1"/>
  <c r="CU207" i="1"/>
  <c r="CW207" i="1" s="1"/>
  <c r="CU208" i="1"/>
  <c r="CW208" i="1" s="1"/>
  <c r="CU209" i="1"/>
  <c r="CW209" i="1" s="1"/>
  <c r="CU210" i="1"/>
  <c r="CW210" i="1" s="1"/>
  <c r="CU211" i="1"/>
  <c r="CW211" i="1" s="1"/>
  <c r="CU212" i="1"/>
  <c r="CW212" i="1" s="1"/>
  <c r="CU213" i="1"/>
  <c r="CW213" i="1" s="1"/>
  <c r="CU214" i="1"/>
  <c r="CW214" i="1" s="1"/>
  <c r="CU215" i="1"/>
  <c r="CW215" i="1" s="1"/>
  <c r="CU216" i="1"/>
  <c r="CW216" i="1" s="1"/>
  <c r="CU217" i="1"/>
  <c r="CW217" i="1" s="1"/>
  <c r="CU218" i="1"/>
  <c r="CW218" i="1" s="1"/>
  <c r="CU219" i="1"/>
  <c r="CW219" i="1" s="1"/>
  <c r="CU220" i="1"/>
  <c r="CW220" i="1" s="1"/>
  <c r="CU221" i="1"/>
  <c r="CW221" i="1" s="1"/>
  <c r="CU222" i="1"/>
  <c r="CW222" i="1" s="1"/>
  <c r="CU223" i="1"/>
  <c r="CW223" i="1" s="1"/>
  <c r="CU224" i="1"/>
  <c r="CW224" i="1" s="1"/>
  <c r="CU225" i="1"/>
  <c r="CW225" i="1" s="1"/>
  <c r="CU226" i="1"/>
  <c r="CW226" i="1" s="1"/>
  <c r="CU227" i="1"/>
  <c r="CW227" i="1" s="1"/>
  <c r="CU228" i="1"/>
  <c r="CW228" i="1" s="1"/>
  <c r="CU229" i="1"/>
  <c r="CW229" i="1" s="1"/>
  <c r="CW230" i="1"/>
  <c r="CU231" i="1"/>
  <c r="CW231" i="1" s="1"/>
  <c r="CU232" i="1"/>
  <c r="CW232" i="1" s="1"/>
  <c r="CU233" i="1"/>
  <c r="CW233" i="1" s="1"/>
  <c r="CU234" i="1"/>
  <c r="CW234" i="1" s="1"/>
  <c r="CW235" i="1"/>
  <c r="CU236" i="1"/>
  <c r="CW236" i="1" s="1"/>
  <c r="CU237" i="1"/>
  <c r="CW237" i="1" s="1"/>
  <c r="CU238" i="1"/>
  <c r="CW238" i="1" s="1"/>
  <c r="CW239" i="1"/>
  <c r="CU240" i="1"/>
  <c r="CW240" i="1" s="1"/>
  <c r="CW241" i="1"/>
  <c r="CW242" i="1"/>
  <c r="CU243" i="1"/>
  <c r="CW243" i="1" s="1"/>
  <c r="CW244" i="1"/>
  <c r="CU245" i="1"/>
  <c r="CW245" i="1" s="1"/>
  <c r="CW246" i="1"/>
  <c r="CU247" i="1"/>
  <c r="CW247" i="1" s="1"/>
  <c r="CU248" i="1"/>
  <c r="CW248" i="1" s="1"/>
  <c r="CU249" i="1"/>
  <c r="CW249" i="1" s="1"/>
  <c r="CU250" i="1"/>
  <c r="CW250" i="1" s="1"/>
  <c r="CU251" i="1"/>
  <c r="CW251" i="1" s="1"/>
  <c r="CU252" i="1"/>
  <c r="CW252" i="1" s="1"/>
  <c r="CU253" i="1"/>
  <c r="CW253" i="1" s="1"/>
  <c r="CU254" i="1"/>
  <c r="CW254" i="1" s="1"/>
  <c r="CU255" i="1"/>
  <c r="CW255" i="1" s="1"/>
  <c r="CU256" i="1"/>
  <c r="CW256" i="1" s="1"/>
  <c r="CU257" i="1"/>
  <c r="CW257" i="1" s="1"/>
  <c r="CU258" i="1"/>
  <c r="CW258" i="1" s="1"/>
  <c r="CU259" i="1"/>
  <c r="CW259" i="1" s="1"/>
  <c r="CU260" i="1"/>
  <c r="CW260" i="1" s="1"/>
  <c r="CU261" i="1"/>
  <c r="CW261" i="1" s="1"/>
  <c r="CU262" i="1"/>
  <c r="CW262" i="1" s="1"/>
  <c r="CU263" i="1"/>
  <c r="CW263" i="1" s="1"/>
  <c r="CU264" i="1"/>
  <c r="CW264" i="1" s="1"/>
  <c r="CU265" i="1"/>
  <c r="CW265" i="1" s="1"/>
  <c r="CU266" i="1"/>
  <c r="CW266" i="1" s="1"/>
  <c r="CU267" i="1"/>
  <c r="CW267" i="1" s="1"/>
  <c r="CU268" i="1"/>
  <c r="CW268" i="1" s="1"/>
  <c r="CU269" i="1"/>
  <c r="CW269" i="1" s="1"/>
  <c r="CU270" i="1"/>
  <c r="CW270" i="1" s="1"/>
  <c r="CU271" i="1"/>
  <c r="CW271" i="1" s="1"/>
  <c r="CU272" i="1"/>
  <c r="CW272" i="1" s="1"/>
  <c r="CU273" i="1"/>
  <c r="CW273" i="1" s="1"/>
  <c r="CU274" i="1"/>
  <c r="CW274" i="1" s="1"/>
  <c r="CU275" i="1"/>
  <c r="CW275" i="1" s="1"/>
  <c r="CU276" i="1"/>
  <c r="CW276" i="1" s="1"/>
  <c r="CU277" i="1"/>
  <c r="CW277" i="1" s="1"/>
  <c r="CU278" i="1"/>
  <c r="CW278" i="1" s="1"/>
  <c r="CU279" i="1"/>
  <c r="CW279" i="1" s="1"/>
  <c r="CU280" i="1"/>
  <c r="CW280" i="1" s="1"/>
  <c r="CU281" i="1"/>
  <c r="CW281" i="1" s="1"/>
  <c r="CU282" i="1"/>
  <c r="CW282" i="1" s="1"/>
  <c r="CU283" i="1"/>
  <c r="CW283" i="1" s="1"/>
  <c r="CU284" i="1"/>
  <c r="CW284" i="1" s="1"/>
  <c r="CW285" i="1"/>
  <c r="CU286" i="1"/>
  <c r="CW286" i="1" s="1"/>
  <c r="CU287" i="1"/>
  <c r="CW287" i="1" s="1"/>
  <c r="CU288" i="1"/>
  <c r="CW288" i="1" s="1"/>
  <c r="CU289" i="1"/>
  <c r="CW289" i="1" s="1"/>
  <c r="CU290" i="1"/>
  <c r="CW290" i="1" s="1"/>
  <c r="CW291" i="1"/>
  <c r="CU292" i="1"/>
  <c r="CW292" i="1" s="1"/>
  <c r="CU293" i="1"/>
  <c r="CW293" i="1" s="1"/>
  <c r="CW294" i="1"/>
  <c r="CU295" i="1"/>
  <c r="CW295" i="1" s="1"/>
  <c r="CU296" i="1"/>
  <c r="CW296" i="1" s="1"/>
  <c r="CU297" i="1"/>
  <c r="CW297" i="1" s="1"/>
  <c r="CU298" i="1"/>
  <c r="CW298" i="1" s="1"/>
  <c r="CU299" i="1"/>
  <c r="CW299" i="1" s="1"/>
  <c r="CU300" i="1"/>
  <c r="CW300" i="1" s="1"/>
  <c r="CU301" i="1"/>
  <c r="CW301" i="1" s="1"/>
  <c r="CU302" i="1"/>
  <c r="CW302" i="1" s="1"/>
  <c r="CU303" i="1"/>
  <c r="CW303" i="1" s="1"/>
  <c r="CU304" i="1"/>
  <c r="CW304" i="1" s="1"/>
  <c r="CU305" i="1"/>
  <c r="CW305" i="1" s="1"/>
  <c r="CU306" i="1"/>
  <c r="CW306" i="1" s="1"/>
  <c r="CU307" i="1"/>
  <c r="CW307" i="1" s="1"/>
  <c r="CU308" i="1"/>
  <c r="CW308" i="1" s="1"/>
  <c r="CU309" i="1"/>
  <c r="CW309" i="1" s="1"/>
  <c r="CU310" i="1"/>
  <c r="CW310" i="1" s="1"/>
  <c r="CU311" i="1"/>
  <c r="CW311" i="1" s="1"/>
  <c r="CU312" i="1"/>
  <c r="CW312" i="1" s="1"/>
  <c r="CU313" i="1"/>
  <c r="CW313" i="1" s="1"/>
  <c r="CU314" i="1"/>
  <c r="CW314" i="1" s="1"/>
  <c r="CU315" i="1"/>
  <c r="CW315" i="1" s="1"/>
  <c r="CU316" i="1"/>
  <c r="CW316" i="1" s="1"/>
  <c r="CU317" i="1"/>
  <c r="CW317" i="1" s="1"/>
  <c r="CU318" i="1"/>
  <c r="CW318" i="1" s="1"/>
  <c r="CU319" i="1"/>
  <c r="CW319" i="1" s="1"/>
  <c r="CU320" i="1"/>
  <c r="CW320" i="1" s="1"/>
  <c r="CU321" i="1"/>
  <c r="CW321" i="1" s="1"/>
  <c r="CU322" i="1"/>
  <c r="CW322" i="1" s="1"/>
  <c r="CU323" i="1"/>
  <c r="CW323" i="1" s="1"/>
  <c r="CU324" i="1"/>
  <c r="CW324" i="1" s="1"/>
  <c r="CU325" i="1"/>
  <c r="CW325" i="1" s="1"/>
  <c r="CU326" i="1"/>
  <c r="CW326" i="1" s="1"/>
  <c r="CW327" i="1"/>
  <c r="CU328" i="1"/>
  <c r="CW328" i="1" s="1"/>
  <c r="CU329" i="1"/>
  <c r="CW329" i="1" s="1"/>
  <c r="CU330" i="1"/>
  <c r="CW330" i="1" s="1"/>
  <c r="CU331" i="1"/>
  <c r="CW331" i="1" s="1"/>
  <c r="CU332" i="1"/>
  <c r="CW332" i="1" s="1"/>
  <c r="CU333" i="1"/>
  <c r="CW333" i="1" s="1"/>
  <c r="CU334" i="1"/>
  <c r="CW334" i="1" s="1"/>
  <c r="CU335" i="1"/>
  <c r="CW335" i="1" s="1"/>
  <c r="CU336" i="1"/>
  <c r="CW336" i="1" s="1"/>
  <c r="CU337" i="1"/>
  <c r="CW337" i="1" s="1"/>
  <c r="CU338" i="1"/>
  <c r="CW338" i="1" s="1"/>
  <c r="CU339" i="1"/>
  <c r="CW339" i="1" s="1"/>
  <c r="CU340" i="1"/>
  <c r="CW340" i="1" s="1"/>
  <c r="CU341" i="1"/>
  <c r="CW341" i="1" s="1"/>
  <c r="CU342" i="1"/>
  <c r="CW342" i="1" s="1"/>
  <c r="CU343" i="1"/>
  <c r="CW343" i="1" s="1"/>
  <c r="CU344" i="1"/>
  <c r="CW344" i="1" s="1"/>
  <c r="CU345" i="1"/>
  <c r="CW345" i="1" s="1"/>
  <c r="CU346" i="1"/>
  <c r="CW346" i="1" s="1"/>
  <c r="CU347" i="1"/>
  <c r="CW347" i="1" s="1"/>
  <c r="CU348" i="1"/>
  <c r="CW348" i="1" s="1"/>
  <c r="CU349" i="1"/>
  <c r="CW349" i="1" s="1"/>
  <c r="CU350" i="1"/>
  <c r="CW350" i="1" s="1"/>
  <c r="CU351" i="1"/>
  <c r="CW351" i="1" s="1"/>
  <c r="CU352" i="1"/>
  <c r="CW352" i="1" s="1"/>
  <c r="CU353" i="1"/>
  <c r="CW353" i="1" s="1"/>
  <c r="CU354" i="1"/>
  <c r="CW354" i="1" s="1"/>
  <c r="CU355" i="1"/>
  <c r="CW355" i="1" s="1"/>
  <c r="CU356" i="1"/>
  <c r="CW356" i="1" s="1"/>
  <c r="CU357" i="1"/>
  <c r="CW357" i="1" s="1"/>
  <c r="CU358" i="1"/>
  <c r="CW358" i="1" s="1"/>
  <c r="CU359" i="1"/>
  <c r="CW359" i="1" s="1"/>
  <c r="CU360" i="1"/>
  <c r="CW360" i="1" s="1"/>
  <c r="CU361" i="1"/>
  <c r="CW361" i="1" s="1"/>
  <c r="CU362" i="1"/>
  <c r="CW362" i="1" s="1"/>
  <c r="CU363" i="1"/>
  <c r="CW363" i="1" s="1"/>
  <c r="CU364" i="1"/>
  <c r="CW364" i="1" s="1"/>
  <c r="CU365" i="1"/>
  <c r="CW365" i="1" s="1"/>
  <c r="CU366" i="1"/>
  <c r="CW366" i="1" s="1"/>
  <c r="CU367" i="1"/>
  <c r="CW367" i="1" s="1"/>
  <c r="CU368" i="1"/>
  <c r="CW368" i="1" s="1"/>
  <c r="CU369" i="1"/>
  <c r="CW369" i="1" s="1"/>
  <c r="CU370" i="1"/>
  <c r="CW370" i="1" s="1"/>
  <c r="CU371" i="1"/>
  <c r="CW371" i="1" s="1"/>
  <c r="CU372" i="1"/>
  <c r="CW372" i="1" s="1"/>
  <c r="CU373" i="1"/>
  <c r="CW373" i="1" s="1"/>
  <c r="CU374" i="1"/>
  <c r="CW374" i="1" s="1"/>
  <c r="CU375" i="1"/>
  <c r="CW375" i="1" s="1"/>
  <c r="CU376" i="1"/>
  <c r="CW376" i="1" s="1"/>
  <c r="CU377" i="1"/>
  <c r="CW377" i="1" s="1"/>
  <c r="CU378" i="1"/>
  <c r="CW378" i="1" s="1"/>
  <c r="CU391" i="1"/>
  <c r="CW391" i="1" s="1"/>
  <c r="CU392" i="1"/>
  <c r="CW392" i="1" s="1"/>
  <c r="CU393" i="1"/>
  <c r="CW393" i="1" s="1"/>
  <c r="CU394" i="1"/>
  <c r="CW394" i="1" s="1"/>
  <c r="CU395" i="1"/>
  <c r="CW395" i="1" s="1"/>
  <c r="CU396" i="1"/>
  <c r="CW396" i="1" s="1"/>
  <c r="CU397" i="1"/>
  <c r="CW397" i="1" s="1"/>
  <c r="CU398" i="1"/>
  <c r="CW398" i="1" s="1"/>
  <c r="CU399" i="1"/>
  <c r="CW399" i="1" s="1"/>
  <c r="CU400" i="1"/>
  <c r="CW400" i="1" s="1"/>
  <c r="CU401" i="1"/>
  <c r="CW401" i="1" s="1"/>
  <c r="CU402" i="1"/>
  <c r="CW402" i="1" s="1"/>
  <c r="CU403" i="1"/>
  <c r="CW403" i="1" s="1"/>
  <c r="CU404" i="1"/>
  <c r="CW404" i="1" s="1"/>
  <c r="CU405" i="1"/>
  <c r="CW405" i="1" s="1"/>
  <c r="CU406" i="1"/>
  <c r="CW406" i="1" s="1"/>
  <c r="CU407" i="1"/>
  <c r="CW407" i="1" s="1"/>
  <c r="CU408" i="1"/>
  <c r="CW408" i="1" s="1"/>
  <c r="CU409" i="1"/>
  <c r="CW409" i="1" s="1"/>
  <c r="CU410" i="1"/>
  <c r="CW410" i="1" s="1"/>
  <c r="CU411" i="1"/>
  <c r="CW411" i="1" s="1"/>
  <c r="CU412" i="1"/>
  <c r="CW412" i="1" s="1"/>
  <c r="CU413" i="1"/>
  <c r="CW413" i="1" s="1"/>
  <c r="CU414" i="1"/>
  <c r="CW414" i="1" s="1"/>
  <c r="CU415" i="1"/>
  <c r="CW415" i="1" s="1"/>
  <c r="CU416" i="1"/>
  <c r="CW416" i="1" s="1"/>
  <c r="CU417" i="1"/>
  <c r="CW417" i="1" s="1"/>
  <c r="CU418" i="1"/>
  <c r="CW418" i="1" s="1"/>
  <c r="CU419" i="1"/>
  <c r="CW419" i="1" s="1"/>
  <c r="CU420" i="1"/>
  <c r="CW420" i="1" s="1"/>
  <c r="CU421" i="1"/>
  <c r="CW421" i="1" s="1"/>
  <c r="CU422" i="1"/>
  <c r="CW422" i="1" s="1"/>
  <c r="CU423" i="1"/>
  <c r="CW423" i="1" s="1"/>
  <c r="CU424" i="1"/>
  <c r="CW424" i="1" s="1"/>
  <c r="CU425" i="1"/>
  <c r="CW425" i="1" s="1"/>
  <c r="CU426" i="1"/>
  <c r="CW426" i="1" s="1"/>
  <c r="CU427" i="1"/>
  <c r="CW427" i="1" s="1"/>
  <c r="CU428" i="1"/>
  <c r="CW428" i="1" s="1"/>
  <c r="CU429" i="1"/>
  <c r="CW429" i="1" s="1"/>
  <c r="CU430" i="1"/>
  <c r="CW430" i="1" s="1"/>
  <c r="CU431" i="1"/>
  <c r="CW431" i="1" s="1"/>
  <c r="CU432" i="1"/>
  <c r="CW432" i="1" s="1"/>
  <c r="CU433" i="1"/>
  <c r="CW433" i="1" s="1"/>
  <c r="CU434" i="1"/>
  <c r="CW434" i="1" s="1"/>
  <c r="CU435" i="1"/>
  <c r="CW435" i="1" s="1"/>
  <c r="CU436" i="1"/>
  <c r="CW436" i="1" s="1"/>
  <c r="CU437" i="1"/>
  <c r="CW437" i="1" s="1"/>
  <c r="CU438" i="1"/>
  <c r="CW438" i="1" s="1"/>
  <c r="CU439" i="1"/>
  <c r="CW439" i="1" s="1"/>
  <c r="CU440" i="1"/>
  <c r="CW440" i="1" s="1"/>
  <c r="CU441" i="1"/>
  <c r="CW441" i="1" s="1"/>
  <c r="CU442" i="1"/>
  <c r="CW442" i="1" s="1"/>
  <c r="CU443" i="1"/>
  <c r="CW443" i="1" s="1"/>
  <c r="CU444" i="1"/>
  <c r="CW444" i="1" s="1"/>
  <c r="CU445" i="1"/>
  <c r="CW445" i="1" s="1"/>
  <c r="CU446" i="1"/>
  <c r="CW446" i="1" s="1"/>
  <c r="CU447" i="1"/>
  <c r="CW447" i="1" s="1"/>
  <c r="CU448" i="1"/>
  <c r="CW448" i="1" s="1"/>
  <c r="CU449" i="1"/>
  <c r="CW449" i="1" s="1"/>
  <c r="CU450" i="1"/>
  <c r="CW450" i="1" s="1"/>
  <c r="CU451" i="1"/>
  <c r="CW451" i="1" s="1"/>
  <c r="CU452" i="1"/>
  <c r="CW452" i="1" s="1"/>
  <c r="CU453" i="1"/>
  <c r="CW453" i="1" s="1"/>
  <c r="DF440" i="1" l="1"/>
  <c r="DF432" i="1"/>
  <c r="CW2" i="1"/>
  <c r="DF451" i="1"/>
  <c r="DF443" i="1"/>
  <c r="DF435" i="1"/>
  <c r="DF427" i="1"/>
  <c r="DF411" i="1"/>
  <c r="DF403" i="1"/>
  <c r="DF448" i="1"/>
  <c r="DF410" i="1"/>
  <c r="CZ174" i="1"/>
  <c r="DF174" i="1" s="1"/>
  <c r="DE174" i="1"/>
  <c r="CZ134" i="1"/>
  <c r="DF134" i="1" s="1"/>
  <c r="DE134" i="1"/>
  <c r="CZ94" i="1"/>
  <c r="DF94" i="1" s="1"/>
  <c r="DE94" i="1"/>
  <c r="CZ54" i="1"/>
  <c r="DF54" i="1" s="1"/>
  <c r="DE54" i="1"/>
  <c r="CZ30" i="1"/>
  <c r="DF30" i="1" s="1"/>
  <c r="DE30" i="1"/>
  <c r="CZ346" i="1"/>
  <c r="DF346" i="1" s="1"/>
  <c r="DE346" i="1"/>
  <c r="CZ314" i="1"/>
  <c r="DF314" i="1" s="1"/>
  <c r="DE314" i="1"/>
  <c r="CZ298" i="1"/>
  <c r="DF298" i="1" s="1"/>
  <c r="DE298" i="1"/>
  <c r="CZ266" i="1"/>
  <c r="DF266" i="1" s="1"/>
  <c r="DE266" i="1"/>
  <c r="CZ242" i="1"/>
  <c r="DF242" i="1" s="1"/>
  <c r="DE242" i="1"/>
  <c r="CZ218" i="1"/>
  <c r="DF218" i="1" s="1"/>
  <c r="DE218" i="1"/>
  <c r="CZ372" i="1"/>
  <c r="DF372" i="1" s="1"/>
  <c r="DE372" i="1"/>
  <c r="DB357" i="1"/>
  <c r="DE357" i="1"/>
  <c r="DD386" i="1"/>
  <c r="DE386" i="1"/>
  <c r="CZ189" i="1"/>
  <c r="DF189" i="1" s="1"/>
  <c r="DE189" i="1"/>
  <c r="CZ141" i="1"/>
  <c r="DF141" i="1" s="1"/>
  <c r="DE141" i="1"/>
  <c r="CZ85" i="1"/>
  <c r="DF85" i="1" s="1"/>
  <c r="DE85" i="1"/>
  <c r="CZ21" i="1"/>
  <c r="DF21" i="1" s="1"/>
  <c r="DE21" i="1"/>
  <c r="CZ281" i="1"/>
  <c r="DF281" i="1" s="1"/>
  <c r="DE281" i="1"/>
  <c r="CZ290" i="1"/>
  <c r="DF290" i="1" s="1"/>
  <c r="DD401" i="1"/>
  <c r="DE401" i="1"/>
  <c r="DD385" i="1"/>
  <c r="DE385" i="1"/>
  <c r="CZ204" i="1"/>
  <c r="DF204" i="1" s="1"/>
  <c r="DE204" i="1"/>
  <c r="CZ188" i="1"/>
  <c r="DF188" i="1" s="1"/>
  <c r="DE188" i="1"/>
  <c r="CZ180" i="1"/>
  <c r="DF180" i="1" s="1"/>
  <c r="DE180" i="1"/>
  <c r="CZ172" i="1"/>
  <c r="DF172" i="1" s="1"/>
  <c r="DE172" i="1"/>
  <c r="CZ164" i="1"/>
  <c r="DF164" i="1" s="1"/>
  <c r="DE164" i="1"/>
  <c r="CZ156" i="1"/>
  <c r="DF156" i="1" s="1"/>
  <c r="DE156" i="1"/>
  <c r="CZ140" i="1"/>
  <c r="DF140" i="1" s="1"/>
  <c r="DE140" i="1"/>
  <c r="CZ132" i="1"/>
  <c r="DF132" i="1" s="1"/>
  <c r="DE132" i="1"/>
  <c r="CZ124" i="1"/>
  <c r="DF124" i="1" s="1"/>
  <c r="DE124" i="1"/>
  <c r="CZ116" i="1"/>
  <c r="DF116" i="1" s="1"/>
  <c r="DE116" i="1"/>
  <c r="CZ108" i="1"/>
  <c r="DF108" i="1" s="1"/>
  <c r="DE108" i="1"/>
  <c r="CZ100" i="1"/>
  <c r="DF100" i="1" s="1"/>
  <c r="DE100" i="1"/>
  <c r="CZ92" i="1"/>
  <c r="DF92" i="1" s="1"/>
  <c r="DE92" i="1"/>
  <c r="CZ84" i="1"/>
  <c r="DF84" i="1" s="1"/>
  <c r="DE84" i="1"/>
  <c r="CZ76" i="1"/>
  <c r="DF76" i="1" s="1"/>
  <c r="DE76" i="1"/>
  <c r="CZ60" i="1"/>
  <c r="DF60" i="1" s="1"/>
  <c r="DE60" i="1"/>
  <c r="CZ52" i="1"/>
  <c r="DF52" i="1" s="1"/>
  <c r="DE52" i="1"/>
  <c r="CZ44" i="1"/>
  <c r="DF44" i="1" s="1"/>
  <c r="DE44" i="1"/>
  <c r="CZ36" i="1"/>
  <c r="DF36" i="1" s="1"/>
  <c r="DE36" i="1"/>
  <c r="CZ28" i="1"/>
  <c r="DF28" i="1" s="1"/>
  <c r="DE28" i="1"/>
  <c r="CZ20" i="1"/>
  <c r="DF20" i="1" s="1"/>
  <c r="DE20" i="1"/>
  <c r="CZ12" i="1"/>
  <c r="DF12" i="1" s="1"/>
  <c r="DE12" i="1"/>
  <c r="CZ4" i="1"/>
  <c r="DF4" i="1" s="1"/>
  <c r="DE4" i="1"/>
  <c r="CZ344" i="1"/>
  <c r="DF344" i="1" s="1"/>
  <c r="DE344" i="1"/>
  <c r="CZ336" i="1"/>
  <c r="DF336" i="1" s="1"/>
  <c r="DE336" i="1"/>
  <c r="CZ328" i="1"/>
  <c r="DF328" i="1" s="1"/>
  <c r="DE328" i="1"/>
  <c r="CZ320" i="1"/>
  <c r="DF320" i="1" s="1"/>
  <c r="DE320" i="1"/>
  <c r="CZ312" i="1"/>
  <c r="DF312" i="1" s="1"/>
  <c r="DE312" i="1"/>
  <c r="CZ304" i="1"/>
  <c r="DF304" i="1" s="1"/>
  <c r="DE304" i="1"/>
  <c r="CZ296" i="1"/>
  <c r="DF296" i="1" s="1"/>
  <c r="DE296" i="1"/>
  <c r="CZ288" i="1"/>
  <c r="DF288" i="1" s="1"/>
  <c r="DE288" i="1"/>
  <c r="CZ280" i="1"/>
  <c r="DF280" i="1" s="1"/>
  <c r="DE280" i="1"/>
  <c r="CZ272" i="1"/>
  <c r="DF272" i="1" s="1"/>
  <c r="DE272" i="1"/>
  <c r="CZ264" i="1"/>
  <c r="DF264" i="1" s="1"/>
  <c r="DE264" i="1"/>
  <c r="CZ256" i="1"/>
  <c r="DF256" i="1" s="1"/>
  <c r="DE256" i="1"/>
  <c r="CZ248" i="1"/>
  <c r="DF248" i="1" s="1"/>
  <c r="DE248" i="1"/>
  <c r="CZ240" i="1"/>
  <c r="DF240" i="1" s="1"/>
  <c r="DE240" i="1"/>
  <c r="CZ232" i="1"/>
  <c r="DF232" i="1" s="1"/>
  <c r="DE232" i="1"/>
  <c r="CZ224" i="1"/>
  <c r="DF224" i="1" s="1"/>
  <c r="DE224" i="1"/>
  <c r="CZ216" i="1"/>
  <c r="DF216" i="1" s="1"/>
  <c r="DE216" i="1"/>
  <c r="CZ364" i="1"/>
  <c r="DF364" i="1" s="1"/>
  <c r="DE364" i="1"/>
  <c r="CZ374" i="1"/>
  <c r="DF374" i="1" s="1"/>
  <c r="DE374" i="1"/>
  <c r="DB363" i="1"/>
  <c r="DE363" i="1"/>
  <c r="DF447" i="1"/>
  <c r="DF439" i="1"/>
  <c r="DF431" i="1"/>
  <c r="DF423" i="1"/>
  <c r="DF415" i="1"/>
  <c r="DF407" i="1"/>
  <c r="DF391" i="1"/>
  <c r="DD400" i="1"/>
  <c r="DF400" i="1" s="1"/>
  <c r="DE400" i="1"/>
  <c r="DD392" i="1"/>
  <c r="DF392" i="1" s="1"/>
  <c r="DE392" i="1"/>
  <c r="DD384" i="1"/>
  <c r="DF384" i="1" s="1"/>
  <c r="DE384" i="1"/>
  <c r="DD419" i="1"/>
  <c r="DE419" i="1"/>
  <c r="CZ190" i="1"/>
  <c r="DF190" i="1" s="1"/>
  <c r="DE190" i="1"/>
  <c r="CZ166" i="1"/>
  <c r="DF166" i="1" s="1"/>
  <c r="DE166" i="1"/>
  <c r="CZ142" i="1"/>
  <c r="DF142" i="1" s="1"/>
  <c r="DE142" i="1"/>
  <c r="CZ110" i="1"/>
  <c r="DF110" i="1" s="1"/>
  <c r="DE110" i="1"/>
  <c r="CZ86" i="1"/>
  <c r="DF86" i="1" s="1"/>
  <c r="DE86" i="1"/>
  <c r="CZ62" i="1"/>
  <c r="DF62" i="1" s="1"/>
  <c r="DE62" i="1"/>
  <c r="CZ38" i="1"/>
  <c r="DF38" i="1" s="1"/>
  <c r="DE38" i="1"/>
  <c r="CZ6" i="1"/>
  <c r="DF6" i="1" s="1"/>
  <c r="DE6" i="1"/>
  <c r="CZ338" i="1"/>
  <c r="DF338" i="1" s="1"/>
  <c r="DE338" i="1"/>
  <c r="CZ258" i="1"/>
  <c r="DF258" i="1" s="1"/>
  <c r="DE258" i="1"/>
  <c r="CZ226" i="1"/>
  <c r="DF226" i="1" s="1"/>
  <c r="DE226" i="1"/>
  <c r="DB365" i="1"/>
  <c r="DE365" i="1"/>
  <c r="CZ197" i="1"/>
  <c r="DF197" i="1" s="1"/>
  <c r="DE197" i="1"/>
  <c r="CZ133" i="1"/>
  <c r="DF133" i="1" s="1"/>
  <c r="DE133" i="1"/>
  <c r="CZ61" i="1"/>
  <c r="DF61" i="1" s="1"/>
  <c r="DE61" i="1"/>
  <c r="CZ5" i="1"/>
  <c r="DF5" i="1" s="1"/>
  <c r="DE5" i="1"/>
  <c r="CZ297" i="1"/>
  <c r="DF297" i="1" s="1"/>
  <c r="DE297" i="1"/>
  <c r="CZ233" i="1"/>
  <c r="DF233" i="1" s="1"/>
  <c r="DE233" i="1"/>
  <c r="CZ373" i="1"/>
  <c r="DF373" i="1" s="1"/>
  <c r="DE373" i="1"/>
  <c r="CZ203" i="1"/>
  <c r="DF203" i="1" s="1"/>
  <c r="DE203" i="1"/>
  <c r="CZ187" i="1"/>
  <c r="DF187" i="1" s="1"/>
  <c r="DE187" i="1"/>
  <c r="CZ171" i="1"/>
  <c r="DF171" i="1" s="1"/>
  <c r="DE171" i="1"/>
  <c r="CZ163" i="1"/>
  <c r="DF163" i="1" s="1"/>
  <c r="DE163" i="1"/>
  <c r="CZ155" i="1"/>
  <c r="DF155" i="1" s="1"/>
  <c r="DE155" i="1"/>
  <c r="CZ147" i="1"/>
  <c r="DF147" i="1" s="1"/>
  <c r="DE147" i="1"/>
  <c r="CZ139" i="1"/>
  <c r="DF139" i="1" s="1"/>
  <c r="DE139" i="1"/>
  <c r="CZ131" i="1"/>
  <c r="DF131" i="1" s="1"/>
  <c r="DE131" i="1"/>
  <c r="CZ123" i="1"/>
  <c r="DF123" i="1" s="1"/>
  <c r="DE123" i="1"/>
  <c r="CZ115" i="1"/>
  <c r="DF115" i="1" s="1"/>
  <c r="DE115" i="1"/>
  <c r="CZ99" i="1"/>
  <c r="DF99" i="1" s="1"/>
  <c r="DE99" i="1"/>
  <c r="CZ83" i="1"/>
  <c r="DF83" i="1" s="1"/>
  <c r="DE83" i="1"/>
  <c r="CZ75" i="1"/>
  <c r="DF75" i="1" s="1"/>
  <c r="DE75" i="1"/>
  <c r="CZ67" i="1"/>
  <c r="DF67" i="1" s="1"/>
  <c r="DE67" i="1"/>
  <c r="CZ59" i="1"/>
  <c r="DF59" i="1" s="1"/>
  <c r="DE59" i="1"/>
  <c r="CZ51" i="1"/>
  <c r="DF51" i="1" s="1"/>
  <c r="DE51" i="1"/>
  <c r="CZ43" i="1"/>
  <c r="DF43" i="1" s="1"/>
  <c r="DE43" i="1"/>
  <c r="CZ35" i="1"/>
  <c r="DF35" i="1" s="1"/>
  <c r="DE35" i="1"/>
  <c r="CZ27" i="1"/>
  <c r="DF27" i="1" s="1"/>
  <c r="DE27" i="1"/>
  <c r="CZ19" i="1"/>
  <c r="DF19" i="1" s="1"/>
  <c r="DE19" i="1"/>
  <c r="CZ11" i="1"/>
  <c r="DF11" i="1" s="1"/>
  <c r="DE11" i="1"/>
  <c r="CZ3" i="1"/>
  <c r="DF3" i="1" s="1"/>
  <c r="DE3" i="1"/>
  <c r="CZ343" i="1"/>
  <c r="DF343" i="1" s="1"/>
  <c r="DE343" i="1"/>
  <c r="CZ335" i="1"/>
  <c r="DF335" i="1" s="1"/>
  <c r="DE335" i="1"/>
  <c r="CZ327" i="1"/>
  <c r="DF327" i="1" s="1"/>
  <c r="DE327" i="1"/>
  <c r="CZ319" i="1"/>
  <c r="DF319" i="1" s="1"/>
  <c r="DE319" i="1"/>
  <c r="CZ311" i="1"/>
  <c r="DF311" i="1" s="1"/>
  <c r="DE311" i="1"/>
  <c r="CZ303" i="1"/>
  <c r="DF303" i="1" s="1"/>
  <c r="DE303" i="1"/>
  <c r="CZ295" i="1"/>
  <c r="DF295" i="1" s="1"/>
  <c r="DE295" i="1"/>
  <c r="CZ287" i="1"/>
  <c r="DF287" i="1" s="1"/>
  <c r="DE287" i="1"/>
  <c r="CZ279" i="1"/>
  <c r="DF279" i="1" s="1"/>
  <c r="DE279" i="1"/>
  <c r="CZ271" i="1"/>
  <c r="DF271" i="1" s="1"/>
  <c r="DE271" i="1"/>
  <c r="CZ263" i="1"/>
  <c r="DF263" i="1" s="1"/>
  <c r="DE263" i="1"/>
  <c r="CZ255" i="1"/>
  <c r="DF255" i="1" s="1"/>
  <c r="DE255" i="1"/>
  <c r="CZ247" i="1"/>
  <c r="DF247" i="1" s="1"/>
  <c r="DE247" i="1"/>
  <c r="CZ239" i="1"/>
  <c r="DF239" i="1" s="1"/>
  <c r="DE239" i="1"/>
  <c r="CZ231" i="1"/>
  <c r="DF231" i="1" s="1"/>
  <c r="DE231" i="1"/>
  <c r="CZ223" i="1"/>
  <c r="DF223" i="1" s="1"/>
  <c r="DE223" i="1"/>
  <c r="CZ215" i="1"/>
  <c r="DF215" i="1" s="1"/>
  <c r="DE215" i="1"/>
  <c r="CZ366" i="1"/>
  <c r="DF366" i="1" s="1"/>
  <c r="DE366" i="1"/>
  <c r="DB378" i="1"/>
  <c r="DE378" i="1"/>
  <c r="DB362" i="1"/>
  <c r="DE362" i="1"/>
  <c r="DB354" i="1"/>
  <c r="DF354" i="1" s="1"/>
  <c r="DE354" i="1"/>
  <c r="DF446" i="1"/>
  <c r="DF438" i="1"/>
  <c r="DF430" i="1"/>
  <c r="DF414" i="1"/>
  <c r="DF406" i="1"/>
  <c r="DF357" i="1"/>
  <c r="DD399" i="1"/>
  <c r="DF399" i="1" s="1"/>
  <c r="DE399" i="1"/>
  <c r="DD391" i="1"/>
  <c r="DE391" i="1"/>
  <c r="DD383" i="1"/>
  <c r="DF383" i="1" s="1"/>
  <c r="DE383" i="1"/>
  <c r="DD421" i="1"/>
  <c r="DE421" i="1"/>
  <c r="DD394" i="1"/>
  <c r="DF394" i="1" s="1"/>
  <c r="CZ198" i="1"/>
  <c r="DF198" i="1" s="1"/>
  <c r="DE198" i="1"/>
  <c r="CZ182" i="1"/>
  <c r="DF182" i="1" s="1"/>
  <c r="DE182" i="1"/>
  <c r="CZ150" i="1"/>
  <c r="DF150" i="1" s="1"/>
  <c r="DE150" i="1"/>
  <c r="CZ126" i="1"/>
  <c r="DF126" i="1" s="1"/>
  <c r="DE126" i="1"/>
  <c r="CZ102" i="1"/>
  <c r="DF102" i="1" s="1"/>
  <c r="DE102" i="1"/>
  <c r="CZ78" i="1"/>
  <c r="DF78" i="1" s="1"/>
  <c r="DE78" i="1"/>
  <c r="CZ46" i="1"/>
  <c r="DF46" i="1" s="1"/>
  <c r="DE46" i="1"/>
  <c r="CZ14" i="1"/>
  <c r="DF14" i="1" s="1"/>
  <c r="DE14" i="1"/>
  <c r="CZ322" i="1"/>
  <c r="DF322" i="1" s="1"/>
  <c r="DE322" i="1"/>
  <c r="CZ282" i="1"/>
  <c r="DF282" i="1" s="1"/>
  <c r="DE282" i="1"/>
  <c r="CZ234" i="1"/>
  <c r="DF234" i="1" s="1"/>
  <c r="DE234" i="1"/>
  <c r="CZ205" i="1"/>
  <c r="DF205" i="1" s="1"/>
  <c r="DE205" i="1"/>
  <c r="CZ165" i="1"/>
  <c r="DF165" i="1" s="1"/>
  <c r="DE165" i="1"/>
  <c r="CZ149" i="1"/>
  <c r="DF149" i="1" s="1"/>
  <c r="DE149" i="1"/>
  <c r="CZ109" i="1"/>
  <c r="DF109" i="1" s="1"/>
  <c r="DE109" i="1"/>
  <c r="CZ93" i="1"/>
  <c r="DF93" i="1" s="1"/>
  <c r="DE93" i="1"/>
  <c r="CZ53" i="1"/>
  <c r="DF53" i="1" s="1"/>
  <c r="DE53" i="1"/>
  <c r="CZ45" i="1"/>
  <c r="DF45" i="1" s="1"/>
  <c r="DE45" i="1"/>
  <c r="CZ13" i="1"/>
  <c r="DF13" i="1" s="1"/>
  <c r="DE13" i="1"/>
  <c r="CZ337" i="1"/>
  <c r="DF337" i="1" s="1"/>
  <c r="DE337" i="1"/>
  <c r="CZ313" i="1"/>
  <c r="DF313" i="1" s="1"/>
  <c r="DE313" i="1"/>
  <c r="CZ273" i="1"/>
  <c r="DF273" i="1" s="1"/>
  <c r="DE273" i="1"/>
  <c r="CZ249" i="1"/>
  <c r="DF249" i="1" s="1"/>
  <c r="DE249" i="1"/>
  <c r="CZ225" i="1"/>
  <c r="DF225" i="1" s="1"/>
  <c r="DE225" i="1"/>
  <c r="DD393" i="1"/>
  <c r="DF393" i="1" s="1"/>
  <c r="DE393" i="1"/>
  <c r="CZ2" i="1"/>
  <c r="DF2" i="1" s="1"/>
  <c r="CZ202" i="1"/>
  <c r="DF202" i="1" s="1"/>
  <c r="DE202" i="1"/>
  <c r="CZ194" i="1"/>
  <c r="DF194" i="1" s="1"/>
  <c r="DE194" i="1"/>
  <c r="CZ186" i="1"/>
  <c r="DF186" i="1" s="1"/>
  <c r="DE186" i="1"/>
  <c r="CZ178" i="1"/>
  <c r="DF178" i="1" s="1"/>
  <c r="DE178" i="1"/>
  <c r="CZ170" i="1"/>
  <c r="DF170" i="1" s="1"/>
  <c r="DE170" i="1"/>
  <c r="CZ162" i="1"/>
  <c r="DF162" i="1" s="1"/>
  <c r="DE162" i="1"/>
  <c r="CZ154" i="1"/>
  <c r="DF154" i="1" s="1"/>
  <c r="DE154" i="1"/>
  <c r="CZ146" i="1"/>
  <c r="DF146" i="1" s="1"/>
  <c r="DE146" i="1"/>
  <c r="CZ138" i="1"/>
  <c r="DF138" i="1" s="1"/>
  <c r="DE138" i="1"/>
  <c r="CZ130" i="1"/>
  <c r="DF130" i="1" s="1"/>
  <c r="DE130" i="1"/>
  <c r="CZ122" i="1"/>
  <c r="DF122" i="1" s="1"/>
  <c r="DE122" i="1"/>
  <c r="CZ114" i="1"/>
  <c r="DF114" i="1" s="1"/>
  <c r="DE114" i="1"/>
  <c r="CZ106" i="1"/>
  <c r="DF106" i="1" s="1"/>
  <c r="DE106" i="1"/>
  <c r="CZ98" i="1"/>
  <c r="DF98" i="1" s="1"/>
  <c r="DE98" i="1"/>
  <c r="CZ90" i="1"/>
  <c r="DF90" i="1" s="1"/>
  <c r="DE90" i="1"/>
  <c r="CZ82" i="1"/>
  <c r="DF82" i="1" s="1"/>
  <c r="DE82" i="1"/>
  <c r="CZ74" i="1"/>
  <c r="DF74" i="1" s="1"/>
  <c r="DE74" i="1"/>
  <c r="CZ66" i="1"/>
  <c r="DF66" i="1" s="1"/>
  <c r="DE66" i="1"/>
  <c r="CZ58" i="1"/>
  <c r="DF58" i="1" s="1"/>
  <c r="DE58" i="1"/>
  <c r="CZ50" i="1"/>
  <c r="DF50" i="1" s="1"/>
  <c r="DE50" i="1"/>
  <c r="CZ42" i="1"/>
  <c r="DF42" i="1" s="1"/>
  <c r="DE42" i="1"/>
  <c r="CZ34" i="1"/>
  <c r="DF34" i="1" s="1"/>
  <c r="DE34" i="1"/>
  <c r="CZ26" i="1"/>
  <c r="DF26" i="1" s="1"/>
  <c r="DE26" i="1"/>
  <c r="CZ18" i="1"/>
  <c r="DF18" i="1" s="1"/>
  <c r="DE18" i="1"/>
  <c r="CZ10" i="1"/>
  <c r="DF10" i="1" s="1"/>
  <c r="DE10" i="1"/>
  <c r="CZ350" i="1"/>
  <c r="DF350" i="1" s="1"/>
  <c r="DE350" i="1"/>
  <c r="CZ342" i="1"/>
  <c r="DF342" i="1" s="1"/>
  <c r="DE342" i="1"/>
  <c r="CZ334" i="1"/>
  <c r="DF334" i="1" s="1"/>
  <c r="DE334" i="1"/>
  <c r="CZ326" i="1"/>
  <c r="DF326" i="1" s="1"/>
  <c r="DE326" i="1"/>
  <c r="CZ318" i="1"/>
  <c r="DF318" i="1" s="1"/>
  <c r="DE318" i="1"/>
  <c r="CZ310" i="1"/>
  <c r="DF310" i="1" s="1"/>
  <c r="DE310" i="1"/>
  <c r="CZ302" i="1"/>
  <c r="DF302" i="1" s="1"/>
  <c r="DE302" i="1"/>
  <c r="CZ294" i="1"/>
  <c r="DF294" i="1" s="1"/>
  <c r="DE294" i="1"/>
  <c r="CZ286" i="1"/>
  <c r="DF286" i="1" s="1"/>
  <c r="DE286" i="1"/>
  <c r="CZ278" i="1"/>
  <c r="DF278" i="1" s="1"/>
  <c r="DE278" i="1"/>
  <c r="CZ270" i="1"/>
  <c r="DF270" i="1" s="1"/>
  <c r="DE270" i="1"/>
  <c r="CZ262" i="1"/>
  <c r="DF262" i="1" s="1"/>
  <c r="DE262" i="1"/>
  <c r="CZ254" i="1"/>
  <c r="DF254" i="1" s="1"/>
  <c r="DE254" i="1"/>
  <c r="CZ246" i="1"/>
  <c r="DF246" i="1" s="1"/>
  <c r="DE246" i="1"/>
  <c r="CZ238" i="1"/>
  <c r="DF238" i="1" s="1"/>
  <c r="DE238" i="1"/>
  <c r="CZ230" i="1"/>
  <c r="DF230" i="1" s="1"/>
  <c r="DE230" i="1"/>
  <c r="CZ222" i="1"/>
  <c r="DF222" i="1" s="1"/>
  <c r="DE222" i="1"/>
  <c r="CZ214" i="1"/>
  <c r="DF214" i="1" s="1"/>
  <c r="DE214" i="1"/>
  <c r="CZ368" i="1"/>
  <c r="DF368" i="1" s="1"/>
  <c r="DE368" i="1"/>
  <c r="DB377" i="1"/>
  <c r="DF377" i="1" s="1"/>
  <c r="DE377" i="1"/>
  <c r="DB361" i="1"/>
  <c r="DE361" i="1"/>
  <c r="DB353" i="1"/>
  <c r="DF353" i="1" s="1"/>
  <c r="DE353" i="1"/>
  <c r="DF453" i="1"/>
  <c r="DF445" i="1"/>
  <c r="DF437" i="1"/>
  <c r="DF429" i="1"/>
  <c r="DF421" i="1"/>
  <c r="DF413" i="1"/>
  <c r="DF405" i="1"/>
  <c r="DF365" i="1"/>
  <c r="DD398" i="1"/>
  <c r="DF398" i="1" s="1"/>
  <c r="DE398" i="1"/>
  <c r="DD390" i="1"/>
  <c r="DF390" i="1" s="1"/>
  <c r="DE390" i="1"/>
  <c r="DD382" i="1"/>
  <c r="DF382" i="1" s="1"/>
  <c r="DE382" i="1"/>
  <c r="DD422" i="1"/>
  <c r="DF422" i="1" s="1"/>
  <c r="DE422" i="1"/>
  <c r="DF401" i="1"/>
  <c r="DD402" i="1"/>
  <c r="DE402" i="1"/>
  <c r="CZ181" i="1"/>
  <c r="DF181" i="1" s="1"/>
  <c r="DE181" i="1"/>
  <c r="CZ157" i="1"/>
  <c r="DF157" i="1" s="1"/>
  <c r="DE157" i="1"/>
  <c r="CZ125" i="1"/>
  <c r="DF125" i="1" s="1"/>
  <c r="DE125" i="1"/>
  <c r="CZ101" i="1"/>
  <c r="DF101" i="1" s="1"/>
  <c r="DE101" i="1"/>
  <c r="CZ69" i="1"/>
  <c r="DF69" i="1" s="1"/>
  <c r="DE69" i="1"/>
  <c r="CZ37" i="1"/>
  <c r="DF37" i="1" s="1"/>
  <c r="DE37" i="1"/>
  <c r="CZ345" i="1"/>
  <c r="DF345" i="1" s="1"/>
  <c r="DE345" i="1"/>
  <c r="CZ321" i="1"/>
  <c r="DF321" i="1" s="1"/>
  <c r="DE321" i="1"/>
  <c r="CZ289" i="1"/>
  <c r="DF289" i="1" s="1"/>
  <c r="DE289" i="1"/>
  <c r="CZ265" i="1"/>
  <c r="DF265" i="1" s="1"/>
  <c r="DE265" i="1"/>
  <c r="CZ241" i="1"/>
  <c r="DF241" i="1" s="1"/>
  <c r="DE241" i="1"/>
  <c r="CZ217" i="1"/>
  <c r="DF217" i="1" s="1"/>
  <c r="DE217" i="1"/>
  <c r="DB356" i="1"/>
  <c r="DF356" i="1" s="1"/>
  <c r="DE356" i="1"/>
  <c r="CZ209" i="1"/>
  <c r="DF209" i="1" s="1"/>
  <c r="DE209" i="1"/>
  <c r="CZ201" i="1"/>
  <c r="DF201" i="1" s="1"/>
  <c r="DE201" i="1"/>
  <c r="CZ193" i="1"/>
  <c r="DF193" i="1" s="1"/>
  <c r="DE193" i="1"/>
  <c r="CZ185" i="1"/>
  <c r="DF185" i="1" s="1"/>
  <c r="DE185" i="1"/>
  <c r="CZ177" i="1"/>
  <c r="DF177" i="1" s="1"/>
  <c r="DE177" i="1"/>
  <c r="CZ169" i="1"/>
  <c r="DF169" i="1" s="1"/>
  <c r="DE169" i="1"/>
  <c r="CZ153" i="1"/>
  <c r="DF153" i="1" s="1"/>
  <c r="DE153" i="1"/>
  <c r="CZ145" i="1"/>
  <c r="DF145" i="1" s="1"/>
  <c r="DE145" i="1"/>
  <c r="CZ137" i="1"/>
  <c r="DF137" i="1" s="1"/>
  <c r="DE137" i="1"/>
  <c r="CZ129" i="1"/>
  <c r="DF129" i="1" s="1"/>
  <c r="DE129" i="1"/>
  <c r="CZ121" i="1"/>
  <c r="DF121" i="1" s="1"/>
  <c r="DE121" i="1"/>
  <c r="CZ113" i="1"/>
  <c r="DF113" i="1" s="1"/>
  <c r="DE113" i="1"/>
  <c r="CZ105" i="1"/>
  <c r="DF105" i="1" s="1"/>
  <c r="DE105" i="1"/>
  <c r="CZ97" i="1"/>
  <c r="DF97" i="1" s="1"/>
  <c r="DE97" i="1"/>
  <c r="CZ89" i="1"/>
  <c r="DF89" i="1" s="1"/>
  <c r="DE89" i="1"/>
  <c r="CZ81" i="1"/>
  <c r="DF81" i="1" s="1"/>
  <c r="DE81" i="1"/>
  <c r="CZ73" i="1"/>
  <c r="DF73" i="1" s="1"/>
  <c r="DE73" i="1"/>
  <c r="CZ65" i="1"/>
  <c r="DF65" i="1" s="1"/>
  <c r="DE65" i="1"/>
  <c r="CZ57" i="1"/>
  <c r="DF57" i="1" s="1"/>
  <c r="DE57" i="1"/>
  <c r="CZ49" i="1"/>
  <c r="DF49" i="1" s="1"/>
  <c r="DE49" i="1"/>
  <c r="CZ41" i="1"/>
  <c r="DF41" i="1" s="1"/>
  <c r="DE41" i="1"/>
  <c r="CZ33" i="1"/>
  <c r="DF33" i="1" s="1"/>
  <c r="DE33" i="1"/>
  <c r="CZ25" i="1"/>
  <c r="DF25" i="1" s="1"/>
  <c r="DE25" i="1"/>
  <c r="CZ17" i="1"/>
  <c r="DF17" i="1" s="1"/>
  <c r="DE17" i="1"/>
  <c r="CZ9" i="1"/>
  <c r="DF9" i="1" s="1"/>
  <c r="DE9" i="1"/>
  <c r="CZ349" i="1"/>
  <c r="DF349" i="1" s="1"/>
  <c r="DE349" i="1"/>
  <c r="CZ341" i="1"/>
  <c r="DF341" i="1" s="1"/>
  <c r="DE341" i="1"/>
  <c r="CZ333" i="1"/>
  <c r="DF333" i="1" s="1"/>
  <c r="DE333" i="1"/>
  <c r="CZ325" i="1"/>
  <c r="DF325" i="1" s="1"/>
  <c r="DE325" i="1"/>
  <c r="CZ317" i="1"/>
  <c r="DF317" i="1" s="1"/>
  <c r="DE317" i="1"/>
  <c r="CZ309" i="1"/>
  <c r="DF309" i="1" s="1"/>
  <c r="DE309" i="1"/>
  <c r="CZ301" i="1"/>
  <c r="DF301" i="1" s="1"/>
  <c r="DE301" i="1"/>
  <c r="CZ293" i="1"/>
  <c r="DF293" i="1" s="1"/>
  <c r="DE293" i="1"/>
  <c r="CZ285" i="1"/>
  <c r="DF285" i="1" s="1"/>
  <c r="DE285" i="1"/>
  <c r="CZ277" i="1"/>
  <c r="DF277" i="1" s="1"/>
  <c r="DE277" i="1"/>
  <c r="CZ269" i="1"/>
  <c r="DF269" i="1" s="1"/>
  <c r="DE269" i="1"/>
  <c r="CZ261" i="1"/>
  <c r="DF261" i="1" s="1"/>
  <c r="DE261" i="1"/>
  <c r="CZ253" i="1"/>
  <c r="DF253" i="1" s="1"/>
  <c r="DE253" i="1"/>
  <c r="CZ245" i="1"/>
  <c r="DF245" i="1" s="1"/>
  <c r="DE245" i="1"/>
  <c r="CZ237" i="1"/>
  <c r="DF237" i="1" s="1"/>
  <c r="DE237" i="1"/>
  <c r="CZ229" i="1"/>
  <c r="DF229" i="1" s="1"/>
  <c r="DE229" i="1"/>
  <c r="CZ221" i="1"/>
  <c r="DF221" i="1" s="1"/>
  <c r="DE221" i="1"/>
  <c r="CZ213" i="1"/>
  <c r="DF213" i="1" s="1"/>
  <c r="DE213" i="1"/>
  <c r="CZ369" i="1"/>
  <c r="DF369" i="1" s="1"/>
  <c r="DE369" i="1"/>
  <c r="DB376" i="1"/>
  <c r="DF376" i="1" s="1"/>
  <c r="DE376" i="1"/>
  <c r="DB360" i="1"/>
  <c r="DF360" i="1" s="1"/>
  <c r="DE360" i="1"/>
  <c r="DB352" i="1"/>
  <c r="DE352" i="1"/>
  <c r="DF452" i="1"/>
  <c r="DF444" i="1"/>
  <c r="DF436" i="1"/>
  <c r="DF428" i="1"/>
  <c r="DF420" i="1"/>
  <c r="DF412" i="1"/>
  <c r="DF404" i="1"/>
  <c r="DF380" i="1"/>
  <c r="DF363" i="1"/>
  <c r="DD397" i="1"/>
  <c r="DF397" i="1" s="1"/>
  <c r="DE397" i="1"/>
  <c r="DD389" i="1"/>
  <c r="DF389" i="1" s="1"/>
  <c r="DE389" i="1"/>
  <c r="DD424" i="1"/>
  <c r="DF424" i="1" s="1"/>
  <c r="DE424" i="1"/>
  <c r="CZ206" i="1"/>
  <c r="DF206" i="1" s="1"/>
  <c r="DE206" i="1"/>
  <c r="CZ158" i="1"/>
  <c r="DF158" i="1" s="1"/>
  <c r="DE158" i="1"/>
  <c r="CZ118" i="1"/>
  <c r="DF118" i="1" s="1"/>
  <c r="DE118" i="1"/>
  <c r="CZ70" i="1"/>
  <c r="DF70" i="1" s="1"/>
  <c r="DE70" i="1"/>
  <c r="CZ22" i="1"/>
  <c r="DF22" i="1" s="1"/>
  <c r="DE22" i="1"/>
  <c r="CZ330" i="1"/>
  <c r="DF330" i="1" s="1"/>
  <c r="DE330" i="1"/>
  <c r="CZ306" i="1"/>
  <c r="DF306" i="1" s="1"/>
  <c r="DE306" i="1"/>
  <c r="CZ274" i="1"/>
  <c r="DF274" i="1" s="1"/>
  <c r="DE274" i="1"/>
  <c r="CZ250" i="1"/>
  <c r="DF250" i="1" s="1"/>
  <c r="DE250" i="1"/>
  <c r="CZ210" i="1"/>
  <c r="DF210" i="1" s="1"/>
  <c r="DE210" i="1"/>
  <c r="DF385" i="1"/>
  <c r="CZ173" i="1"/>
  <c r="DF173" i="1" s="1"/>
  <c r="DE173" i="1"/>
  <c r="CZ117" i="1"/>
  <c r="DF117" i="1" s="1"/>
  <c r="DE117" i="1"/>
  <c r="CZ77" i="1"/>
  <c r="DF77" i="1" s="1"/>
  <c r="DE77" i="1"/>
  <c r="CZ29" i="1"/>
  <c r="DF29" i="1" s="1"/>
  <c r="DE29" i="1"/>
  <c r="CZ329" i="1"/>
  <c r="DF329" i="1" s="1"/>
  <c r="DE329" i="1"/>
  <c r="CZ305" i="1"/>
  <c r="DF305" i="1" s="1"/>
  <c r="DE305" i="1"/>
  <c r="CZ257" i="1"/>
  <c r="DF257" i="1" s="1"/>
  <c r="DE257" i="1"/>
  <c r="CZ355" i="1"/>
  <c r="DF355" i="1" s="1"/>
  <c r="DE355" i="1"/>
  <c r="CZ208" i="1"/>
  <c r="DF208" i="1" s="1"/>
  <c r="DE208" i="1"/>
  <c r="CZ200" i="1"/>
  <c r="DF200" i="1" s="1"/>
  <c r="DE200" i="1"/>
  <c r="CZ192" i="1"/>
  <c r="DF192" i="1" s="1"/>
  <c r="DE192" i="1"/>
  <c r="CZ184" i="1"/>
  <c r="DF184" i="1" s="1"/>
  <c r="DE184" i="1"/>
  <c r="CZ176" i="1"/>
  <c r="DF176" i="1" s="1"/>
  <c r="DE176" i="1"/>
  <c r="CZ168" i="1"/>
  <c r="DF168" i="1" s="1"/>
  <c r="DE168" i="1"/>
  <c r="CZ160" i="1"/>
  <c r="DF160" i="1" s="1"/>
  <c r="DE160" i="1"/>
  <c r="CZ152" i="1"/>
  <c r="DF152" i="1" s="1"/>
  <c r="DE152" i="1"/>
  <c r="CZ144" i="1"/>
  <c r="DF144" i="1" s="1"/>
  <c r="DE144" i="1"/>
  <c r="CZ136" i="1"/>
  <c r="DF136" i="1" s="1"/>
  <c r="DE136" i="1"/>
  <c r="CZ128" i="1"/>
  <c r="DF128" i="1" s="1"/>
  <c r="DE128" i="1"/>
  <c r="CZ120" i="1"/>
  <c r="DF120" i="1" s="1"/>
  <c r="DE120" i="1"/>
  <c r="CZ112" i="1"/>
  <c r="DF112" i="1" s="1"/>
  <c r="DE112" i="1"/>
  <c r="CZ104" i="1"/>
  <c r="DF104" i="1" s="1"/>
  <c r="DE104" i="1"/>
  <c r="CZ96" i="1"/>
  <c r="DF96" i="1" s="1"/>
  <c r="DE96" i="1"/>
  <c r="CZ88" i="1"/>
  <c r="DF88" i="1" s="1"/>
  <c r="DE88" i="1"/>
  <c r="CZ72" i="1"/>
  <c r="DF72" i="1" s="1"/>
  <c r="DE72" i="1"/>
  <c r="CZ64" i="1"/>
  <c r="DF64" i="1" s="1"/>
  <c r="DE64" i="1"/>
  <c r="CZ56" i="1"/>
  <c r="DF56" i="1" s="1"/>
  <c r="DE56" i="1"/>
  <c r="CZ48" i="1"/>
  <c r="DF48" i="1" s="1"/>
  <c r="DE48" i="1"/>
  <c r="CZ40" i="1"/>
  <c r="DF40" i="1" s="1"/>
  <c r="DE40" i="1"/>
  <c r="CZ32" i="1"/>
  <c r="DF32" i="1" s="1"/>
  <c r="DE32" i="1"/>
  <c r="CZ24" i="1"/>
  <c r="DF24" i="1" s="1"/>
  <c r="DE24" i="1"/>
  <c r="CZ16" i="1"/>
  <c r="DF16" i="1" s="1"/>
  <c r="DE16" i="1"/>
  <c r="CZ8" i="1"/>
  <c r="DF8" i="1" s="1"/>
  <c r="DE8" i="1"/>
  <c r="CZ348" i="1"/>
  <c r="DF348" i="1" s="1"/>
  <c r="DE348" i="1"/>
  <c r="CZ340" i="1"/>
  <c r="DF340" i="1" s="1"/>
  <c r="DE340" i="1"/>
  <c r="CZ332" i="1"/>
  <c r="DF332" i="1" s="1"/>
  <c r="DE332" i="1"/>
  <c r="CZ324" i="1"/>
  <c r="DF324" i="1" s="1"/>
  <c r="DE324" i="1"/>
  <c r="CZ316" i="1"/>
  <c r="DF316" i="1" s="1"/>
  <c r="DE316" i="1"/>
  <c r="CZ308" i="1"/>
  <c r="DF308" i="1" s="1"/>
  <c r="DE308" i="1"/>
  <c r="CZ300" i="1"/>
  <c r="DF300" i="1" s="1"/>
  <c r="DE300" i="1"/>
  <c r="CZ292" i="1"/>
  <c r="DF292" i="1" s="1"/>
  <c r="DE292" i="1"/>
  <c r="CZ284" i="1"/>
  <c r="DF284" i="1" s="1"/>
  <c r="DE284" i="1"/>
  <c r="CZ276" i="1"/>
  <c r="DF276" i="1" s="1"/>
  <c r="DE276" i="1"/>
  <c r="CZ268" i="1"/>
  <c r="DF268" i="1" s="1"/>
  <c r="DE268" i="1"/>
  <c r="CZ260" i="1"/>
  <c r="DF260" i="1" s="1"/>
  <c r="DE260" i="1"/>
  <c r="CZ244" i="1"/>
  <c r="DF244" i="1" s="1"/>
  <c r="DE244" i="1"/>
  <c r="CZ236" i="1"/>
  <c r="DF236" i="1" s="1"/>
  <c r="DE236" i="1"/>
  <c r="CZ228" i="1"/>
  <c r="DF228" i="1" s="1"/>
  <c r="DE228" i="1"/>
  <c r="CZ220" i="1"/>
  <c r="DF220" i="1" s="1"/>
  <c r="DE220" i="1"/>
  <c r="CZ212" i="1"/>
  <c r="DF212" i="1" s="1"/>
  <c r="DE212" i="1"/>
  <c r="CZ370" i="1"/>
  <c r="DF370" i="1" s="1"/>
  <c r="DE370" i="1"/>
  <c r="DB375" i="1"/>
  <c r="DF375" i="1" s="1"/>
  <c r="DE375" i="1"/>
  <c r="DB367" i="1"/>
  <c r="DF367" i="1" s="1"/>
  <c r="DE367" i="1"/>
  <c r="DB359" i="1"/>
  <c r="DF359" i="1" s="1"/>
  <c r="DE359" i="1"/>
  <c r="DB351" i="1"/>
  <c r="DF351" i="1" s="1"/>
  <c r="DE351" i="1"/>
  <c r="DF419" i="1"/>
  <c r="DF387" i="1"/>
  <c r="DF362" i="1"/>
  <c r="DD396" i="1"/>
  <c r="DF396" i="1" s="1"/>
  <c r="DE396" i="1"/>
  <c r="DD388" i="1"/>
  <c r="DF388" i="1" s="1"/>
  <c r="DE388" i="1"/>
  <c r="DD380" i="1"/>
  <c r="DE380" i="1"/>
  <c r="CZ207" i="1"/>
  <c r="DF207" i="1" s="1"/>
  <c r="DE207" i="1"/>
  <c r="CZ199" i="1"/>
  <c r="DF199" i="1" s="1"/>
  <c r="DE199" i="1"/>
  <c r="CZ191" i="1"/>
  <c r="DF191" i="1" s="1"/>
  <c r="DE191" i="1"/>
  <c r="CZ183" i="1"/>
  <c r="DF183" i="1" s="1"/>
  <c r="DE183" i="1"/>
  <c r="CZ175" i="1"/>
  <c r="DF175" i="1" s="1"/>
  <c r="DE175" i="1"/>
  <c r="CZ159" i="1"/>
  <c r="DF159" i="1" s="1"/>
  <c r="DE159" i="1"/>
  <c r="CZ151" i="1"/>
  <c r="DF151" i="1" s="1"/>
  <c r="DE151" i="1"/>
  <c r="CZ143" i="1"/>
  <c r="DF143" i="1" s="1"/>
  <c r="DE143" i="1"/>
  <c r="CZ135" i="1"/>
  <c r="DF135" i="1" s="1"/>
  <c r="DE135" i="1"/>
  <c r="CZ127" i="1"/>
  <c r="DF127" i="1" s="1"/>
  <c r="DE127" i="1"/>
  <c r="CZ119" i="1"/>
  <c r="DF119" i="1" s="1"/>
  <c r="DE119" i="1"/>
  <c r="CZ111" i="1"/>
  <c r="DF111" i="1" s="1"/>
  <c r="DE111" i="1"/>
  <c r="CZ103" i="1"/>
  <c r="DF103" i="1" s="1"/>
  <c r="DE103" i="1"/>
  <c r="CZ95" i="1"/>
  <c r="DF95" i="1" s="1"/>
  <c r="DE95" i="1"/>
  <c r="CZ87" i="1"/>
  <c r="DF87" i="1" s="1"/>
  <c r="DE87" i="1"/>
  <c r="CZ79" i="1"/>
  <c r="DF79" i="1" s="1"/>
  <c r="DE79" i="1"/>
  <c r="CZ71" i="1"/>
  <c r="DF71" i="1" s="1"/>
  <c r="DE71" i="1"/>
  <c r="CZ63" i="1"/>
  <c r="DF63" i="1" s="1"/>
  <c r="DE63" i="1"/>
  <c r="CZ55" i="1"/>
  <c r="DF55" i="1" s="1"/>
  <c r="DE55" i="1"/>
  <c r="CZ47" i="1"/>
  <c r="DF47" i="1" s="1"/>
  <c r="DE47" i="1"/>
  <c r="CZ39" i="1"/>
  <c r="DF39" i="1" s="1"/>
  <c r="DE39" i="1"/>
  <c r="CZ31" i="1"/>
  <c r="DF31" i="1" s="1"/>
  <c r="DE31" i="1"/>
  <c r="CZ23" i="1"/>
  <c r="DF23" i="1" s="1"/>
  <c r="DE23" i="1"/>
  <c r="CZ15" i="1"/>
  <c r="DF15" i="1" s="1"/>
  <c r="DE15" i="1"/>
  <c r="CZ7" i="1"/>
  <c r="DF7" i="1" s="1"/>
  <c r="DE7" i="1"/>
  <c r="CZ347" i="1"/>
  <c r="DF347" i="1" s="1"/>
  <c r="DE347" i="1"/>
  <c r="CZ339" i="1"/>
  <c r="DF339" i="1" s="1"/>
  <c r="DE339" i="1"/>
  <c r="CZ331" i="1"/>
  <c r="DF331" i="1" s="1"/>
  <c r="DE331" i="1"/>
  <c r="CZ323" i="1"/>
  <c r="DF323" i="1" s="1"/>
  <c r="DE323" i="1"/>
  <c r="CZ315" i="1"/>
  <c r="DF315" i="1" s="1"/>
  <c r="DE315" i="1"/>
  <c r="CZ307" i="1"/>
  <c r="DF307" i="1" s="1"/>
  <c r="DE307" i="1"/>
  <c r="CZ299" i="1"/>
  <c r="DF299" i="1" s="1"/>
  <c r="DE299" i="1"/>
  <c r="CZ291" i="1"/>
  <c r="DF291" i="1" s="1"/>
  <c r="DE291" i="1"/>
  <c r="CZ283" i="1"/>
  <c r="DF283" i="1" s="1"/>
  <c r="DE283" i="1"/>
  <c r="CZ275" i="1"/>
  <c r="DF275" i="1" s="1"/>
  <c r="DE275" i="1"/>
  <c r="CZ267" i="1"/>
  <c r="DF267" i="1" s="1"/>
  <c r="DE267" i="1"/>
  <c r="CZ259" i="1"/>
  <c r="DF259" i="1" s="1"/>
  <c r="DE259" i="1"/>
  <c r="CZ251" i="1"/>
  <c r="DF251" i="1" s="1"/>
  <c r="DE251" i="1"/>
  <c r="CZ243" i="1"/>
  <c r="DF243" i="1" s="1"/>
  <c r="DE243" i="1"/>
  <c r="CZ235" i="1"/>
  <c r="DF235" i="1" s="1"/>
  <c r="DE235" i="1"/>
  <c r="CZ227" i="1"/>
  <c r="DF227" i="1" s="1"/>
  <c r="DE227" i="1"/>
  <c r="CZ219" i="1"/>
  <c r="DF219" i="1" s="1"/>
  <c r="DE219" i="1"/>
  <c r="CZ211" i="1"/>
  <c r="DF211" i="1" s="1"/>
  <c r="DE211" i="1"/>
  <c r="CZ371" i="1"/>
  <c r="DF371" i="1" s="1"/>
  <c r="DE371" i="1"/>
  <c r="DB358" i="1"/>
  <c r="DF358" i="1" s="1"/>
  <c r="DE358" i="1"/>
  <c r="DF402" i="1"/>
  <c r="DF386" i="1"/>
  <c r="DF378" i="1"/>
  <c r="DF361" i="1"/>
  <c r="DF352" i="1"/>
  <c r="DD395" i="1"/>
  <c r="DF395" i="1" s="1"/>
  <c r="DE395" i="1"/>
  <c r="DD387" i="1"/>
  <c r="DE387" i="1"/>
  <c r="DD379" i="1"/>
  <c r="DF379" i="1" s="1"/>
  <c r="DE379" i="1"/>
  <c r="DD416" i="1"/>
  <c r="DF416" i="1" s="1"/>
  <c r="DE416" i="1"/>
  <c r="DD418" i="1"/>
  <c r="DF418" i="1" s="1"/>
  <c r="DE418" i="1"/>
  <c r="CZ161" i="1"/>
  <c r="DF161" i="1" s="1"/>
  <c r="DE161" i="1"/>
  <c r="CZ196" i="1"/>
  <c r="DF196" i="1" s="1"/>
  <c r="DE196" i="1"/>
  <c r="CZ195" i="1"/>
  <c r="DF195" i="1" s="1"/>
  <c r="DE195" i="1"/>
  <c r="CZ179" i="1"/>
  <c r="DF179" i="1" s="1"/>
  <c r="DE179" i="1"/>
  <c r="CZ252" i="1"/>
  <c r="DF252" i="1" s="1"/>
  <c r="DE252" i="1"/>
  <c r="CZ148" i="1"/>
  <c r="DF148" i="1" s="1"/>
  <c r="DE148" i="1"/>
  <c r="DD91" i="1"/>
  <c r="DF91" i="1" s="1"/>
  <c r="DE91" i="1"/>
  <c r="CZ80" i="1"/>
  <c r="DF80" i="1" s="1"/>
  <c r="DE80" i="1"/>
  <c r="CZ68" i="1"/>
  <c r="DF68" i="1" s="1"/>
  <c r="DE68" i="1"/>
  <c r="DD381" i="1"/>
  <c r="DF381" i="1" s="1"/>
  <c r="DE381" i="1"/>
  <c r="CZ167" i="1"/>
  <c r="DF167" i="1" s="1"/>
  <c r="DE167" i="1"/>
  <c r="CZ107" i="1"/>
  <c r="DE107" i="1"/>
  <c r="DB107" i="1"/>
  <c r="B25" i="7"/>
  <c r="AJ425" i="1"/>
  <c r="AJ426" i="1"/>
  <c r="AJ427" i="1"/>
  <c r="AJ428" i="1"/>
  <c r="AJ429" i="1"/>
  <c r="AJ430" i="1"/>
  <c r="AJ431" i="1"/>
  <c r="AJ432" i="1"/>
  <c r="AJ433" i="1"/>
  <c r="AJ434" i="1"/>
  <c r="AJ435" i="1"/>
  <c r="AJ436" i="1"/>
  <c r="AJ437" i="1"/>
  <c r="AJ438" i="1"/>
  <c r="AJ439" i="1"/>
  <c r="AJ440" i="1"/>
  <c r="AJ441" i="1"/>
  <c r="AJ442" i="1"/>
  <c r="AJ443" i="1"/>
  <c r="AJ444" i="1"/>
  <c r="AJ445" i="1"/>
  <c r="AJ446" i="1"/>
  <c r="AJ447" i="1"/>
  <c r="AJ448" i="1"/>
  <c r="AJ449" i="1"/>
  <c r="AJ450" i="1"/>
  <c r="AJ451" i="1"/>
  <c r="AJ452" i="1"/>
  <c r="AJ453" i="1"/>
  <c r="AM425" i="1"/>
  <c r="AM426" i="1"/>
  <c r="AM427" i="1"/>
  <c r="AM428" i="1"/>
  <c r="AM429" i="1"/>
  <c r="AM430" i="1"/>
  <c r="AM431" i="1"/>
  <c r="AM432" i="1"/>
  <c r="AM433" i="1"/>
  <c r="AM434" i="1"/>
  <c r="AM435" i="1"/>
  <c r="AM436" i="1"/>
  <c r="AM437" i="1"/>
  <c r="AM438" i="1"/>
  <c r="AM439" i="1"/>
  <c r="AM440" i="1"/>
  <c r="AM441" i="1"/>
  <c r="AM442" i="1"/>
  <c r="AM443" i="1"/>
  <c r="AM444" i="1"/>
  <c r="AM445" i="1"/>
  <c r="AM446" i="1"/>
  <c r="AM447" i="1"/>
  <c r="AM448" i="1"/>
  <c r="AM449" i="1"/>
  <c r="AM450" i="1"/>
  <c r="AM451" i="1"/>
  <c r="AM452" i="1"/>
  <c r="AM453" i="1"/>
  <c r="AN425" i="1"/>
  <c r="AO425" i="1" s="1"/>
  <c r="AN426" i="1"/>
  <c r="AO426" i="1" s="1"/>
  <c r="AN427" i="1"/>
  <c r="AO427" i="1" s="1"/>
  <c r="AN428" i="1"/>
  <c r="AO428" i="1" s="1"/>
  <c r="AN429" i="1"/>
  <c r="AO429" i="1" s="1"/>
  <c r="AN430" i="1"/>
  <c r="AO430" i="1" s="1"/>
  <c r="AN431" i="1"/>
  <c r="AO431" i="1" s="1"/>
  <c r="AN432" i="1"/>
  <c r="AO432" i="1" s="1"/>
  <c r="AN433" i="1"/>
  <c r="AO433" i="1" s="1"/>
  <c r="AN434" i="1"/>
  <c r="AO434" i="1" s="1"/>
  <c r="AN435" i="1"/>
  <c r="AO435" i="1" s="1"/>
  <c r="AN436" i="1"/>
  <c r="AO436" i="1" s="1"/>
  <c r="AN437" i="1"/>
  <c r="AO437" i="1" s="1"/>
  <c r="AN438" i="1"/>
  <c r="AO438" i="1" s="1"/>
  <c r="AN439" i="1"/>
  <c r="AO439" i="1" s="1"/>
  <c r="AN440" i="1"/>
  <c r="AO440" i="1" s="1"/>
  <c r="AN441" i="1"/>
  <c r="AO441" i="1" s="1"/>
  <c r="AN442" i="1"/>
  <c r="AO442" i="1" s="1"/>
  <c r="AN443" i="1"/>
  <c r="AO443" i="1" s="1"/>
  <c r="AN444" i="1"/>
  <c r="AO444" i="1" s="1"/>
  <c r="AN445" i="1"/>
  <c r="AO445" i="1" s="1"/>
  <c r="AN446" i="1"/>
  <c r="AO446" i="1" s="1"/>
  <c r="AN447" i="1"/>
  <c r="AO447" i="1" s="1"/>
  <c r="AN448" i="1"/>
  <c r="AO448" i="1" s="1"/>
  <c r="AN449" i="1"/>
  <c r="AO449" i="1" s="1"/>
  <c r="AN450" i="1"/>
  <c r="AO450" i="1" s="1"/>
  <c r="AN451" i="1"/>
  <c r="AO451" i="1" s="1"/>
  <c r="AN452" i="1"/>
  <c r="AO452" i="1" s="1"/>
  <c r="AN453" i="1"/>
  <c r="AO453" i="1" s="1"/>
  <c r="AP425" i="1"/>
  <c r="AQ425" i="1" s="1"/>
  <c r="AP426" i="1"/>
  <c r="AQ426" i="1" s="1"/>
  <c r="AP427" i="1"/>
  <c r="AQ427" i="1" s="1"/>
  <c r="AP428" i="1"/>
  <c r="AQ428" i="1" s="1"/>
  <c r="AP429" i="1"/>
  <c r="AQ429" i="1" s="1"/>
  <c r="AP430" i="1"/>
  <c r="AQ430" i="1" s="1"/>
  <c r="AP431" i="1"/>
  <c r="AQ431" i="1" s="1"/>
  <c r="AP432" i="1"/>
  <c r="AQ432" i="1" s="1"/>
  <c r="AP433" i="1"/>
  <c r="AQ433" i="1" s="1"/>
  <c r="AP434" i="1"/>
  <c r="AQ434" i="1" s="1"/>
  <c r="AP435" i="1"/>
  <c r="AQ435" i="1" s="1"/>
  <c r="AP436" i="1"/>
  <c r="AQ436" i="1" s="1"/>
  <c r="AP437" i="1"/>
  <c r="AQ437" i="1" s="1"/>
  <c r="AP438" i="1"/>
  <c r="AQ438" i="1" s="1"/>
  <c r="AP439" i="1"/>
  <c r="AQ439" i="1" s="1"/>
  <c r="AP440" i="1"/>
  <c r="AQ440" i="1" s="1"/>
  <c r="AP441" i="1"/>
  <c r="AQ441" i="1" s="1"/>
  <c r="AP442" i="1"/>
  <c r="AQ442" i="1" s="1"/>
  <c r="AP443" i="1"/>
  <c r="AQ443" i="1" s="1"/>
  <c r="AP444" i="1"/>
  <c r="AQ444" i="1" s="1"/>
  <c r="AP445" i="1"/>
  <c r="AQ445" i="1" s="1"/>
  <c r="AP446" i="1"/>
  <c r="AQ446" i="1" s="1"/>
  <c r="AP447" i="1"/>
  <c r="AQ447" i="1" s="1"/>
  <c r="AP448" i="1"/>
  <c r="AQ448" i="1" s="1"/>
  <c r="AP449" i="1"/>
  <c r="AQ449" i="1" s="1"/>
  <c r="AP450" i="1"/>
  <c r="AQ450" i="1" s="1"/>
  <c r="AP451" i="1"/>
  <c r="AQ451" i="1" s="1"/>
  <c r="AP452" i="1"/>
  <c r="AQ452" i="1" s="1"/>
  <c r="AP453" i="1"/>
  <c r="AQ453" i="1" s="1"/>
  <c r="AS425" i="1"/>
  <c r="AS426" i="1"/>
  <c r="AS427" i="1"/>
  <c r="AS428" i="1"/>
  <c r="AS429" i="1"/>
  <c r="AS430" i="1"/>
  <c r="AS431" i="1"/>
  <c r="AS432" i="1"/>
  <c r="AS433" i="1"/>
  <c r="AS434" i="1"/>
  <c r="AS435" i="1"/>
  <c r="AS436" i="1"/>
  <c r="AS437" i="1"/>
  <c r="AS438" i="1"/>
  <c r="AS439" i="1"/>
  <c r="AS440" i="1"/>
  <c r="AS441" i="1"/>
  <c r="AS442" i="1"/>
  <c r="AS443" i="1"/>
  <c r="AS444" i="1"/>
  <c r="AS445" i="1"/>
  <c r="AS446" i="1"/>
  <c r="AS447" i="1"/>
  <c r="AS448" i="1"/>
  <c r="AS449" i="1"/>
  <c r="AS450" i="1"/>
  <c r="AS451" i="1"/>
  <c r="AS452" i="1"/>
  <c r="AS453" i="1"/>
  <c r="BP425" i="1"/>
  <c r="BP426" i="1"/>
  <c r="BP427" i="1"/>
  <c r="BP428" i="1"/>
  <c r="BP429" i="1"/>
  <c r="BP430" i="1"/>
  <c r="BP431" i="1"/>
  <c r="BP432" i="1"/>
  <c r="BP433" i="1"/>
  <c r="BP434" i="1"/>
  <c r="BP435" i="1"/>
  <c r="BP436" i="1"/>
  <c r="BP437" i="1"/>
  <c r="BP438" i="1"/>
  <c r="BP439" i="1"/>
  <c r="BP440" i="1"/>
  <c r="BP441" i="1"/>
  <c r="BP442" i="1"/>
  <c r="BP443" i="1"/>
  <c r="BP444" i="1"/>
  <c r="BP445" i="1"/>
  <c r="BP446" i="1"/>
  <c r="BP447" i="1"/>
  <c r="BP448" i="1"/>
  <c r="BP449" i="1"/>
  <c r="BP450" i="1"/>
  <c r="BP451" i="1"/>
  <c r="BP452" i="1"/>
  <c r="BP453" i="1"/>
  <c r="BX425" i="1"/>
  <c r="BZ425" i="1" s="1"/>
  <c r="BX426" i="1"/>
  <c r="BZ426" i="1" s="1"/>
  <c r="BX427" i="1"/>
  <c r="BZ427" i="1" s="1"/>
  <c r="BX428" i="1"/>
  <c r="BZ428" i="1" s="1"/>
  <c r="BX429" i="1"/>
  <c r="BZ429" i="1" s="1"/>
  <c r="BX430" i="1"/>
  <c r="BZ430" i="1" s="1"/>
  <c r="BX431" i="1"/>
  <c r="BZ431" i="1" s="1"/>
  <c r="BX432" i="1"/>
  <c r="BZ432" i="1" s="1"/>
  <c r="BX433" i="1"/>
  <c r="BZ433" i="1" s="1"/>
  <c r="BX434" i="1"/>
  <c r="BZ434" i="1" s="1"/>
  <c r="BX435" i="1"/>
  <c r="BZ435" i="1" s="1"/>
  <c r="BX436" i="1"/>
  <c r="BZ436" i="1" s="1"/>
  <c r="BX437" i="1"/>
  <c r="BZ437" i="1" s="1"/>
  <c r="BX438" i="1"/>
  <c r="BZ438" i="1" s="1"/>
  <c r="BX439" i="1"/>
  <c r="BZ439" i="1" s="1"/>
  <c r="BX440" i="1"/>
  <c r="BZ440" i="1" s="1"/>
  <c r="BX441" i="1"/>
  <c r="BZ441" i="1" s="1"/>
  <c r="BX442" i="1"/>
  <c r="BZ442" i="1" s="1"/>
  <c r="BX443" i="1"/>
  <c r="BZ443" i="1" s="1"/>
  <c r="BX444" i="1"/>
  <c r="BZ444" i="1" s="1"/>
  <c r="BX445" i="1"/>
  <c r="BZ445" i="1" s="1"/>
  <c r="BX446" i="1"/>
  <c r="BZ446" i="1" s="1"/>
  <c r="BX447" i="1"/>
  <c r="BZ447" i="1" s="1"/>
  <c r="BX448" i="1"/>
  <c r="BZ448" i="1" s="1"/>
  <c r="BX449" i="1"/>
  <c r="BZ449" i="1" s="1"/>
  <c r="BX450" i="1"/>
  <c r="BZ450" i="1" s="1"/>
  <c r="BX451" i="1"/>
  <c r="BZ451" i="1" s="1"/>
  <c r="BX452" i="1"/>
  <c r="BZ452" i="1" s="1"/>
  <c r="BX453" i="1"/>
  <c r="BZ453" i="1" s="1"/>
  <c r="BY425" i="1"/>
  <c r="BY426" i="1"/>
  <c r="BY427" i="1"/>
  <c r="BY428" i="1"/>
  <c r="BY429" i="1"/>
  <c r="BY430" i="1"/>
  <c r="BY431" i="1"/>
  <c r="BY432" i="1"/>
  <c r="BY433" i="1"/>
  <c r="BY434" i="1"/>
  <c r="BY435" i="1"/>
  <c r="BY436" i="1"/>
  <c r="BY437" i="1"/>
  <c r="BY438" i="1"/>
  <c r="BY439" i="1"/>
  <c r="BY440" i="1"/>
  <c r="BY441" i="1"/>
  <c r="BY442" i="1"/>
  <c r="BY443" i="1"/>
  <c r="BY444" i="1"/>
  <c r="BY445" i="1"/>
  <c r="BY446" i="1"/>
  <c r="BY447" i="1"/>
  <c r="BY448" i="1"/>
  <c r="BY449" i="1"/>
  <c r="BY450" i="1"/>
  <c r="BY451" i="1"/>
  <c r="BY452" i="1"/>
  <c r="BY453" i="1"/>
  <c r="CI425" i="1"/>
  <c r="CJ425" i="1" s="1"/>
  <c r="CI426" i="1"/>
  <c r="CJ426" i="1" s="1"/>
  <c r="CI427" i="1"/>
  <c r="CJ427" i="1" s="1"/>
  <c r="CI428" i="1"/>
  <c r="CJ428" i="1" s="1"/>
  <c r="CI429" i="1"/>
  <c r="CJ429" i="1" s="1"/>
  <c r="CI430" i="1"/>
  <c r="CJ430" i="1" s="1"/>
  <c r="CI431" i="1"/>
  <c r="CJ431" i="1" s="1"/>
  <c r="CI432" i="1"/>
  <c r="CJ432" i="1" s="1"/>
  <c r="CI433" i="1"/>
  <c r="CJ433" i="1" s="1"/>
  <c r="CI434" i="1"/>
  <c r="CJ434" i="1" s="1"/>
  <c r="CI435" i="1"/>
  <c r="CJ435" i="1" s="1"/>
  <c r="CI436" i="1"/>
  <c r="CI437" i="1"/>
  <c r="CJ437" i="1" s="1"/>
  <c r="CI438" i="1"/>
  <c r="CJ438" i="1" s="1"/>
  <c r="CI439" i="1"/>
  <c r="CJ439" i="1" s="1"/>
  <c r="CI440" i="1"/>
  <c r="CJ440" i="1" s="1"/>
  <c r="CI441" i="1"/>
  <c r="CJ441" i="1" s="1"/>
  <c r="CI442" i="1"/>
  <c r="CJ442" i="1" s="1"/>
  <c r="CI443" i="1"/>
  <c r="CJ443" i="1" s="1"/>
  <c r="CI444" i="1"/>
  <c r="CI445" i="1"/>
  <c r="CJ445" i="1" s="1"/>
  <c r="CI446" i="1"/>
  <c r="CJ446" i="1" s="1"/>
  <c r="CI447" i="1"/>
  <c r="CJ447" i="1" s="1"/>
  <c r="CI448" i="1"/>
  <c r="CJ448" i="1" s="1"/>
  <c r="CI449" i="1"/>
  <c r="CJ449" i="1" s="1"/>
  <c r="CI450" i="1"/>
  <c r="CI451" i="1"/>
  <c r="CJ451" i="1" s="1"/>
  <c r="CI452" i="1"/>
  <c r="CI453" i="1"/>
  <c r="CJ453" i="1" s="1"/>
  <c r="CK425" i="1"/>
  <c r="CL425" i="1" s="1"/>
  <c r="CK426" i="1"/>
  <c r="CL426" i="1" s="1"/>
  <c r="CK427" i="1"/>
  <c r="CK428" i="1"/>
  <c r="CL428" i="1" s="1"/>
  <c r="CK429" i="1"/>
  <c r="CL429" i="1" s="1"/>
  <c r="CK430" i="1"/>
  <c r="CL430" i="1" s="1"/>
  <c r="CK431" i="1"/>
  <c r="CL431" i="1" s="1"/>
  <c r="CK432" i="1"/>
  <c r="CL432" i="1" s="1"/>
  <c r="CK433" i="1"/>
  <c r="CL433" i="1" s="1"/>
  <c r="CK434" i="1"/>
  <c r="CL434" i="1" s="1"/>
  <c r="CK435" i="1"/>
  <c r="CK436" i="1"/>
  <c r="CL436" i="1" s="1"/>
  <c r="CK437" i="1"/>
  <c r="CL437" i="1" s="1"/>
  <c r="CK438" i="1"/>
  <c r="CL438" i="1" s="1"/>
  <c r="CK439" i="1"/>
  <c r="CL439" i="1" s="1"/>
  <c r="CK440" i="1"/>
  <c r="CK441" i="1"/>
  <c r="CL441" i="1" s="1"/>
  <c r="CK442" i="1"/>
  <c r="CL442" i="1" s="1"/>
  <c r="CK443" i="1"/>
  <c r="CK444" i="1"/>
  <c r="CL444" i="1" s="1"/>
  <c r="CK445" i="1"/>
  <c r="CL445" i="1" s="1"/>
  <c r="CK446" i="1"/>
  <c r="CL446" i="1" s="1"/>
  <c r="CK447" i="1"/>
  <c r="CL447" i="1" s="1"/>
  <c r="CK448" i="1"/>
  <c r="CK449" i="1"/>
  <c r="CL449" i="1" s="1"/>
  <c r="CK450" i="1"/>
  <c r="CL450" i="1" s="1"/>
  <c r="CK451" i="1"/>
  <c r="CK452" i="1"/>
  <c r="CL452" i="1" s="1"/>
  <c r="CK453" i="1"/>
  <c r="CL453" i="1" s="1"/>
  <c r="CM425" i="1"/>
  <c r="CM426" i="1"/>
  <c r="CN426" i="1" s="1"/>
  <c r="CM427" i="1"/>
  <c r="CN427" i="1" s="1"/>
  <c r="CM428" i="1"/>
  <c r="CN428" i="1" s="1"/>
  <c r="CM429" i="1"/>
  <c r="CN429" i="1" s="1"/>
  <c r="CM430" i="1"/>
  <c r="CN430" i="1" s="1"/>
  <c r="CM431" i="1"/>
  <c r="CN431" i="1" s="1"/>
  <c r="CM432" i="1"/>
  <c r="CN432" i="1" s="1"/>
  <c r="CM433" i="1"/>
  <c r="CM434" i="1"/>
  <c r="CN434" i="1" s="1"/>
  <c r="CM435" i="1"/>
  <c r="CN435" i="1" s="1"/>
  <c r="CM436" i="1"/>
  <c r="CN436" i="1" s="1"/>
  <c r="CM437" i="1"/>
  <c r="CN437" i="1" s="1"/>
  <c r="CM438" i="1"/>
  <c r="CN438" i="1" s="1"/>
  <c r="CM439" i="1"/>
  <c r="CM440" i="1"/>
  <c r="CN440" i="1" s="1"/>
  <c r="CM441" i="1"/>
  <c r="CM442" i="1"/>
  <c r="CN442" i="1" s="1"/>
  <c r="CM443" i="1"/>
  <c r="CN443" i="1" s="1"/>
  <c r="CM444" i="1"/>
  <c r="CN444" i="1" s="1"/>
  <c r="CM445" i="1"/>
  <c r="CN445" i="1" s="1"/>
  <c r="CM446" i="1"/>
  <c r="CN446" i="1" s="1"/>
  <c r="CM447" i="1"/>
  <c r="CM448" i="1"/>
  <c r="CN448" i="1" s="1"/>
  <c r="CM449" i="1"/>
  <c r="CM450" i="1"/>
  <c r="CN450" i="1" s="1"/>
  <c r="CM451" i="1"/>
  <c r="CN451" i="1" s="1"/>
  <c r="CM452" i="1"/>
  <c r="CN452" i="1" s="1"/>
  <c r="CM453" i="1"/>
  <c r="CN453" i="1" s="1"/>
  <c r="DF107" i="1" l="1"/>
  <c r="DG432" i="1"/>
  <c r="DG446" i="1"/>
  <c r="DG439" i="1"/>
  <c r="B30" i="7"/>
  <c r="DH447" i="1"/>
  <c r="DG431" i="1"/>
  <c r="AU430" i="1"/>
  <c r="CO442" i="1"/>
  <c r="DG442" i="1" s="1"/>
  <c r="CO431" i="1"/>
  <c r="AU438" i="1"/>
  <c r="CO452" i="1"/>
  <c r="DG452" i="1" s="1"/>
  <c r="CO444" i="1"/>
  <c r="DG444" i="1" s="1"/>
  <c r="CO436" i="1"/>
  <c r="DG436" i="1" s="1"/>
  <c r="CO447" i="1"/>
  <c r="DG447" i="1" s="1"/>
  <c r="CP431" i="1"/>
  <c r="CO439" i="1"/>
  <c r="CO450" i="1"/>
  <c r="DG450" i="1" s="1"/>
  <c r="AU448" i="1"/>
  <c r="DH448" i="1" s="1"/>
  <c r="CJ436" i="1"/>
  <c r="CP436" i="1" s="1"/>
  <c r="CO434" i="1"/>
  <c r="DG434" i="1" s="1"/>
  <c r="CN439" i="1"/>
  <c r="CP439" i="1" s="1"/>
  <c r="CO428" i="1"/>
  <c r="DG428" i="1" s="1"/>
  <c r="CJ450" i="1"/>
  <c r="CP450" i="1" s="1"/>
  <c r="CN447" i="1"/>
  <c r="CP447" i="1" s="1"/>
  <c r="CJ452" i="1"/>
  <c r="CP452" i="1" s="1"/>
  <c r="AU446" i="1"/>
  <c r="DH446" i="1" s="1"/>
  <c r="CP432" i="1"/>
  <c r="CJ444" i="1"/>
  <c r="CP444" i="1" s="1"/>
  <c r="CO426" i="1"/>
  <c r="DG426" i="1" s="1"/>
  <c r="AU440" i="1"/>
  <c r="DH440" i="1" s="1"/>
  <c r="AU432" i="1"/>
  <c r="AU425" i="1"/>
  <c r="CP428" i="1"/>
  <c r="AU433" i="1"/>
  <c r="AU434" i="1"/>
  <c r="DH434" i="1" s="1"/>
  <c r="CO432" i="1"/>
  <c r="CO451" i="1"/>
  <c r="DG451" i="1" s="1"/>
  <c r="CO443" i="1"/>
  <c r="DG443" i="1" s="1"/>
  <c r="CO435" i="1"/>
  <c r="DG435" i="1" s="1"/>
  <c r="CO427" i="1"/>
  <c r="DG427" i="1" s="1"/>
  <c r="CP446" i="1"/>
  <c r="CP438" i="1"/>
  <c r="CP430" i="1"/>
  <c r="AU452" i="1"/>
  <c r="AU442" i="1"/>
  <c r="DH442" i="1" s="1"/>
  <c r="CP442" i="1"/>
  <c r="CP434" i="1"/>
  <c r="CP426" i="1"/>
  <c r="CP453" i="1"/>
  <c r="CP445" i="1"/>
  <c r="DH445" i="1" s="1"/>
  <c r="CP437" i="1"/>
  <c r="CP429" i="1"/>
  <c r="AU441" i="1"/>
  <c r="CO449" i="1"/>
  <c r="DG449" i="1" s="1"/>
  <c r="CO441" i="1"/>
  <c r="DG441" i="1" s="1"/>
  <c r="CO433" i="1"/>
  <c r="DG433" i="1" s="1"/>
  <c r="CO425" i="1"/>
  <c r="DG425" i="1" s="1"/>
  <c r="AU451" i="1"/>
  <c r="DH451" i="1" s="1"/>
  <c r="AU443" i="1"/>
  <c r="DH443" i="1" s="1"/>
  <c r="AU435" i="1"/>
  <c r="AU427" i="1"/>
  <c r="AU453" i="1"/>
  <c r="DH453" i="1" s="1"/>
  <c r="AU445" i="1"/>
  <c r="AU437" i="1"/>
  <c r="AU429" i="1"/>
  <c r="DH429" i="1" s="1"/>
  <c r="AU450" i="1"/>
  <c r="DH450" i="1" s="1"/>
  <c r="CO448" i="1"/>
  <c r="DG448" i="1" s="1"/>
  <c r="CO440" i="1"/>
  <c r="DG440" i="1" s="1"/>
  <c r="AU449" i="1"/>
  <c r="DH449" i="1" s="1"/>
  <c r="AU436" i="1"/>
  <c r="AU426" i="1"/>
  <c r="DH426" i="1" s="1"/>
  <c r="AU447" i="1"/>
  <c r="AU439" i="1"/>
  <c r="DH439" i="1" s="1"/>
  <c r="AU431" i="1"/>
  <c r="DH431" i="1" s="1"/>
  <c r="AU444" i="1"/>
  <c r="DH444" i="1" s="1"/>
  <c r="AU428" i="1"/>
  <c r="CO446" i="1"/>
  <c r="CO438" i="1"/>
  <c r="DG438" i="1" s="1"/>
  <c r="CO430" i="1"/>
  <c r="DG430" i="1" s="1"/>
  <c r="CO453" i="1"/>
  <c r="DG453" i="1" s="1"/>
  <c r="CO445" i="1"/>
  <c r="DG445" i="1" s="1"/>
  <c r="CO437" i="1"/>
  <c r="DG437" i="1" s="1"/>
  <c r="CO429" i="1"/>
  <c r="DG429" i="1" s="1"/>
  <c r="CN449" i="1"/>
  <c r="CP449" i="1" s="1"/>
  <c r="CN441" i="1"/>
  <c r="CP441" i="1" s="1"/>
  <c r="CN433" i="1"/>
  <c r="CP433" i="1" s="1"/>
  <c r="CN425" i="1"/>
  <c r="CP425" i="1" s="1"/>
  <c r="CL451" i="1"/>
  <c r="CP451" i="1" s="1"/>
  <c r="CL443" i="1"/>
  <c r="CP443" i="1" s="1"/>
  <c r="CL435" i="1"/>
  <c r="CP435" i="1" s="1"/>
  <c r="CL427" i="1"/>
  <c r="CP427" i="1" s="1"/>
  <c r="CL448" i="1"/>
  <c r="CP448" i="1" s="1"/>
  <c r="CL440" i="1"/>
  <c r="CP440" i="1" s="1"/>
  <c r="DH430" i="1" l="1"/>
  <c r="DH432" i="1"/>
  <c r="DH436" i="1"/>
  <c r="DH428" i="1"/>
  <c r="DH437" i="1"/>
  <c r="DH425" i="1"/>
  <c r="DI425" i="1" s="1"/>
  <c r="DH427" i="1"/>
  <c r="DI427" i="1" s="1"/>
  <c r="DH441" i="1"/>
  <c r="DH435" i="1"/>
  <c r="DH452" i="1"/>
  <c r="DH433" i="1"/>
  <c r="DH438" i="1"/>
  <c r="DI438" i="1" s="1"/>
  <c r="DI448" i="1"/>
  <c r="DI429" i="1"/>
  <c r="DI430" i="1"/>
  <c r="DI432" i="1"/>
  <c r="DI435" i="1"/>
  <c r="DI439" i="1"/>
  <c r="DI431" i="1"/>
  <c r="DI443" i="1"/>
  <c r="DI450" i="1"/>
  <c r="DI434" i="1"/>
  <c r="DI447" i="1"/>
  <c r="DI437" i="1"/>
  <c r="DI441" i="1"/>
  <c r="DI436" i="1"/>
  <c r="DI445" i="1"/>
  <c r="DI446" i="1"/>
  <c r="DI451" i="1"/>
  <c r="DI433" i="1"/>
  <c r="DI442" i="1"/>
  <c r="DI444" i="1"/>
  <c r="DI440" i="1"/>
  <c r="DI428" i="1"/>
  <c r="DI426" i="1"/>
  <c r="DI453" i="1"/>
  <c r="DI449" i="1"/>
  <c r="DI452" i="1"/>
  <c r="BW86" i="1" l="1"/>
  <c r="AJ416" i="1" l="1"/>
  <c r="AJ417" i="1"/>
  <c r="AJ418" i="1"/>
  <c r="AJ419" i="1"/>
  <c r="AJ420" i="1"/>
  <c r="AJ421" i="1"/>
  <c r="AJ422" i="1"/>
  <c r="AJ423" i="1"/>
  <c r="AJ424" i="1"/>
  <c r="AM403" i="1"/>
  <c r="AM404" i="1"/>
  <c r="AM405" i="1"/>
  <c r="AM406" i="1"/>
  <c r="AM407" i="1"/>
  <c r="AM408" i="1"/>
  <c r="AM409" i="1"/>
  <c r="AM410" i="1"/>
  <c r="AM411" i="1"/>
  <c r="AM412" i="1"/>
  <c r="AM413" i="1"/>
  <c r="AM414" i="1"/>
  <c r="AM415" i="1"/>
  <c r="AN403" i="1"/>
  <c r="AO403" i="1" s="1"/>
  <c r="AN404" i="1"/>
  <c r="AO404" i="1" s="1"/>
  <c r="AN405" i="1"/>
  <c r="AO405" i="1" s="1"/>
  <c r="AN406" i="1"/>
  <c r="AO406" i="1" s="1"/>
  <c r="AN407" i="1"/>
  <c r="AO407" i="1" s="1"/>
  <c r="AN408" i="1"/>
  <c r="AO408" i="1" s="1"/>
  <c r="AN409" i="1"/>
  <c r="AO409" i="1" s="1"/>
  <c r="AN410" i="1"/>
  <c r="AO410" i="1" s="1"/>
  <c r="AN411" i="1"/>
  <c r="AO411" i="1" s="1"/>
  <c r="AN412" i="1"/>
  <c r="AO412" i="1" s="1"/>
  <c r="AN413" i="1"/>
  <c r="AO413" i="1" s="1"/>
  <c r="AN414" i="1"/>
  <c r="AO414" i="1" s="1"/>
  <c r="AN415" i="1"/>
  <c r="AO415" i="1" s="1"/>
  <c r="AP403" i="1"/>
  <c r="AQ403" i="1" s="1"/>
  <c r="AP404" i="1"/>
  <c r="AQ404" i="1" s="1"/>
  <c r="AP405" i="1"/>
  <c r="AQ405" i="1" s="1"/>
  <c r="AP406" i="1"/>
  <c r="AQ406" i="1" s="1"/>
  <c r="AP407" i="1"/>
  <c r="AQ407" i="1" s="1"/>
  <c r="AP408" i="1"/>
  <c r="AQ408" i="1" s="1"/>
  <c r="AP409" i="1"/>
  <c r="AQ409" i="1" s="1"/>
  <c r="AP410" i="1"/>
  <c r="AQ410" i="1" s="1"/>
  <c r="AP411" i="1"/>
  <c r="AQ411" i="1" s="1"/>
  <c r="AP412" i="1"/>
  <c r="AQ412" i="1" s="1"/>
  <c r="AP413" i="1"/>
  <c r="AQ413" i="1" s="1"/>
  <c r="AP414" i="1"/>
  <c r="AQ414" i="1" s="1"/>
  <c r="AP415" i="1"/>
  <c r="AQ415" i="1" s="1"/>
  <c r="AS403" i="1"/>
  <c r="AS404" i="1"/>
  <c r="AS405" i="1"/>
  <c r="AS406" i="1"/>
  <c r="AS407" i="1"/>
  <c r="AS408" i="1"/>
  <c r="AS409" i="1"/>
  <c r="AS410" i="1"/>
  <c r="AS411" i="1"/>
  <c r="AS412" i="1"/>
  <c r="AS413" i="1"/>
  <c r="AS414" i="1"/>
  <c r="AS415" i="1"/>
  <c r="BP416" i="1"/>
  <c r="BP417" i="1"/>
  <c r="BP418" i="1"/>
  <c r="BP419" i="1"/>
  <c r="BP420" i="1"/>
  <c r="BP421" i="1"/>
  <c r="BP422" i="1"/>
  <c r="BP423" i="1"/>
  <c r="BP424" i="1"/>
  <c r="BX403" i="1"/>
  <c r="BZ403" i="1" s="1"/>
  <c r="BX404" i="1"/>
  <c r="BZ404" i="1" s="1"/>
  <c r="BX405" i="1"/>
  <c r="BZ405" i="1" s="1"/>
  <c r="BX406" i="1"/>
  <c r="BZ406" i="1" s="1"/>
  <c r="BX407" i="1"/>
  <c r="BZ407" i="1" s="1"/>
  <c r="BX408" i="1"/>
  <c r="BZ408" i="1" s="1"/>
  <c r="BX409" i="1"/>
  <c r="BZ409" i="1" s="1"/>
  <c r="BX410" i="1"/>
  <c r="BZ410" i="1" s="1"/>
  <c r="BX411" i="1"/>
  <c r="BZ411" i="1" s="1"/>
  <c r="BX412" i="1"/>
  <c r="BZ412" i="1" s="1"/>
  <c r="BX413" i="1"/>
  <c r="BZ413" i="1" s="1"/>
  <c r="BX414" i="1"/>
  <c r="BZ414" i="1" s="1"/>
  <c r="BX415" i="1"/>
  <c r="BZ415" i="1" s="1"/>
  <c r="BX416" i="1"/>
  <c r="BZ416" i="1" s="1"/>
  <c r="DH416" i="1" s="1"/>
  <c r="BX417" i="1"/>
  <c r="BZ417" i="1" s="1"/>
  <c r="DH417" i="1" s="1"/>
  <c r="BX418" i="1"/>
  <c r="BZ418" i="1" s="1"/>
  <c r="DH418" i="1" s="1"/>
  <c r="BX419" i="1"/>
  <c r="BZ419" i="1" s="1"/>
  <c r="DH419" i="1" s="1"/>
  <c r="BX420" i="1"/>
  <c r="BZ420" i="1" s="1"/>
  <c r="DH420" i="1" s="1"/>
  <c r="BX421" i="1"/>
  <c r="BZ421" i="1" s="1"/>
  <c r="DH421" i="1" s="1"/>
  <c r="BX422" i="1"/>
  <c r="BZ422" i="1" s="1"/>
  <c r="DH422" i="1" s="1"/>
  <c r="BX423" i="1"/>
  <c r="BZ423" i="1" s="1"/>
  <c r="DH423" i="1" s="1"/>
  <c r="BX424" i="1"/>
  <c r="BZ424" i="1" s="1"/>
  <c r="DH424" i="1" s="1"/>
  <c r="BY403" i="1"/>
  <c r="DG403" i="1" s="1"/>
  <c r="BY404" i="1"/>
  <c r="DG404" i="1" s="1"/>
  <c r="BY405" i="1"/>
  <c r="DG405" i="1" s="1"/>
  <c r="BY406" i="1"/>
  <c r="DG406" i="1" s="1"/>
  <c r="BY407" i="1"/>
  <c r="DG407" i="1" s="1"/>
  <c r="BY408" i="1"/>
  <c r="DG408" i="1" s="1"/>
  <c r="BY409" i="1"/>
  <c r="DG409" i="1" s="1"/>
  <c r="BY410" i="1"/>
  <c r="DG410" i="1" s="1"/>
  <c r="BY411" i="1"/>
  <c r="DG411" i="1" s="1"/>
  <c r="BY412" i="1"/>
  <c r="DG412" i="1" s="1"/>
  <c r="BY413" i="1"/>
  <c r="DG413" i="1" s="1"/>
  <c r="BY414" i="1"/>
  <c r="DG414" i="1" s="1"/>
  <c r="BY415" i="1"/>
  <c r="DG415" i="1" s="1"/>
  <c r="BY416" i="1"/>
  <c r="DG416" i="1" s="1"/>
  <c r="BY417" i="1"/>
  <c r="DG417" i="1" s="1"/>
  <c r="BY418" i="1"/>
  <c r="DG418" i="1" s="1"/>
  <c r="BY419" i="1"/>
  <c r="DG419" i="1" s="1"/>
  <c r="BY420" i="1"/>
  <c r="DG420" i="1" s="1"/>
  <c r="BY421" i="1"/>
  <c r="DG421" i="1" s="1"/>
  <c r="BY422" i="1"/>
  <c r="DG422" i="1" s="1"/>
  <c r="BY423" i="1"/>
  <c r="DG423" i="1" s="1"/>
  <c r="BY424" i="1"/>
  <c r="DG424" i="1" s="1"/>
  <c r="CE403" i="1"/>
  <c r="CG403" i="1" s="1"/>
  <c r="CE404" i="1"/>
  <c r="CG404" i="1" s="1"/>
  <c r="CE405" i="1"/>
  <c r="CG405" i="1" s="1"/>
  <c r="CE406" i="1"/>
  <c r="CG406" i="1" s="1"/>
  <c r="CE407" i="1"/>
  <c r="CG407" i="1" s="1"/>
  <c r="CE408" i="1"/>
  <c r="CG408" i="1" s="1"/>
  <c r="CE409" i="1"/>
  <c r="CG409" i="1" s="1"/>
  <c r="CE410" i="1"/>
  <c r="CG410" i="1" s="1"/>
  <c r="CE411" i="1"/>
  <c r="CG411" i="1" s="1"/>
  <c r="CE412" i="1"/>
  <c r="CG412" i="1" s="1"/>
  <c r="CE413" i="1"/>
  <c r="CG413" i="1" s="1"/>
  <c r="CE414" i="1"/>
  <c r="CG414" i="1" s="1"/>
  <c r="CE415" i="1"/>
  <c r="CG415" i="1" s="1"/>
  <c r="CE416" i="1"/>
  <c r="CE417" i="1"/>
  <c r="CE418" i="1"/>
  <c r="CE419" i="1"/>
  <c r="CE420" i="1"/>
  <c r="CE421" i="1"/>
  <c r="CE422" i="1"/>
  <c r="CE423" i="1"/>
  <c r="CE424" i="1"/>
  <c r="CJ403" i="1"/>
  <c r="CI404" i="1"/>
  <c r="CI405" i="1"/>
  <c r="CI406" i="1"/>
  <c r="CI407" i="1"/>
  <c r="CI408" i="1"/>
  <c r="CI409" i="1"/>
  <c r="CI410" i="1"/>
  <c r="CI411" i="1"/>
  <c r="CI412" i="1"/>
  <c r="CI413" i="1"/>
  <c r="CI414" i="1"/>
  <c r="CI415" i="1"/>
  <c r="CI416" i="1"/>
  <c r="CI417" i="1"/>
  <c r="CI418" i="1"/>
  <c r="CI419" i="1"/>
  <c r="CI420" i="1"/>
  <c r="CI421" i="1"/>
  <c r="CI422" i="1"/>
  <c r="CI423" i="1"/>
  <c r="CI424" i="1"/>
  <c r="DH414" i="1" l="1"/>
  <c r="AU403" i="1"/>
  <c r="DH403" i="1" s="1"/>
  <c r="AU411" i="1"/>
  <c r="DH411" i="1" s="1"/>
  <c r="AU415" i="1"/>
  <c r="DH415" i="1" s="1"/>
  <c r="AU407" i="1"/>
  <c r="DH407" i="1" s="1"/>
  <c r="AU410" i="1"/>
  <c r="DH410" i="1" s="1"/>
  <c r="AU414" i="1"/>
  <c r="AU406" i="1"/>
  <c r="DH406" i="1" s="1"/>
  <c r="AU413" i="1"/>
  <c r="DH413" i="1" s="1"/>
  <c r="AU405" i="1"/>
  <c r="DH405" i="1" s="1"/>
  <c r="AU412" i="1"/>
  <c r="DH412" i="1" s="1"/>
  <c r="AU404" i="1"/>
  <c r="DH404" i="1" s="1"/>
  <c r="AU408" i="1"/>
  <c r="DH408" i="1" s="1"/>
  <c r="DI417" i="1"/>
  <c r="AU409" i="1"/>
  <c r="DH409" i="1" s="1"/>
  <c r="AJ381" i="1"/>
  <c r="AM381" i="1"/>
  <c r="AN381" i="1"/>
  <c r="AO381" i="1" s="1"/>
  <c r="AP381" i="1"/>
  <c r="AQ381" i="1" s="1"/>
  <c r="AS381" i="1"/>
  <c r="BP381" i="1"/>
  <c r="BR381" i="1" s="1"/>
  <c r="BX381" i="1"/>
  <c r="BZ381" i="1" s="1"/>
  <c r="BY381" i="1"/>
  <c r="CE381" i="1"/>
  <c r="CG381" i="1" s="1"/>
  <c r="CI381" i="1"/>
  <c r="CJ381" i="1" s="1"/>
  <c r="CK381" i="1"/>
  <c r="CL381" i="1" s="1"/>
  <c r="CM381" i="1"/>
  <c r="CN381" i="1" s="1"/>
  <c r="DI407" i="1" l="1"/>
  <c r="DI418" i="1"/>
  <c r="DI415" i="1"/>
  <c r="DI406" i="1"/>
  <c r="DI419" i="1"/>
  <c r="DI409" i="1"/>
  <c r="DI422" i="1"/>
  <c r="DI410" i="1"/>
  <c r="DI411" i="1"/>
  <c r="DI424" i="1"/>
  <c r="DI404" i="1"/>
  <c r="DI420" i="1"/>
  <c r="DI423" i="1"/>
  <c r="DI403" i="1"/>
  <c r="DI414" i="1"/>
  <c r="DI408" i="1"/>
  <c r="DI412" i="1"/>
  <c r="DI416" i="1"/>
  <c r="DI421" i="1"/>
  <c r="DI405" i="1"/>
  <c r="DI413" i="1"/>
  <c r="AU381" i="1"/>
  <c r="DH381" i="1" s="1"/>
  <c r="CP381" i="1"/>
  <c r="CO381" i="1"/>
  <c r="DG381" i="1" s="1"/>
  <c r="DI381" i="1" l="1"/>
  <c r="AA380" i="1" l="1"/>
  <c r="AA383" i="1"/>
  <c r="AA384" i="1"/>
  <c r="AA386" i="1"/>
  <c r="AA387" i="1"/>
  <c r="AA388" i="1"/>
  <c r="AA389" i="1"/>
  <c r="AA390" i="1"/>
  <c r="AA391" i="1"/>
  <c r="AA392" i="1"/>
  <c r="AA379" i="1"/>
  <c r="Y385" i="1" l="1"/>
  <c r="AA385" i="1" s="1"/>
  <c r="Y382" i="1"/>
  <c r="AA382" i="1" s="1"/>
  <c r="C20" i="7" l="1"/>
  <c r="AM379" i="1" l="1"/>
  <c r="AM380" i="1"/>
  <c r="AM382" i="1"/>
  <c r="AM383" i="1"/>
  <c r="AM384" i="1"/>
  <c r="AM385" i="1"/>
  <c r="AM386" i="1"/>
  <c r="AM387" i="1"/>
  <c r="AM388" i="1"/>
  <c r="AM389" i="1"/>
  <c r="AM390" i="1"/>
  <c r="AM391" i="1"/>
  <c r="AM392" i="1"/>
  <c r="AM393" i="1"/>
  <c r="AM394" i="1"/>
  <c r="AM395" i="1"/>
  <c r="AM396" i="1"/>
  <c r="AM397" i="1"/>
  <c r="AM398" i="1"/>
  <c r="AM399" i="1"/>
  <c r="AM400" i="1"/>
  <c r="AM401" i="1"/>
  <c r="AM402" i="1"/>
  <c r="AO379" i="1"/>
  <c r="AO380" i="1"/>
  <c r="AO382" i="1"/>
  <c r="AO383" i="1"/>
  <c r="AO384" i="1"/>
  <c r="AO385" i="1"/>
  <c r="AO386" i="1"/>
  <c r="AO387" i="1"/>
  <c r="AO388" i="1"/>
  <c r="AO389" i="1"/>
  <c r="AO390" i="1"/>
  <c r="AO391" i="1"/>
  <c r="AO392" i="1"/>
  <c r="AN395" i="1"/>
  <c r="AN396" i="1"/>
  <c r="AN397" i="1"/>
  <c r="AN398" i="1"/>
  <c r="AN399" i="1"/>
  <c r="AN400" i="1"/>
  <c r="AN401" i="1"/>
  <c r="AN402" i="1"/>
  <c r="AQ379" i="1"/>
  <c r="AQ380" i="1"/>
  <c r="AQ382" i="1"/>
  <c r="AQ383" i="1"/>
  <c r="AQ384" i="1"/>
  <c r="AQ385" i="1"/>
  <c r="AQ386" i="1"/>
  <c r="AQ388" i="1"/>
  <c r="AQ389" i="1"/>
  <c r="AP393" i="1"/>
  <c r="AP394" i="1"/>
  <c r="AP395" i="1"/>
  <c r="AP396" i="1"/>
  <c r="AP397" i="1"/>
  <c r="AP398" i="1"/>
  <c r="AP399" i="1"/>
  <c r="AP400" i="1"/>
  <c r="AP401" i="1"/>
  <c r="AP402" i="1"/>
  <c r="AQ387" i="1"/>
  <c r="BX379" i="1"/>
  <c r="BX380" i="1"/>
  <c r="BX382" i="1"/>
  <c r="BX383" i="1"/>
  <c r="BX384" i="1"/>
  <c r="BX385" i="1"/>
  <c r="BX386" i="1"/>
  <c r="BZ386" i="1" s="1"/>
  <c r="BX387" i="1"/>
  <c r="BZ387" i="1" s="1"/>
  <c r="BX388" i="1"/>
  <c r="BX389" i="1"/>
  <c r="BX390" i="1"/>
  <c r="BX391" i="1"/>
  <c r="BX392" i="1"/>
  <c r="BX393" i="1"/>
  <c r="BX394" i="1"/>
  <c r="BX395" i="1"/>
  <c r="BX396" i="1"/>
  <c r="BX397" i="1"/>
  <c r="BX398" i="1"/>
  <c r="BX399" i="1"/>
  <c r="BX400" i="1"/>
  <c r="BX401" i="1"/>
  <c r="BX402" i="1"/>
  <c r="BY379" i="1"/>
  <c r="BY380" i="1"/>
  <c r="BY382" i="1"/>
  <c r="BY383" i="1"/>
  <c r="BY384" i="1"/>
  <c r="BY385" i="1"/>
  <c r="BY386" i="1"/>
  <c r="BY387" i="1"/>
  <c r="BY388" i="1"/>
  <c r="BY389" i="1"/>
  <c r="BY390" i="1"/>
  <c r="BY391" i="1"/>
  <c r="BY392" i="1"/>
  <c r="BY393" i="1"/>
  <c r="BY394" i="1"/>
  <c r="BY395" i="1"/>
  <c r="BY396" i="1"/>
  <c r="BY397" i="1"/>
  <c r="BY398" i="1"/>
  <c r="BY399" i="1"/>
  <c r="BY400" i="1"/>
  <c r="BY401" i="1"/>
  <c r="BY402" i="1"/>
  <c r="CE379" i="1"/>
  <c r="CG379" i="1" s="1"/>
  <c r="CE380" i="1"/>
  <c r="CG380" i="1" s="1"/>
  <c r="CE382" i="1"/>
  <c r="CG382" i="1" s="1"/>
  <c r="CE383" i="1"/>
  <c r="CG383" i="1" s="1"/>
  <c r="CE384" i="1"/>
  <c r="CG384" i="1" s="1"/>
  <c r="CE385" i="1"/>
  <c r="CG385" i="1" s="1"/>
  <c r="CE386" i="1"/>
  <c r="CG386" i="1" s="1"/>
  <c r="CE387" i="1"/>
  <c r="CG387" i="1" s="1"/>
  <c r="CE388" i="1"/>
  <c r="CG388" i="1" s="1"/>
  <c r="CE389" i="1"/>
  <c r="CG389" i="1" s="1"/>
  <c r="CE390" i="1"/>
  <c r="CG390" i="1" s="1"/>
  <c r="CE391" i="1"/>
  <c r="CG391" i="1" s="1"/>
  <c r="CE392" i="1"/>
  <c r="CG392" i="1" s="1"/>
  <c r="CG393" i="1"/>
  <c r="CG394" i="1"/>
  <c r="CG395" i="1"/>
  <c r="CG396" i="1"/>
  <c r="CG397" i="1"/>
  <c r="CG398" i="1"/>
  <c r="CG399" i="1"/>
  <c r="CG400" i="1"/>
  <c r="CG401" i="1"/>
  <c r="CG402" i="1"/>
  <c r="CI393" i="1"/>
  <c r="CJ393" i="1" s="1"/>
  <c r="CI394" i="1"/>
  <c r="CJ394" i="1" s="1"/>
  <c r="CI395" i="1"/>
  <c r="CI396" i="1"/>
  <c r="CI397" i="1"/>
  <c r="CJ397" i="1" s="1"/>
  <c r="CI398" i="1"/>
  <c r="CI399" i="1"/>
  <c r="CJ399" i="1" s="1"/>
  <c r="CI400" i="1"/>
  <c r="CJ400" i="1" s="1"/>
  <c r="CI401" i="1"/>
  <c r="CJ401" i="1" s="1"/>
  <c r="CI402" i="1"/>
  <c r="CK379" i="1"/>
  <c r="CL379" i="1" s="1"/>
  <c r="CK380" i="1"/>
  <c r="CL380" i="1" s="1"/>
  <c r="CK382" i="1"/>
  <c r="CL382" i="1" s="1"/>
  <c r="CK383" i="1"/>
  <c r="CL383" i="1" s="1"/>
  <c r="CK384" i="1"/>
  <c r="CL384" i="1" s="1"/>
  <c r="CK385" i="1"/>
  <c r="CL385" i="1" s="1"/>
  <c r="CK386" i="1"/>
  <c r="CL386" i="1" s="1"/>
  <c r="CK387" i="1"/>
  <c r="CL387" i="1" s="1"/>
  <c r="CK388" i="1"/>
  <c r="CL388" i="1" s="1"/>
  <c r="CK389" i="1"/>
  <c r="CL389" i="1" s="1"/>
  <c r="CK390" i="1"/>
  <c r="CL390" i="1" s="1"/>
  <c r="CK391" i="1"/>
  <c r="CL391" i="1" s="1"/>
  <c r="CK392" i="1"/>
  <c r="CL392" i="1" s="1"/>
  <c r="CK393" i="1"/>
  <c r="CL393" i="1" s="1"/>
  <c r="CK394" i="1"/>
  <c r="CL394" i="1" s="1"/>
  <c r="CK395" i="1"/>
  <c r="CL395" i="1" s="1"/>
  <c r="CK396" i="1"/>
  <c r="CL396" i="1" s="1"/>
  <c r="CK397" i="1"/>
  <c r="CL397" i="1" s="1"/>
  <c r="CK398" i="1"/>
  <c r="CL398" i="1" s="1"/>
  <c r="CK399" i="1"/>
  <c r="CL399" i="1" s="1"/>
  <c r="CK400" i="1"/>
  <c r="CK401" i="1"/>
  <c r="CL401" i="1" s="1"/>
  <c r="CK402" i="1"/>
  <c r="CL402" i="1" s="1"/>
  <c r="CM393" i="1"/>
  <c r="CN393" i="1" s="1"/>
  <c r="CM394" i="1"/>
  <c r="CN394" i="1" s="1"/>
  <c r="CM395" i="1"/>
  <c r="CN395" i="1" s="1"/>
  <c r="CM396" i="1"/>
  <c r="CN396" i="1" s="1"/>
  <c r="CM397" i="1"/>
  <c r="CN397" i="1" s="1"/>
  <c r="CM398" i="1"/>
  <c r="CN398" i="1" s="1"/>
  <c r="CM399" i="1"/>
  <c r="CM400" i="1"/>
  <c r="CN400" i="1" s="1"/>
  <c r="CM401" i="1"/>
  <c r="CN401" i="1" s="1"/>
  <c r="CM402" i="1"/>
  <c r="CN402" i="1" s="1"/>
  <c r="DG395" i="1" l="1"/>
  <c r="DG398" i="1"/>
  <c r="BZ396" i="1"/>
  <c r="CB396" i="1" s="1"/>
  <c r="CD396" i="1" s="1"/>
  <c r="BZ388" i="1"/>
  <c r="CB388" i="1" s="1"/>
  <c r="BZ379" i="1"/>
  <c r="CB379" i="1" s="1"/>
  <c r="BZ395" i="1"/>
  <c r="CB395" i="1" s="1"/>
  <c r="CD395" i="1" s="1"/>
  <c r="CB387" i="1"/>
  <c r="BZ402" i="1"/>
  <c r="CB402" i="1" s="1"/>
  <c r="CD402" i="1" s="1"/>
  <c r="BZ394" i="1"/>
  <c r="CB394" i="1" s="1"/>
  <c r="CD394" i="1" s="1"/>
  <c r="CB386" i="1"/>
  <c r="BZ401" i="1"/>
  <c r="CB401" i="1" s="1"/>
  <c r="CD401" i="1" s="1"/>
  <c r="BZ393" i="1"/>
  <c r="CB393" i="1" s="1"/>
  <c r="CD393" i="1" s="1"/>
  <c r="BZ385" i="1"/>
  <c r="CB385" i="1" s="1"/>
  <c r="BZ400" i="1"/>
  <c r="CB400" i="1" s="1"/>
  <c r="CD400" i="1" s="1"/>
  <c r="BZ392" i="1"/>
  <c r="CB392" i="1" s="1"/>
  <c r="BZ384" i="1"/>
  <c r="CB384" i="1" s="1"/>
  <c r="BZ399" i="1"/>
  <c r="BZ391" i="1"/>
  <c r="CB391" i="1" s="1"/>
  <c r="BZ383" i="1"/>
  <c r="CB383" i="1" s="1"/>
  <c r="BZ398" i="1"/>
  <c r="CB398" i="1" s="1"/>
  <c r="BZ390" i="1"/>
  <c r="BZ382" i="1"/>
  <c r="CB382" i="1" s="1"/>
  <c r="BZ397" i="1"/>
  <c r="CB397" i="1" s="1"/>
  <c r="BZ389" i="1"/>
  <c r="BZ380" i="1"/>
  <c r="CO400" i="1"/>
  <c r="DG400" i="1" s="1"/>
  <c r="AU393" i="1"/>
  <c r="DH393" i="1" s="1"/>
  <c r="AU380" i="1"/>
  <c r="CO398" i="1"/>
  <c r="CP394" i="1"/>
  <c r="AU402" i="1"/>
  <c r="AU395" i="1"/>
  <c r="AU387" i="1"/>
  <c r="AU401" i="1"/>
  <c r="DH401" i="1" s="1"/>
  <c r="AU385" i="1"/>
  <c r="AU397" i="1"/>
  <c r="CO396" i="1"/>
  <c r="DG396" i="1" s="1"/>
  <c r="CO394" i="1"/>
  <c r="DG394" i="1" s="1"/>
  <c r="AU399" i="1"/>
  <c r="CL400" i="1"/>
  <c r="CP400" i="1" s="1"/>
  <c r="CJ396" i="1"/>
  <c r="CP396" i="1" s="1"/>
  <c r="CP397" i="1"/>
  <c r="AU383" i="1"/>
  <c r="AU396" i="1"/>
  <c r="AU388" i="1"/>
  <c r="AU379" i="1"/>
  <c r="CO401" i="1"/>
  <c r="DG401" i="1" s="1"/>
  <c r="CO399" i="1"/>
  <c r="DG399" i="1" s="1"/>
  <c r="CO395" i="1"/>
  <c r="CO393" i="1"/>
  <c r="DG393" i="1" s="1"/>
  <c r="CO402" i="1"/>
  <c r="DG402" i="1" s="1"/>
  <c r="AU391" i="1"/>
  <c r="CJ402" i="1"/>
  <c r="CP402" i="1" s="1"/>
  <c r="AU389" i="1"/>
  <c r="CJ398" i="1"/>
  <c r="CP398" i="1" s="1"/>
  <c r="AU394" i="1"/>
  <c r="DH394" i="1" s="1"/>
  <c r="AU386" i="1"/>
  <c r="AU398" i="1"/>
  <c r="DH398" i="1" s="1"/>
  <c r="AU390" i="1"/>
  <c r="AU382" i="1"/>
  <c r="CP401" i="1"/>
  <c r="CP393" i="1"/>
  <c r="AU400" i="1"/>
  <c r="AU392" i="1"/>
  <c r="AU384" i="1"/>
  <c r="CN399" i="1"/>
  <c r="CP399" i="1" s="1"/>
  <c r="CJ395" i="1"/>
  <c r="CP395" i="1" s="1"/>
  <c r="CO397" i="1"/>
  <c r="DG397" i="1" s="1"/>
  <c r="DH396" i="1" l="1"/>
  <c r="DH395" i="1"/>
  <c r="DH399" i="1"/>
  <c r="DH400" i="1"/>
  <c r="DH397" i="1"/>
  <c r="DI397" i="1" s="1"/>
  <c r="DH402" i="1"/>
  <c r="DI402" i="1" s="1"/>
  <c r="CI385" i="1"/>
  <c r="CJ385" i="1" s="1"/>
  <c r="CI383" i="1"/>
  <c r="CJ383" i="1" s="1"/>
  <c r="CB389" i="1"/>
  <c r="CD398" i="1"/>
  <c r="CD397" i="1"/>
  <c r="CD383" i="1"/>
  <c r="CM383" i="1" s="1"/>
  <c r="DI393" i="1"/>
  <c r="CI382" i="1"/>
  <c r="CD382" i="1"/>
  <c r="CM382" i="1" s="1"/>
  <c r="CN382" i="1" s="1"/>
  <c r="CI391" i="1"/>
  <c r="CD391" i="1"/>
  <c r="CM391" i="1" s="1"/>
  <c r="CN391" i="1" s="1"/>
  <c r="CD392" i="1"/>
  <c r="CM392" i="1" s="1"/>
  <c r="CN392" i="1" s="1"/>
  <c r="CI392" i="1"/>
  <c r="CD379" i="1"/>
  <c r="CM379" i="1" s="1"/>
  <c r="CN379" i="1" s="1"/>
  <c r="CI379" i="1"/>
  <c r="CD384" i="1"/>
  <c r="CM384" i="1" s="1"/>
  <c r="CN384" i="1" s="1"/>
  <c r="CI384" i="1"/>
  <c r="CD388" i="1"/>
  <c r="CM388" i="1" s="1"/>
  <c r="CN388" i="1" s="1"/>
  <c r="CI388" i="1"/>
  <c r="CB380" i="1"/>
  <c r="CB399" i="1"/>
  <c r="CD399" i="1" s="1"/>
  <c r="CD387" i="1"/>
  <c r="CM387" i="1" s="1"/>
  <c r="CN387" i="1" s="1"/>
  <c r="CI387" i="1"/>
  <c r="CD385" i="1"/>
  <c r="CM385" i="1" s="1"/>
  <c r="CN385" i="1" s="1"/>
  <c r="CD386" i="1"/>
  <c r="CM386" i="1" s="1"/>
  <c r="CN386" i="1" s="1"/>
  <c r="CI386" i="1"/>
  <c r="CB390" i="1"/>
  <c r="DI396" i="1"/>
  <c r="DI394" i="1"/>
  <c r="DI398" i="1"/>
  <c r="DI401" i="1"/>
  <c r="DI399" i="1"/>
  <c r="DI395" i="1"/>
  <c r="DI400" i="1"/>
  <c r="CP385" i="1" l="1"/>
  <c r="CO383" i="1"/>
  <c r="DG383" i="1" s="1"/>
  <c r="CI380" i="1"/>
  <c r="CJ380" i="1" s="1"/>
  <c r="CI390" i="1"/>
  <c r="CJ390" i="1" s="1"/>
  <c r="CI389" i="1"/>
  <c r="CJ389" i="1" s="1"/>
  <c r="CD389" i="1"/>
  <c r="CM389" i="1" s="1"/>
  <c r="CO385" i="1"/>
  <c r="DG385" i="1" s="1"/>
  <c r="CN383" i="1"/>
  <c r="CP383" i="1" s="1"/>
  <c r="CJ386" i="1"/>
  <c r="CP386" i="1" s="1"/>
  <c r="CO386" i="1"/>
  <c r="DG386" i="1" s="1"/>
  <c r="CJ388" i="1"/>
  <c r="CP388" i="1" s="1"/>
  <c r="CO388" i="1"/>
  <c r="DG388" i="1" s="1"/>
  <c r="CD390" i="1"/>
  <c r="CM390" i="1" s="1"/>
  <c r="CN390" i="1" s="1"/>
  <c r="CJ392" i="1"/>
  <c r="CP392" i="1" s="1"/>
  <c r="CO392" i="1"/>
  <c r="DG392" i="1" s="1"/>
  <c r="CD380" i="1"/>
  <c r="CM380" i="1" s="1"/>
  <c r="CN380" i="1" s="1"/>
  <c r="CO387" i="1"/>
  <c r="DG387" i="1" s="1"/>
  <c r="CJ387" i="1"/>
  <c r="CP387" i="1" s="1"/>
  <c r="CO382" i="1"/>
  <c r="DG382" i="1" s="1"/>
  <c r="CJ382" i="1"/>
  <c r="CP382" i="1" s="1"/>
  <c r="CJ384" i="1"/>
  <c r="CP384" i="1" s="1"/>
  <c r="CO384" i="1"/>
  <c r="DG384" i="1" s="1"/>
  <c r="CJ379" i="1"/>
  <c r="CP379" i="1" s="1"/>
  <c r="CO379" i="1"/>
  <c r="DG379" i="1" s="1"/>
  <c r="CJ391" i="1"/>
  <c r="CP391" i="1" s="1"/>
  <c r="CO391" i="1"/>
  <c r="DG391" i="1" s="1"/>
  <c r="CI240" i="1"/>
  <c r="CI230" i="1"/>
  <c r="DH379" i="1" l="1"/>
  <c r="DI379" i="1" s="1"/>
  <c r="DI392" i="1"/>
  <c r="DH392" i="1"/>
  <c r="DH383" i="1"/>
  <c r="DI383" i="1" s="1"/>
  <c r="DH384" i="1"/>
  <c r="DI384" i="1" s="1"/>
  <c r="DH388" i="1"/>
  <c r="DI388" i="1" s="1"/>
  <c r="DH382" i="1"/>
  <c r="DI382" i="1" s="1"/>
  <c r="DH387" i="1"/>
  <c r="DI387" i="1" s="1"/>
  <c r="DH391" i="1"/>
  <c r="DI391" i="1" s="1"/>
  <c r="DH386" i="1"/>
  <c r="DI386" i="1" s="1"/>
  <c r="DH385" i="1"/>
  <c r="DI385" i="1" s="1"/>
  <c r="CN389" i="1"/>
  <c r="CP389" i="1" s="1"/>
  <c r="CO389" i="1"/>
  <c r="DG389" i="1" s="1"/>
  <c r="CP390" i="1"/>
  <c r="CO390" i="1"/>
  <c r="DG390" i="1" s="1"/>
  <c r="CP380" i="1"/>
  <c r="CO380" i="1"/>
  <c r="DG380" i="1" s="1"/>
  <c r="X34" i="4"/>
  <c r="B37" i="7" s="1"/>
  <c r="Y34" i="4"/>
  <c r="B36" i="7" s="1"/>
  <c r="F33" i="4"/>
  <c r="H33" i="4"/>
  <c r="J33" i="4"/>
  <c r="N33" i="4"/>
  <c r="O33" i="4" s="1"/>
  <c r="S33" i="4"/>
  <c r="E34" i="4"/>
  <c r="T34" i="4"/>
  <c r="G34" i="4"/>
  <c r="I34" i="4"/>
  <c r="K34" i="4"/>
  <c r="L34" i="4"/>
  <c r="M34" i="4"/>
  <c r="P34" i="4"/>
  <c r="Q34" i="4"/>
  <c r="R34" i="4"/>
  <c r="CM355" i="1"/>
  <c r="CN355" i="1" s="1"/>
  <c r="CO357" i="1"/>
  <c r="CN358" i="1"/>
  <c r="CO365" i="1"/>
  <c r="CE252" i="1"/>
  <c r="CF252" i="1"/>
  <c r="CF251" i="1"/>
  <c r="CE251" i="1"/>
  <c r="CF250" i="1"/>
  <c r="CE250" i="1"/>
  <c r="CF249" i="1"/>
  <c r="CE249" i="1"/>
  <c r="CF248" i="1"/>
  <c r="CE248" i="1"/>
  <c r="CF247" i="1"/>
  <c r="CE247" i="1"/>
  <c r="CF246" i="1"/>
  <c r="CE246" i="1"/>
  <c r="CF245" i="1"/>
  <c r="CE245" i="1"/>
  <c r="CF244" i="1"/>
  <c r="CE244" i="1"/>
  <c r="CF243" i="1"/>
  <c r="CE243" i="1"/>
  <c r="CF242" i="1"/>
  <c r="CE242" i="1"/>
  <c r="CF241" i="1"/>
  <c r="CE241" i="1"/>
  <c r="CF240" i="1"/>
  <c r="CE240" i="1"/>
  <c r="CF239" i="1"/>
  <c r="CE239" i="1"/>
  <c r="CF238" i="1"/>
  <c r="CE238" i="1"/>
  <c r="CF237" i="1"/>
  <c r="CE237" i="1"/>
  <c r="CF236" i="1"/>
  <c r="CE236" i="1"/>
  <c r="CF235" i="1"/>
  <c r="CE235" i="1"/>
  <c r="CF234" i="1"/>
  <c r="CE234" i="1"/>
  <c r="CE233" i="1"/>
  <c r="CE232" i="1"/>
  <c r="CE231" i="1"/>
  <c r="CE230" i="1"/>
  <c r="CE229" i="1"/>
  <c r="CE209" i="1"/>
  <c r="CE208" i="1"/>
  <c r="CE207" i="1"/>
  <c r="CE206" i="1"/>
  <c r="CE205" i="1"/>
  <c r="CE204" i="1"/>
  <c r="CE203" i="1"/>
  <c r="CE202" i="1"/>
  <c r="CE201" i="1"/>
  <c r="CE200" i="1"/>
  <c r="CE199" i="1"/>
  <c r="CE198" i="1"/>
  <c r="CE197" i="1"/>
  <c r="CE196" i="1"/>
  <c r="CE195" i="1"/>
  <c r="CE194" i="1"/>
  <c r="BP196" i="1"/>
  <c r="BP197" i="1"/>
  <c r="BP198" i="1"/>
  <c r="BP199" i="1"/>
  <c r="BP200" i="1"/>
  <c r="BP201" i="1"/>
  <c r="BP202" i="1"/>
  <c r="BP203" i="1"/>
  <c r="BP204" i="1"/>
  <c r="BP205" i="1"/>
  <c r="BP206" i="1"/>
  <c r="BP207" i="1"/>
  <c r="BP208" i="1"/>
  <c r="BP209" i="1"/>
  <c r="CO311" i="1"/>
  <c r="CO314" i="1"/>
  <c r="CO316" i="1"/>
  <c r="CO317" i="1"/>
  <c r="CO318" i="1"/>
  <c r="CO320" i="1"/>
  <c r="CO321" i="1"/>
  <c r="CO323" i="1"/>
  <c r="CO325" i="1"/>
  <c r="CO326" i="1"/>
  <c r="CO327" i="1"/>
  <c r="CO328" i="1"/>
  <c r="CO329" i="1"/>
  <c r="CO330" i="1"/>
  <c r="CO331" i="1"/>
  <c r="CO333" i="1"/>
  <c r="CO334" i="1"/>
  <c r="CL278" i="1"/>
  <c r="CL279" i="1"/>
  <c r="CL280" i="1"/>
  <c r="CL281" i="1"/>
  <c r="CL282" i="1"/>
  <c r="CL283" i="1"/>
  <c r="CL284" i="1"/>
  <c r="CL286" i="1"/>
  <c r="CL287" i="1"/>
  <c r="CL288" i="1"/>
  <c r="CL289" i="1"/>
  <c r="CL290" i="1"/>
  <c r="CL292" i="1"/>
  <c r="CL293" i="1"/>
  <c r="CL295" i="1"/>
  <c r="CL296" i="1"/>
  <c r="CL353" i="1"/>
  <c r="CL354" i="1"/>
  <c r="CL358" i="1"/>
  <c r="CL361" i="1"/>
  <c r="CL362" i="1"/>
  <c r="CL366" i="1"/>
  <c r="CJ278" i="1"/>
  <c r="CJ279" i="1"/>
  <c r="CJ280" i="1"/>
  <c r="CJ281" i="1"/>
  <c r="CJ282" i="1"/>
  <c r="CJ283" i="1"/>
  <c r="CJ284" i="1"/>
  <c r="CJ285" i="1"/>
  <c r="CJ286" i="1"/>
  <c r="CJ287" i="1"/>
  <c r="CJ288" i="1"/>
  <c r="CJ289" i="1"/>
  <c r="CJ290" i="1"/>
  <c r="CJ291" i="1"/>
  <c r="CJ292" i="1"/>
  <c r="CJ293" i="1"/>
  <c r="CJ294" i="1"/>
  <c r="CJ295" i="1"/>
  <c r="CJ296" i="1"/>
  <c r="CJ354" i="1"/>
  <c r="CJ357" i="1"/>
  <c r="CJ358" i="1"/>
  <c r="CJ362" i="1"/>
  <c r="CJ365" i="1"/>
  <c r="CJ366" i="1"/>
  <c r="CM2" i="1"/>
  <c r="CM3" i="1"/>
  <c r="CN3" i="1" s="1"/>
  <c r="CM4" i="1"/>
  <c r="CN4" i="1" s="1"/>
  <c r="CM5" i="1"/>
  <c r="CN5" i="1" s="1"/>
  <c r="CM6" i="1"/>
  <c r="CN6" i="1" s="1"/>
  <c r="CM7" i="1"/>
  <c r="CN7" i="1" s="1"/>
  <c r="CM8" i="1"/>
  <c r="CN8" i="1" s="1"/>
  <c r="CM9" i="1"/>
  <c r="CN9" i="1" s="1"/>
  <c r="CM10" i="1"/>
  <c r="CN10" i="1" s="1"/>
  <c r="CM11" i="1"/>
  <c r="CN11" i="1" s="1"/>
  <c r="CM12" i="1"/>
  <c r="CN12" i="1" s="1"/>
  <c r="CM13" i="1"/>
  <c r="CN13" i="1" s="1"/>
  <c r="CM14" i="1"/>
  <c r="CN14" i="1" s="1"/>
  <c r="CM15" i="1"/>
  <c r="CN15" i="1" s="1"/>
  <c r="CM16" i="1"/>
  <c r="CN16" i="1" s="1"/>
  <c r="CM17" i="1"/>
  <c r="CN17" i="1" s="1"/>
  <c r="CM18" i="1"/>
  <c r="CN18" i="1" s="1"/>
  <c r="CM19" i="1"/>
  <c r="CN19" i="1" s="1"/>
  <c r="CM20" i="1"/>
  <c r="CN20" i="1" s="1"/>
  <c r="CM21" i="1"/>
  <c r="CN21" i="1" s="1"/>
  <c r="CM22" i="1"/>
  <c r="CN22" i="1" s="1"/>
  <c r="CM23" i="1"/>
  <c r="CN23" i="1" s="1"/>
  <c r="CM24" i="1"/>
  <c r="CN24" i="1" s="1"/>
  <c r="CM25" i="1"/>
  <c r="CN25" i="1" s="1"/>
  <c r="CM26" i="1"/>
  <c r="CN26" i="1" s="1"/>
  <c r="CM27" i="1"/>
  <c r="CN27" i="1" s="1"/>
  <c r="CM28" i="1"/>
  <c r="CN28" i="1" s="1"/>
  <c r="CM29" i="1"/>
  <c r="CN29" i="1" s="1"/>
  <c r="CM30" i="1"/>
  <c r="CN30" i="1" s="1"/>
  <c r="CM31" i="1"/>
  <c r="CN31" i="1" s="1"/>
  <c r="CM32" i="1"/>
  <c r="CN32" i="1" s="1"/>
  <c r="CM33" i="1"/>
  <c r="CN33" i="1" s="1"/>
  <c r="CM34" i="1"/>
  <c r="CN34" i="1" s="1"/>
  <c r="CM35" i="1"/>
  <c r="CN35" i="1" s="1"/>
  <c r="CM36" i="1"/>
  <c r="CN36" i="1" s="1"/>
  <c r="CM37" i="1"/>
  <c r="CN37" i="1" s="1"/>
  <c r="CM38" i="1"/>
  <c r="CN38" i="1" s="1"/>
  <c r="CM39" i="1"/>
  <c r="CN39" i="1" s="1"/>
  <c r="CM40" i="1"/>
  <c r="CN40" i="1" s="1"/>
  <c r="CM41" i="1"/>
  <c r="CN41" i="1" s="1"/>
  <c r="CM42" i="1"/>
  <c r="CN42" i="1" s="1"/>
  <c r="CM43" i="1"/>
  <c r="CN43" i="1" s="1"/>
  <c r="CM44" i="1"/>
  <c r="CN44" i="1" s="1"/>
  <c r="CM45" i="1"/>
  <c r="CN45" i="1" s="1"/>
  <c r="CM46" i="1"/>
  <c r="CN46" i="1" s="1"/>
  <c r="CM47" i="1"/>
  <c r="CN47" i="1" s="1"/>
  <c r="CM48" i="1"/>
  <c r="CN48" i="1" s="1"/>
  <c r="CM49" i="1"/>
  <c r="CN49" i="1" s="1"/>
  <c r="CM50" i="1"/>
  <c r="CN50" i="1" s="1"/>
  <c r="CM51" i="1"/>
  <c r="CN51" i="1" s="1"/>
  <c r="CM52" i="1"/>
  <c r="CN52" i="1" s="1"/>
  <c r="CM53" i="1"/>
  <c r="CN53" i="1" s="1"/>
  <c r="CM54" i="1"/>
  <c r="CN54" i="1" s="1"/>
  <c r="CM55" i="1"/>
  <c r="CN55" i="1" s="1"/>
  <c r="CM56" i="1"/>
  <c r="CN56" i="1" s="1"/>
  <c r="CM57" i="1"/>
  <c r="CN57" i="1" s="1"/>
  <c r="CM58" i="1"/>
  <c r="CN58" i="1" s="1"/>
  <c r="CM59" i="1"/>
  <c r="CN59" i="1" s="1"/>
  <c r="CM60" i="1"/>
  <c r="CN60" i="1" s="1"/>
  <c r="CM61" i="1"/>
  <c r="CN61" i="1" s="1"/>
  <c r="CM62" i="1"/>
  <c r="CN62" i="1" s="1"/>
  <c r="CM63" i="1"/>
  <c r="CN63" i="1" s="1"/>
  <c r="CM64" i="1"/>
  <c r="CN64" i="1" s="1"/>
  <c r="CM65" i="1"/>
  <c r="CN65" i="1" s="1"/>
  <c r="CM66" i="1"/>
  <c r="CN66" i="1" s="1"/>
  <c r="CM67" i="1"/>
  <c r="CN67" i="1" s="1"/>
  <c r="CM68" i="1"/>
  <c r="CN68" i="1" s="1"/>
  <c r="CM69" i="1"/>
  <c r="CN69" i="1" s="1"/>
  <c r="CM70" i="1"/>
  <c r="CN70" i="1" s="1"/>
  <c r="CM71" i="1"/>
  <c r="CN71" i="1" s="1"/>
  <c r="CM72" i="1"/>
  <c r="CN72" i="1" s="1"/>
  <c r="CM73" i="1"/>
  <c r="CN73" i="1" s="1"/>
  <c r="CM74" i="1"/>
  <c r="CN74" i="1" s="1"/>
  <c r="CM75" i="1"/>
  <c r="CN75" i="1" s="1"/>
  <c r="CM76" i="1"/>
  <c r="CN76" i="1" s="1"/>
  <c r="CM77" i="1"/>
  <c r="CN77" i="1" s="1"/>
  <c r="CM78" i="1"/>
  <c r="CN78" i="1" s="1"/>
  <c r="CM79" i="1"/>
  <c r="CN79" i="1" s="1"/>
  <c r="CM80" i="1"/>
  <c r="CN80" i="1" s="1"/>
  <c r="CM81" i="1"/>
  <c r="CN81" i="1" s="1"/>
  <c r="CM82" i="1"/>
  <c r="CN82" i="1" s="1"/>
  <c r="CM83" i="1"/>
  <c r="CN83" i="1" s="1"/>
  <c r="CM84" i="1"/>
  <c r="CN84" i="1" s="1"/>
  <c r="CM85" i="1"/>
  <c r="CN85" i="1" s="1"/>
  <c r="CM86" i="1"/>
  <c r="CN86" i="1" s="1"/>
  <c r="CM87" i="1"/>
  <c r="CN87" i="1" s="1"/>
  <c r="CM88" i="1"/>
  <c r="CN88" i="1" s="1"/>
  <c r="CM89" i="1"/>
  <c r="CN89" i="1" s="1"/>
  <c r="CM90" i="1"/>
  <c r="CN90" i="1" s="1"/>
  <c r="CM91" i="1"/>
  <c r="CN91" i="1" s="1"/>
  <c r="CM92" i="1"/>
  <c r="CN92" i="1" s="1"/>
  <c r="CM93" i="1"/>
  <c r="CN93" i="1" s="1"/>
  <c r="CM94" i="1"/>
  <c r="CN94" i="1" s="1"/>
  <c r="CM95" i="1"/>
  <c r="CN95" i="1" s="1"/>
  <c r="CM96" i="1"/>
  <c r="CN96" i="1" s="1"/>
  <c r="CM97" i="1"/>
  <c r="CN97" i="1" s="1"/>
  <c r="CM98" i="1"/>
  <c r="CN98" i="1" s="1"/>
  <c r="CM99" i="1"/>
  <c r="CN99" i="1" s="1"/>
  <c r="CM100" i="1"/>
  <c r="CN100" i="1" s="1"/>
  <c r="CM101" i="1"/>
  <c r="CN101" i="1" s="1"/>
  <c r="CM102" i="1"/>
  <c r="CN102" i="1" s="1"/>
  <c r="CM103" i="1"/>
  <c r="CN103" i="1" s="1"/>
  <c r="CM104" i="1"/>
  <c r="CN104" i="1" s="1"/>
  <c r="CM105" i="1"/>
  <c r="CN105" i="1" s="1"/>
  <c r="CM106" i="1"/>
  <c r="CN106" i="1" s="1"/>
  <c r="CM107" i="1"/>
  <c r="CN107" i="1" s="1"/>
  <c r="CM108" i="1"/>
  <c r="CN108" i="1" s="1"/>
  <c r="CM109" i="1"/>
  <c r="CN109" i="1" s="1"/>
  <c r="CM110" i="1"/>
  <c r="CN110" i="1" s="1"/>
  <c r="CM111" i="1"/>
  <c r="CN111" i="1" s="1"/>
  <c r="CM112" i="1"/>
  <c r="CN112" i="1" s="1"/>
  <c r="CM113" i="1"/>
  <c r="CN113" i="1" s="1"/>
  <c r="CM114" i="1"/>
  <c r="CN114" i="1" s="1"/>
  <c r="CM115" i="1"/>
  <c r="CN115" i="1" s="1"/>
  <c r="CM116" i="1"/>
  <c r="CN116" i="1" s="1"/>
  <c r="CM117" i="1"/>
  <c r="CN117" i="1" s="1"/>
  <c r="CM118" i="1"/>
  <c r="CN118" i="1" s="1"/>
  <c r="CM119" i="1"/>
  <c r="CN119" i="1" s="1"/>
  <c r="CM120" i="1"/>
  <c r="CN120" i="1" s="1"/>
  <c r="CM121" i="1"/>
  <c r="CN121" i="1" s="1"/>
  <c r="CM122" i="1"/>
  <c r="CN122" i="1" s="1"/>
  <c r="CM123" i="1"/>
  <c r="CN123" i="1" s="1"/>
  <c r="CM124" i="1"/>
  <c r="CN124" i="1" s="1"/>
  <c r="CM125" i="1"/>
  <c r="CN125" i="1" s="1"/>
  <c r="CM126" i="1"/>
  <c r="CN126" i="1" s="1"/>
  <c r="CM127" i="1"/>
  <c r="CN127" i="1" s="1"/>
  <c r="CM128" i="1"/>
  <c r="CN128" i="1" s="1"/>
  <c r="CM129" i="1"/>
  <c r="CN129" i="1" s="1"/>
  <c r="CM130" i="1"/>
  <c r="CN130" i="1" s="1"/>
  <c r="CM131" i="1"/>
  <c r="CN131" i="1" s="1"/>
  <c r="CM132" i="1"/>
  <c r="CN132" i="1" s="1"/>
  <c r="CM133" i="1"/>
  <c r="CN133" i="1" s="1"/>
  <c r="CM134" i="1"/>
  <c r="CN134" i="1" s="1"/>
  <c r="CM135" i="1"/>
  <c r="CN135" i="1" s="1"/>
  <c r="CM136" i="1"/>
  <c r="CN136" i="1" s="1"/>
  <c r="CM137" i="1"/>
  <c r="CN137" i="1" s="1"/>
  <c r="CM138" i="1"/>
  <c r="CN138" i="1" s="1"/>
  <c r="CM139" i="1"/>
  <c r="CN139" i="1" s="1"/>
  <c r="CM140" i="1"/>
  <c r="CN140" i="1" s="1"/>
  <c r="CM141" i="1"/>
  <c r="CN141" i="1" s="1"/>
  <c r="CM142" i="1"/>
  <c r="CN142" i="1" s="1"/>
  <c r="CM143" i="1"/>
  <c r="CN143" i="1" s="1"/>
  <c r="CM144" i="1"/>
  <c r="CN144" i="1" s="1"/>
  <c r="CM145" i="1"/>
  <c r="CN145" i="1" s="1"/>
  <c r="CM146" i="1"/>
  <c r="CN146" i="1" s="1"/>
  <c r="CM147" i="1"/>
  <c r="CN147" i="1" s="1"/>
  <c r="CM148" i="1"/>
  <c r="CN148" i="1" s="1"/>
  <c r="CM149" i="1"/>
  <c r="CN149" i="1" s="1"/>
  <c r="CM150" i="1"/>
  <c r="CN150" i="1" s="1"/>
  <c r="CM151" i="1"/>
  <c r="CN151" i="1" s="1"/>
  <c r="CM152" i="1"/>
  <c r="CN152" i="1" s="1"/>
  <c r="CM153" i="1"/>
  <c r="CN153" i="1" s="1"/>
  <c r="CM154" i="1"/>
  <c r="CN154" i="1" s="1"/>
  <c r="CM155" i="1"/>
  <c r="CN155" i="1" s="1"/>
  <c r="CM156" i="1"/>
  <c r="CN156" i="1" s="1"/>
  <c r="CM157" i="1"/>
  <c r="CN157" i="1" s="1"/>
  <c r="CM158" i="1"/>
  <c r="CN158" i="1" s="1"/>
  <c r="CM159" i="1"/>
  <c r="CN159" i="1" s="1"/>
  <c r="CM160" i="1"/>
  <c r="CN160" i="1" s="1"/>
  <c r="CM161" i="1"/>
  <c r="CN161" i="1" s="1"/>
  <c r="CM162" i="1"/>
  <c r="CN162" i="1" s="1"/>
  <c r="CM163" i="1"/>
  <c r="CN163" i="1" s="1"/>
  <c r="CM164" i="1"/>
  <c r="CN164" i="1" s="1"/>
  <c r="CM165" i="1"/>
  <c r="CN165" i="1" s="1"/>
  <c r="CM166" i="1"/>
  <c r="CN166" i="1" s="1"/>
  <c r="CM167" i="1"/>
  <c r="CN167" i="1" s="1"/>
  <c r="CM168" i="1"/>
  <c r="CN168" i="1" s="1"/>
  <c r="CM169" i="1"/>
  <c r="CN169" i="1" s="1"/>
  <c r="CM170" i="1"/>
  <c r="CN170" i="1" s="1"/>
  <c r="CM171" i="1"/>
  <c r="CN171" i="1" s="1"/>
  <c r="CM172" i="1"/>
  <c r="CN172" i="1" s="1"/>
  <c r="CM173" i="1"/>
  <c r="CN173" i="1" s="1"/>
  <c r="CM174" i="1"/>
  <c r="CN174" i="1" s="1"/>
  <c r="CM175" i="1"/>
  <c r="CN175" i="1" s="1"/>
  <c r="CM176" i="1"/>
  <c r="CN176" i="1" s="1"/>
  <c r="CM177" i="1"/>
  <c r="CN177" i="1" s="1"/>
  <c r="CM178" i="1"/>
  <c r="CN178" i="1" s="1"/>
  <c r="CM179" i="1"/>
  <c r="CN179" i="1" s="1"/>
  <c r="CM180" i="1"/>
  <c r="CN180" i="1" s="1"/>
  <c r="CM181" i="1"/>
  <c r="CN181" i="1" s="1"/>
  <c r="CM182" i="1"/>
  <c r="CN182" i="1" s="1"/>
  <c r="CM183" i="1"/>
  <c r="CN183" i="1" s="1"/>
  <c r="CM184" i="1"/>
  <c r="CN184" i="1" s="1"/>
  <c r="CM185" i="1"/>
  <c r="CN185" i="1" s="1"/>
  <c r="CM186" i="1"/>
  <c r="CN186" i="1" s="1"/>
  <c r="CM187" i="1"/>
  <c r="CN187" i="1" s="1"/>
  <c r="CM188" i="1"/>
  <c r="CN188" i="1" s="1"/>
  <c r="CM189" i="1"/>
  <c r="CN189" i="1" s="1"/>
  <c r="CM190" i="1"/>
  <c r="CN190" i="1" s="1"/>
  <c r="CM191" i="1"/>
  <c r="CN191" i="1" s="1"/>
  <c r="CM192" i="1"/>
  <c r="CN192" i="1" s="1"/>
  <c r="CM193" i="1"/>
  <c r="CN193" i="1" s="1"/>
  <c r="CM194" i="1"/>
  <c r="CN194" i="1" s="1"/>
  <c r="CM195" i="1"/>
  <c r="CM196" i="1"/>
  <c r="CN196" i="1" s="1"/>
  <c r="CM197" i="1"/>
  <c r="CN197" i="1" s="1"/>
  <c r="CM198" i="1"/>
  <c r="CN198" i="1" s="1"/>
  <c r="CM201" i="1"/>
  <c r="CN201" i="1" s="1"/>
  <c r="CM210" i="1"/>
  <c r="CN210" i="1" s="1"/>
  <c r="CM211" i="1"/>
  <c r="CN211" i="1" s="1"/>
  <c r="CM212" i="1"/>
  <c r="CN212" i="1" s="1"/>
  <c r="CM213" i="1"/>
  <c r="CN213" i="1" s="1"/>
  <c r="CM214" i="1"/>
  <c r="CN214" i="1" s="1"/>
  <c r="CM215" i="1"/>
  <c r="CN215" i="1" s="1"/>
  <c r="CM216" i="1"/>
  <c r="CN216" i="1" s="1"/>
  <c r="CM217" i="1"/>
  <c r="CN217" i="1" s="1"/>
  <c r="CM218" i="1"/>
  <c r="CN218" i="1" s="1"/>
  <c r="CM219" i="1"/>
  <c r="CN219" i="1" s="1"/>
  <c r="CM220" i="1"/>
  <c r="CN220" i="1" s="1"/>
  <c r="CM221" i="1"/>
  <c r="CN221" i="1" s="1"/>
  <c r="CM222" i="1"/>
  <c r="CN222" i="1" s="1"/>
  <c r="CM223" i="1"/>
  <c r="CN223" i="1" s="1"/>
  <c r="CM224" i="1"/>
  <c r="CN224" i="1" s="1"/>
  <c r="CM225" i="1"/>
  <c r="CN225" i="1" s="1"/>
  <c r="CM226" i="1"/>
  <c r="CN226" i="1" s="1"/>
  <c r="CM227" i="1"/>
  <c r="CN227" i="1" s="1"/>
  <c r="CM228" i="1"/>
  <c r="CN228" i="1" s="1"/>
  <c r="CM229" i="1"/>
  <c r="CN229" i="1" s="1"/>
  <c r="CM230" i="1"/>
  <c r="CM231" i="1"/>
  <c r="CN231" i="1" s="1"/>
  <c r="CM232" i="1"/>
  <c r="CN232" i="1" s="1"/>
  <c r="CM233" i="1"/>
  <c r="CN233" i="1" s="1"/>
  <c r="CM234" i="1"/>
  <c r="CM235" i="1"/>
  <c r="CM236" i="1"/>
  <c r="CM237" i="1"/>
  <c r="CN237" i="1" s="1"/>
  <c r="CM238" i="1"/>
  <c r="CM239" i="1"/>
  <c r="CM240" i="1"/>
  <c r="CM241" i="1"/>
  <c r="CN241" i="1" s="1"/>
  <c r="CM242" i="1"/>
  <c r="CM243" i="1"/>
  <c r="CM244" i="1"/>
  <c r="CM245" i="1"/>
  <c r="CN245" i="1" s="1"/>
  <c r="CM246" i="1"/>
  <c r="CM247" i="1"/>
  <c r="CM248" i="1"/>
  <c r="CM249" i="1"/>
  <c r="CN249" i="1" s="1"/>
  <c r="CM250" i="1"/>
  <c r="CM251" i="1"/>
  <c r="CM252" i="1"/>
  <c r="CN252" i="1" s="1"/>
  <c r="CM253" i="1"/>
  <c r="CN253" i="1" s="1"/>
  <c r="CM254" i="1"/>
  <c r="CN254" i="1" s="1"/>
  <c r="CM255" i="1"/>
  <c r="CN255" i="1" s="1"/>
  <c r="CM256" i="1"/>
  <c r="CN256" i="1" s="1"/>
  <c r="CM257" i="1"/>
  <c r="CN257" i="1" s="1"/>
  <c r="CM258" i="1"/>
  <c r="CN258" i="1" s="1"/>
  <c r="CM259" i="1"/>
  <c r="CN259" i="1" s="1"/>
  <c r="CM260" i="1"/>
  <c r="CN260" i="1" s="1"/>
  <c r="CM261" i="1"/>
  <c r="CN261" i="1" s="1"/>
  <c r="CM262" i="1"/>
  <c r="CN262" i="1" s="1"/>
  <c r="CM263" i="1"/>
  <c r="CN263" i="1" s="1"/>
  <c r="CM264" i="1"/>
  <c r="CN264" i="1" s="1"/>
  <c r="CM265" i="1"/>
  <c r="CN265" i="1" s="1"/>
  <c r="CM266" i="1"/>
  <c r="CN266" i="1" s="1"/>
  <c r="CM267" i="1"/>
  <c r="CN267" i="1" s="1"/>
  <c r="CM268" i="1"/>
  <c r="CN268" i="1" s="1"/>
  <c r="CM269" i="1"/>
  <c r="CN269" i="1" s="1"/>
  <c r="CM270" i="1"/>
  <c r="CN270" i="1" s="1"/>
  <c r="CM271" i="1"/>
  <c r="CN271" i="1" s="1"/>
  <c r="CM272" i="1"/>
  <c r="CN272" i="1" s="1"/>
  <c r="CM273" i="1"/>
  <c r="CN273" i="1" s="1"/>
  <c r="CM274" i="1"/>
  <c r="CN274" i="1" s="1"/>
  <c r="CM275" i="1"/>
  <c r="CN275" i="1" s="1"/>
  <c r="CM276" i="1"/>
  <c r="CN276" i="1" s="1"/>
  <c r="CM277" i="1"/>
  <c r="CN277" i="1" s="1"/>
  <c r="CM278" i="1"/>
  <c r="CM279" i="1"/>
  <c r="CM280" i="1"/>
  <c r="CM281" i="1"/>
  <c r="CM282" i="1"/>
  <c r="CM283" i="1"/>
  <c r="CM284" i="1"/>
  <c r="CM285" i="1"/>
  <c r="CN285" i="1" s="1"/>
  <c r="CM286" i="1"/>
  <c r="CM287" i="1"/>
  <c r="CM288" i="1"/>
  <c r="CM289" i="1"/>
  <c r="CM290" i="1"/>
  <c r="CM291" i="1"/>
  <c r="CN291" i="1" s="1"/>
  <c r="CM292" i="1"/>
  <c r="CM293" i="1"/>
  <c r="CM294" i="1"/>
  <c r="CN294" i="1" s="1"/>
  <c r="CM295" i="1"/>
  <c r="CM296" i="1"/>
  <c r="CM297" i="1"/>
  <c r="CN297" i="1" s="1"/>
  <c r="CM298" i="1"/>
  <c r="CN298" i="1" s="1"/>
  <c r="CM299" i="1"/>
  <c r="CN299" i="1" s="1"/>
  <c r="CM300" i="1"/>
  <c r="CN300" i="1" s="1"/>
  <c r="CM301" i="1"/>
  <c r="CN301" i="1" s="1"/>
  <c r="CM302" i="1"/>
  <c r="CN302" i="1" s="1"/>
  <c r="CM303" i="1"/>
  <c r="CN303" i="1" s="1"/>
  <c r="CM304" i="1"/>
  <c r="CN304" i="1" s="1"/>
  <c r="CM305" i="1"/>
  <c r="CN305" i="1" s="1"/>
  <c r="CM306" i="1"/>
  <c r="CN306" i="1" s="1"/>
  <c r="CM307" i="1"/>
  <c r="CN307" i="1" s="1"/>
  <c r="CM308" i="1"/>
  <c r="CN308" i="1" s="1"/>
  <c r="CM309" i="1"/>
  <c r="CN309" i="1" s="1"/>
  <c r="CM310" i="1"/>
  <c r="CN310" i="1" s="1"/>
  <c r="CM335" i="1"/>
  <c r="CN335" i="1" s="1"/>
  <c r="CM336" i="1"/>
  <c r="CN336" i="1" s="1"/>
  <c r="CM337" i="1"/>
  <c r="CN337" i="1" s="1"/>
  <c r="CM338" i="1"/>
  <c r="CN338" i="1" s="1"/>
  <c r="CM339" i="1"/>
  <c r="CN339" i="1" s="1"/>
  <c r="CM340" i="1"/>
  <c r="CN340" i="1" s="1"/>
  <c r="CM341" i="1"/>
  <c r="CN341" i="1" s="1"/>
  <c r="CM342" i="1"/>
  <c r="CN342" i="1" s="1"/>
  <c r="CM343" i="1"/>
  <c r="CN343" i="1" s="1"/>
  <c r="CM344" i="1"/>
  <c r="CN344" i="1" s="1"/>
  <c r="CM345" i="1"/>
  <c r="CN345" i="1" s="1"/>
  <c r="CM346" i="1"/>
  <c r="CN346" i="1" s="1"/>
  <c r="CM347" i="1"/>
  <c r="CN347" i="1" s="1"/>
  <c r="CM348" i="1"/>
  <c r="CN348" i="1" s="1"/>
  <c r="CM349" i="1"/>
  <c r="CN349" i="1" s="1"/>
  <c r="CM350" i="1"/>
  <c r="CN350" i="1" s="1"/>
  <c r="CN351" i="1"/>
  <c r="CN352" i="1"/>
  <c r="CN353" i="1"/>
  <c r="CN354" i="1"/>
  <c r="CN356" i="1"/>
  <c r="CN357" i="1"/>
  <c r="CN359" i="1"/>
  <c r="CN360" i="1"/>
  <c r="CN361" i="1"/>
  <c r="CN362" i="1"/>
  <c r="CN363" i="1"/>
  <c r="CN364" i="1"/>
  <c r="CN365" i="1"/>
  <c r="CM366" i="1"/>
  <c r="CN367" i="1"/>
  <c r="CM368" i="1"/>
  <c r="CN368" i="1" s="1"/>
  <c r="CM369" i="1"/>
  <c r="CN369" i="1" s="1"/>
  <c r="CM370" i="1"/>
  <c r="CN370" i="1" s="1"/>
  <c r="CM371" i="1"/>
  <c r="CN371" i="1" s="1"/>
  <c r="CM372" i="1"/>
  <c r="CN372" i="1" s="1"/>
  <c r="CM373" i="1"/>
  <c r="CN373" i="1" s="1"/>
  <c r="CM374" i="1"/>
  <c r="CN374" i="1" s="1"/>
  <c r="CM375" i="1"/>
  <c r="CN375" i="1" s="1"/>
  <c r="CM376" i="1"/>
  <c r="CN376" i="1" s="1"/>
  <c r="CM377" i="1"/>
  <c r="CN377" i="1" s="1"/>
  <c r="CM378" i="1"/>
  <c r="CN378" i="1" s="1"/>
  <c r="CK2" i="1"/>
  <c r="CK3" i="1"/>
  <c r="CL3" i="1" s="1"/>
  <c r="CK4" i="1"/>
  <c r="CL4" i="1" s="1"/>
  <c r="CK5" i="1"/>
  <c r="CL5" i="1" s="1"/>
  <c r="CK6" i="1"/>
  <c r="CL6" i="1" s="1"/>
  <c r="CK7" i="1"/>
  <c r="CL7" i="1" s="1"/>
  <c r="CK8" i="1"/>
  <c r="CL8" i="1" s="1"/>
  <c r="CK9" i="1"/>
  <c r="CL9" i="1" s="1"/>
  <c r="CK10" i="1"/>
  <c r="CL10" i="1" s="1"/>
  <c r="CK11" i="1"/>
  <c r="CL11" i="1" s="1"/>
  <c r="CK12" i="1"/>
  <c r="CL12" i="1" s="1"/>
  <c r="CK13" i="1"/>
  <c r="CL13" i="1" s="1"/>
  <c r="CK14" i="1"/>
  <c r="CL14" i="1" s="1"/>
  <c r="CK15" i="1"/>
  <c r="CL15" i="1" s="1"/>
  <c r="CK16" i="1"/>
  <c r="CL16" i="1" s="1"/>
  <c r="CK17" i="1"/>
  <c r="CL17" i="1" s="1"/>
  <c r="CK18" i="1"/>
  <c r="CL18" i="1" s="1"/>
  <c r="CK19" i="1"/>
  <c r="CL19" i="1" s="1"/>
  <c r="CK20" i="1"/>
  <c r="CL20" i="1" s="1"/>
  <c r="CK21" i="1"/>
  <c r="CL21" i="1" s="1"/>
  <c r="CK22" i="1"/>
  <c r="CL22" i="1" s="1"/>
  <c r="CK23" i="1"/>
  <c r="CL23" i="1" s="1"/>
  <c r="CK24" i="1"/>
  <c r="CL24" i="1" s="1"/>
  <c r="CK25" i="1"/>
  <c r="CL25" i="1" s="1"/>
  <c r="CK26" i="1"/>
  <c r="CL26" i="1" s="1"/>
  <c r="CK27" i="1"/>
  <c r="CL27" i="1" s="1"/>
  <c r="CK28" i="1"/>
  <c r="CL28" i="1" s="1"/>
  <c r="CK29" i="1"/>
  <c r="CL29" i="1" s="1"/>
  <c r="CK30" i="1"/>
  <c r="CL30" i="1" s="1"/>
  <c r="CK31" i="1"/>
  <c r="CL31" i="1" s="1"/>
  <c r="CK32" i="1"/>
  <c r="CL32" i="1" s="1"/>
  <c r="CK33" i="1"/>
  <c r="CL33" i="1" s="1"/>
  <c r="CK34" i="1"/>
  <c r="CL34" i="1" s="1"/>
  <c r="CK35" i="1"/>
  <c r="CL35" i="1" s="1"/>
  <c r="CK36" i="1"/>
  <c r="CL36" i="1" s="1"/>
  <c r="CK37" i="1"/>
  <c r="CL37" i="1" s="1"/>
  <c r="CK38" i="1"/>
  <c r="CL38" i="1" s="1"/>
  <c r="CK39" i="1"/>
  <c r="CL39" i="1" s="1"/>
  <c r="CK40" i="1"/>
  <c r="CL40" i="1" s="1"/>
  <c r="CK41" i="1"/>
  <c r="CL41" i="1" s="1"/>
  <c r="CK42" i="1"/>
  <c r="CL42" i="1" s="1"/>
  <c r="CK43" i="1"/>
  <c r="CL43" i="1" s="1"/>
  <c r="CK44" i="1"/>
  <c r="CL44" i="1" s="1"/>
  <c r="CK45" i="1"/>
  <c r="CL45" i="1" s="1"/>
  <c r="CK46" i="1"/>
  <c r="CL46" i="1" s="1"/>
  <c r="CK47" i="1"/>
  <c r="CL47" i="1" s="1"/>
  <c r="CK48" i="1"/>
  <c r="CL48" i="1" s="1"/>
  <c r="CK49" i="1"/>
  <c r="CL49" i="1" s="1"/>
  <c r="CK50" i="1"/>
  <c r="CL50" i="1" s="1"/>
  <c r="CK51" i="1"/>
  <c r="CL51" i="1" s="1"/>
  <c r="CK52" i="1"/>
  <c r="CL52" i="1" s="1"/>
  <c r="CK53" i="1"/>
  <c r="CL53" i="1" s="1"/>
  <c r="CK54" i="1"/>
  <c r="CL54" i="1" s="1"/>
  <c r="CK55" i="1"/>
  <c r="CL55" i="1" s="1"/>
  <c r="CK56" i="1"/>
  <c r="CL56" i="1" s="1"/>
  <c r="CK57" i="1"/>
  <c r="CL57" i="1" s="1"/>
  <c r="CK58" i="1"/>
  <c r="CL58" i="1" s="1"/>
  <c r="CK59" i="1"/>
  <c r="CL59" i="1" s="1"/>
  <c r="CK60" i="1"/>
  <c r="CL60" i="1" s="1"/>
  <c r="CK61" i="1"/>
  <c r="CL61" i="1" s="1"/>
  <c r="CK62" i="1"/>
  <c r="CL62" i="1" s="1"/>
  <c r="CK63" i="1"/>
  <c r="CL63" i="1" s="1"/>
  <c r="CK64" i="1"/>
  <c r="CL64" i="1" s="1"/>
  <c r="CK65" i="1"/>
  <c r="CL65" i="1" s="1"/>
  <c r="CK66" i="1"/>
  <c r="CL66" i="1" s="1"/>
  <c r="CK67" i="1"/>
  <c r="CL67" i="1" s="1"/>
  <c r="CK68" i="1"/>
  <c r="CL68" i="1" s="1"/>
  <c r="CK69" i="1"/>
  <c r="CL69" i="1" s="1"/>
  <c r="CK70" i="1"/>
  <c r="CL70" i="1" s="1"/>
  <c r="CK71" i="1"/>
  <c r="CL71" i="1" s="1"/>
  <c r="CK72" i="1"/>
  <c r="CL72" i="1" s="1"/>
  <c r="CK73" i="1"/>
  <c r="CL73" i="1" s="1"/>
  <c r="CK74" i="1"/>
  <c r="CL74" i="1" s="1"/>
  <c r="CK75" i="1"/>
  <c r="CL75" i="1" s="1"/>
  <c r="CK76" i="1"/>
  <c r="CL76" i="1" s="1"/>
  <c r="CK77" i="1"/>
  <c r="CL77" i="1" s="1"/>
  <c r="CK78" i="1"/>
  <c r="CL78" i="1" s="1"/>
  <c r="CK79" i="1"/>
  <c r="CL79" i="1" s="1"/>
  <c r="CK80" i="1"/>
  <c r="CL80" i="1" s="1"/>
  <c r="CK81" i="1"/>
  <c r="CL81" i="1" s="1"/>
  <c r="CK82" i="1"/>
  <c r="CL82" i="1" s="1"/>
  <c r="CK83" i="1"/>
  <c r="CL83" i="1" s="1"/>
  <c r="CK84" i="1"/>
  <c r="CL84" i="1" s="1"/>
  <c r="CK85" i="1"/>
  <c r="CL85" i="1" s="1"/>
  <c r="CK86" i="1"/>
  <c r="CL86" i="1" s="1"/>
  <c r="CK87" i="1"/>
  <c r="CL87" i="1" s="1"/>
  <c r="CK88" i="1"/>
  <c r="CL88" i="1" s="1"/>
  <c r="CK89" i="1"/>
  <c r="CL89" i="1" s="1"/>
  <c r="CK90" i="1"/>
  <c r="CL90" i="1" s="1"/>
  <c r="CK91" i="1"/>
  <c r="CL91" i="1" s="1"/>
  <c r="CK92" i="1"/>
  <c r="CL92" i="1" s="1"/>
  <c r="CK93" i="1"/>
  <c r="CL93" i="1" s="1"/>
  <c r="CK94" i="1"/>
  <c r="CL94" i="1" s="1"/>
  <c r="CK95" i="1"/>
  <c r="CL95" i="1" s="1"/>
  <c r="CK96" i="1"/>
  <c r="CL96" i="1" s="1"/>
  <c r="CK97" i="1"/>
  <c r="CL97" i="1" s="1"/>
  <c r="CK98" i="1"/>
  <c r="CL98" i="1" s="1"/>
  <c r="CK99" i="1"/>
  <c r="CL99" i="1" s="1"/>
  <c r="CK100" i="1"/>
  <c r="CL100" i="1" s="1"/>
  <c r="CK101" i="1"/>
  <c r="CL101" i="1" s="1"/>
  <c r="CK102" i="1"/>
  <c r="CL102" i="1" s="1"/>
  <c r="CK103" i="1"/>
  <c r="CL103" i="1" s="1"/>
  <c r="CK104" i="1"/>
  <c r="CL104" i="1" s="1"/>
  <c r="CK105" i="1"/>
  <c r="CL105" i="1" s="1"/>
  <c r="CK106" i="1"/>
  <c r="CL106" i="1" s="1"/>
  <c r="CK107" i="1"/>
  <c r="CL107" i="1" s="1"/>
  <c r="CK108" i="1"/>
  <c r="CL108" i="1" s="1"/>
  <c r="CK109" i="1"/>
  <c r="CL109" i="1" s="1"/>
  <c r="CK110" i="1"/>
  <c r="CL110" i="1" s="1"/>
  <c r="CK111" i="1"/>
  <c r="CL111" i="1" s="1"/>
  <c r="CK112" i="1"/>
  <c r="CL112" i="1" s="1"/>
  <c r="CK113" i="1"/>
  <c r="CL113" i="1" s="1"/>
  <c r="CK114" i="1"/>
  <c r="CL114" i="1" s="1"/>
  <c r="CK115" i="1"/>
  <c r="CL115" i="1" s="1"/>
  <c r="CK116" i="1"/>
  <c r="CL116" i="1" s="1"/>
  <c r="CK117" i="1"/>
  <c r="CL117" i="1" s="1"/>
  <c r="CK118" i="1"/>
  <c r="CL118" i="1" s="1"/>
  <c r="CK119" i="1"/>
  <c r="CL119" i="1" s="1"/>
  <c r="CK120" i="1"/>
  <c r="CL120" i="1" s="1"/>
  <c r="CK121" i="1"/>
  <c r="CL121" i="1" s="1"/>
  <c r="CK122" i="1"/>
  <c r="CL122" i="1" s="1"/>
  <c r="CK123" i="1"/>
  <c r="CL123" i="1" s="1"/>
  <c r="CK124" i="1"/>
  <c r="CL124" i="1" s="1"/>
  <c r="CK125" i="1"/>
  <c r="CL125" i="1" s="1"/>
  <c r="CK126" i="1"/>
  <c r="CL126" i="1" s="1"/>
  <c r="CK127" i="1"/>
  <c r="CL127" i="1" s="1"/>
  <c r="CK128" i="1"/>
  <c r="CL128" i="1" s="1"/>
  <c r="CK129" i="1"/>
  <c r="CL129" i="1" s="1"/>
  <c r="CK130" i="1"/>
  <c r="CL130" i="1" s="1"/>
  <c r="CK131" i="1"/>
  <c r="CL131" i="1" s="1"/>
  <c r="CK132" i="1"/>
  <c r="CL132" i="1" s="1"/>
  <c r="CK133" i="1"/>
  <c r="CL133" i="1" s="1"/>
  <c r="CK134" i="1"/>
  <c r="CL134" i="1" s="1"/>
  <c r="CK135" i="1"/>
  <c r="CL135" i="1" s="1"/>
  <c r="CK136" i="1"/>
  <c r="CL136" i="1" s="1"/>
  <c r="CK137" i="1"/>
  <c r="CL137" i="1" s="1"/>
  <c r="CK138" i="1"/>
  <c r="CL138" i="1" s="1"/>
  <c r="CK139" i="1"/>
  <c r="CL139" i="1" s="1"/>
  <c r="CK140" i="1"/>
  <c r="CL140" i="1" s="1"/>
  <c r="CK141" i="1"/>
  <c r="CL141" i="1" s="1"/>
  <c r="CK142" i="1"/>
  <c r="CL142" i="1" s="1"/>
  <c r="CK143" i="1"/>
  <c r="CL143" i="1" s="1"/>
  <c r="CK144" i="1"/>
  <c r="CL144" i="1" s="1"/>
  <c r="CK145" i="1"/>
  <c r="CL145" i="1" s="1"/>
  <c r="CK146" i="1"/>
  <c r="CL146" i="1" s="1"/>
  <c r="CK147" i="1"/>
  <c r="CL147" i="1" s="1"/>
  <c r="CK148" i="1"/>
  <c r="CL148" i="1" s="1"/>
  <c r="CK149" i="1"/>
  <c r="CL149" i="1" s="1"/>
  <c r="CK150" i="1"/>
  <c r="CL150" i="1" s="1"/>
  <c r="CK151" i="1"/>
  <c r="CL151" i="1" s="1"/>
  <c r="CK152" i="1"/>
  <c r="CL152" i="1" s="1"/>
  <c r="CK153" i="1"/>
  <c r="CL153" i="1" s="1"/>
  <c r="CK154" i="1"/>
  <c r="CL154" i="1" s="1"/>
  <c r="CK155" i="1"/>
  <c r="CL155" i="1" s="1"/>
  <c r="CK156" i="1"/>
  <c r="CL156" i="1" s="1"/>
  <c r="CK157" i="1"/>
  <c r="CL157" i="1" s="1"/>
  <c r="CK158" i="1"/>
  <c r="CL158" i="1" s="1"/>
  <c r="CK159" i="1"/>
  <c r="CL159" i="1" s="1"/>
  <c r="CK160" i="1"/>
  <c r="CL160" i="1" s="1"/>
  <c r="CK161" i="1"/>
  <c r="CL161" i="1" s="1"/>
  <c r="CK162" i="1"/>
  <c r="CL162" i="1" s="1"/>
  <c r="CK163" i="1"/>
  <c r="CL163" i="1" s="1"/>
  <c r="CK164" i="1"/>
  <c r="CL164" i="1" s="1"/>
  <c r="CK165" i="1"/>
  <c r="CL165" i="1" s="1"/>
  <c r="CK166" i="1"/>
  <c r="CL166" i="1" s="1"/>
  <c r="CK167" i="1"/>
  <c r="CL167" i="1" s="1"/>
  <c r="CK168" i="1"/>
  <c r="CL168" i="1" s="1"/>
  <c r="CK169" i="1"/>
  <c r="CL169" i="1" s="1"/>
  <c r="CK170" i="1"/>
  <c r="CL170" i="1" s="1"/>
  <c r="CK171" i="1"/>
  <c r="CL171" i="1" s="1"/>
  <c r="CK172" i="1"/>
  <c r="CL172" i="1" s="1"/>
  <c r="CK173" i="1"/>
  <c r="CL173" i="1" s="1"/>
  <c r="CK174" i="1"/>
  <c r="CL174" i="1" s="1"/>
  <c r="CK175" i="1"/>
  <c r="CL175" i="1" s="1"/>
  <c r="CK176" i="1"/>
  <c r="CL176" i="1" s="1"/>
  <c r="CK177" i="1"/>
  <c r="CL177" i="1" s="1"/>
  <c r="CK178" i="1"/>
  <c r="CL178" i="1" s="1"/>
  <c r="CK179" i="1"/>
  <c r="CL179" i="1" s="1"/>
  <c r="CK180" i="1"/>
  <c r="CL180" i="1" s="1"/>
  <c r="CK181" i="1"/>
  <c r="CL181" i="1" s="1"/>
  <c r="CK182" i="1"/>
  <c r="CL182" i="1" s="1"/>
  <c r="CK183" i="1"/>
  <c r="CL183" i="1" s="1"/>
  <c r="CK184" i="1"/>
  <c r="CL184" i="1" s="1"/>
  <c r="CK185" i="1"/>
  <c r="CL185" i="1" s="1"/>
  <c r="CK186" i="1"/>
  <c r="CL186" i="1" s="1"/>
  <c r="CK187" i="1"/>
  <c r="CL187" i="1" s="1"/>
  <c r="CK188" i="1"/>
  <c r="CL188" i="1" s="1"/>
  <c r="CK189" i="1"/>
  <c r="CL189" i="1" s="1"/>
  <c r="CK190" i="1"/>
  <c r="CL190" i="1" s="1"/>
  <c r="CK191" i="1"/>
  <c r="CL191" i="1" s="1"/>
  <c r="CK192" i="1"/>
  <c r="CL192" i="1" s="1"/>
  <c r="CK193" i="1"/>
  <c r="CL193" i="1" s="1"/>
  <c r="CK194" i="1"/>
  <c r="CL194" i="1" s="1"/>
  <c r="CK195" i="1"/>
  <c r="CL195" i="1" s="1"/>
  <c r="CK196" i="1"/>
  <c r="CL196" i="1" s="1"/>
  <c r="CK197" i="1"/>
  <c r="CL197" i="1" s="1"/>
  <c r="CK198" i="1"/>
  <c r="CL198" i="1" s="1"/>
  <c r="CK201" i="1"/>
  <c r="CL201" i="1" s="1"/>
  <c r="CK210" i="1"/>
  <c r="CL210" i="1" s="1"/>
  <c r="CK211" i="1"/>
  <c r="CL211" i="1" s="1"/>
  <c r="CK212" i="1"/>
  <c r="CL212" i="1" s="1"/>
  <c r="CK213" i="1"/>
  <c r="CL213" i="1" s="1"/>
  <c r="CK214" i="1"/>
  <c r="CL214" i="1" s="1"/>
  <c r="CK215" i="1"/>
  <c r="CL215" i="1" s="1"/>
  <c r="CK216" i="1"/>
  <c r="CL216" i="1" s="1"/>
  <c r="CK217" i="1"/>
  <c r="CL217" i="1" s="1"/>
  <c r="CK218" i="1"/>
  <c r="CL218" i="1" s="1"/>
  <c r="CK219" i="1"/>
  <c r="CL219" i="1" s="1"/>
  <c r="CK220" i="1"/>
  <c r="CL220" i="1" s="1"/>
  <c r="CK221" i="1"/>
  <c r="CL221" i="1" s="1"/>
  <c r="CK222" i="1"/>
  <c r="CL222" i="1" s="1"/>
  <c r="CK223" i="1"/>
  <c r="CL223" i="1" s="1"/>
  <c r="CK224" i="1"/>
  <c r="CL224" i="1" s="1"/>
  <c r="CK225" i="1"/>
  <c r="CL225" i="1" s="1"/>
  <c r="CK226" i="1"/>
  <c r="CL226" i="1" s="1"/>
  <c r="CK227" i="1"/>
  <c r="CL227" i="1" s="1"/>
  <c r="CK228" i="1"/>
  <c r="CL228" i="1" s="1"/>
  <c r="CK229" i="1"/>
  <c r="CL229" i="1" s="1"/>
  <c r="CL230" i="1"/>
  <c r="CK231" i="1"/>
  <c r="CL231" i="1" s="1"/>
  <c r="CK232" i="1"/>
  <c r="CL232" i="1" s="1"/>
  <c r="CK233" i="1"/>
  <c r="CL233" i="1" s="1"/>
  <c r="CK234" i="1"/>
  <c r="CK235" i="1"/>
  <c r="CK236" i="1"/>
  <c r="CK237" i="1"/>
  <c r="CL237" i="1" s="1"/>
  <c r="CK238" i="1"/>
  <c r="CK239" i="1"/>
  <c r="CK240" i="1"/>
  <c r="CK241" i="1"/>
  <c r="CL241" i="1" s="1"/>
  <c r="CK242" i="1"/>
  <c r="CK243" i="1"/>
  <c r="CK244" i="1"/>
  <c r="CK245" i="1"/>
  <c r="CL245" i="1" s="1"/>
  <c r="CK246" i="1"/>
  <c r="CK247" i="1"/>
  <c r="CK248" i="1"/>
  <c r="CK249" i="1"/>
  <c r="CL249" i="1" s="1"/>
  <c r="CK250" i="1"/>
  <c r="CK251" i="1"/>
  <c r="CK252" i="1"/>
  <c r="CK253" i="1"/>
  <c r="CL253" i="1" s="1"/>
  <c r="CK254" i="1"/>
  <c r="CL254" i="1" s="1"/>
  <c r="CK255" i="1"/>
  <c r="CL255" i="1" s="1"/>
  <c r="CK256" i="1"/>
  <c r="CL256" i="1" s="1"/>
  <c r="CK257" i="1"/>
  <c r="CL257" i="1" s="1"/>
  <c r="CK258" i="1"/>
  <c r="CL258" i="1" s="1"/>
  <c r="CK259" i="1"/>
  <c r="CL259" i="1" s="1"/>
  <c r="CK260" i="1"/>
  <c r="CL260" i="1" s="1"/>
  <c r="CK261" i="1"/>
  <c r="CL261" i="1" s="1"/>
  <c r="CK262" i="1"/>
  <c r="CK263" i="1"/>
  <c r="CL263" i="1" s="1"/>
  <c r="CK264" i="1"/>
  <c r="CL264" i="1" s="1"/>
  <c r="CK265" i="1"/>
  <c r="CL265" i="1" s="1"/>
  <c r="CK266" i="1"/>
  <c r="CL266" i="1" s="1"/>
  <c r="CK267" i="1"/>
  <c r="CL267" i="1" s="1"/>
  <c r="CK268" i="1"/>
  <c r="CL268" i="1" s="1"/>
  <c r="CK269" i="1"/>
  <c r="CL269" i="1" s="1"/>
  <c r="CK270" i="1"/>
  <c r="CL270" i="1" s="1"/>
  <c r="CK271" i="1"/>
  <c r="CL271" i="1" s="1"/>
  <c r="CK272" i="1"/>
  <c r="CL272" i="1" s="1"/>
  <c r="CK273" i="1"/>
  <c r="CL273" i="1" s="1"/>
  <c r="CK274" i="1"/>
  <c r="CL274" i="1" s="1"/>
  <c r="CK275" i="1"/>
  <c r="CL275" i="1" s="1"/>
  <c r="CK276" i="1"/>
  <c r="CL276" i="1" s="1"/>
  <c r="CK277" i="1"/>
  <c r="CL277" i="1" s="1"/>
  <c r="CK285" i="1"/>
  <c r="CK291" i="1"/>
  <c r="CK294" i="1"/>
  <c r="CK297" i="1"/>
  <c r="CL297" i="1" s="1"/>
  <c r="CK298" i="1"/>
  <c r="CL298" i="1" s="1"/>
  <c r="CK299" i="1"/>
  <c r="CL299" i="1" s="1"/>
  <c r="CK300" i="1"/>
  <c r="CL300" i="1" s="1"/>
  <c r="CK301" i="1"/>
  <c r="CL301" i="1" s="1"/>
  <c r="CK302" i="1"/>
  <c r="CL302" i="1" s="1"/>
  <c r="CK303" i="1"/>
  <c r="CL303" i="1" s="1"/>
  <c r="CK304" i="1"/>
  <c r="CL304" i="1" s="1"/>
  <c r="CK305" i="1"/>
  <c r="CL305" i="1" s="1"/>
  <c r="CK306" i="1"/>
  <c r="CL306" i="1" s="1"/>
  <c r="CK307" i="1"/>
  <c r="CL307" i="1" s="1"/>
  <c r="CK308" i="1"/>
  <c r="CL308" i="1" s="1"/>
  <c r="CK309" i="1"/>
  <c r="CL309" i="1" s="1"/>
  <c r="CK310" i="1"/>
  <c r="CL310" i="1" s="1"/>
  <c r="CK335" i="1"/>
  <c r="CL335" i="1" s="1"/>
  <c r="CK336" i="1"/>
  <c r="CL336" i="1" s="1"/>
  <c r="CK337" i="1"/>
  <c r="CL337" i="1" s="1"/>
  <c r="CK338" i="1"/>
  <c r="CL338" i="1" s="1"/>
  <c r="CK339" i="1"/>
  <c r="CL339" i="1" s="1"/>
  <c r="CK340" i="1"/>
  <c r="CL340" i="1" s="1"/>
  <c r="CK341" i="1"/>
  <c r="CL341" i="1" s="1"/>
  <c r="CK342" i="1"/>
  <c r="CL342" i="1" s="1"/>
  <c r="CK343" i="1"/>
  <c r="CL343" i="1" s="1"/>
  <c r="CK344" i="1"/>
  <c r="CL344" i="1" s="1"/>
  <c r="CK345" i="1"/>
  <c r="CL345" i="1" s="1"/>
  <c r="CK346" i="1"/>
  <c r="CL346" i="1" s="1"/>
  <c r="CK347" i="1"/>
  <c r="CL347" i="1" s="1"/>
  <c r="CK348" i="1"/>
  <c r="CL348" i="1" s="1"/>
  <c r="CK349" i="1"/>
  <c r="CL349" i="1" s="1"/>
  <c r="CK350" i="1"/>
  <c r="CL350" i="1" s="1"/>
  <c r="CL351" i="1"/>
  <c r="CL352" i="1"/>
  <c r="CL355" i="1"/>
  <c r="CL356" i="1"/>
  <c r="CL357" i="1"/>
  <c r="CL359" i="1"/>
  <c r="CL360" i="1"/>
  <c r="CL363" i="1"/>
  <c r="CL364" i="1"/>
  <c r="CL365" i="1"/>
  <c r="CL367" i="1"/>
  <c r="CK368" i="1"/>
  <c r="CL368" i="1" s="1"/>
  <c r="CK369" i="1"/>
  <c r="CL369" i="1" s="1"/>
  <c r="CK370" i="1"/>
  <c r="CL370" i="1" s="1"/>
  <c r="CK371" i="1"/>
  <c r="CL371" i="1" s="1"/>
  <c r="CK372" i="1"/>
  <c r="CL372" i="1" s="1"/>
  <c r="CK373" i="1"/>
  <c r="CL373" i="1" s="1"/>
  <c r="CK374" i="1"/>
  <c r="CL374" i="1" s="1"/>
  <c r="CK375" i="1"/>
  <c r="CL375" i="1" s="1"/>
  <c r="CK376" i="1"/>
  <c r="CL376" i="1" s="1"/>
  <c r="CK377" i="1"/>
  <c r="CL377" i="1" s="1"/>
  <c r="CK378" i="1"/>
  <c r="CL378" i="1" s="1"/>
  <c r="CI2" i="1"/>
  <c r="CI3" i="1"/>
  <c r="CI4" i="1"/>
  <c r="CI5" i="1"/>
  <c r="CI6" i="1"/>
  <c r="CI7" i="1"/>
  <c r="CI8" i="1"/>
  <c r="CI9" i="1"/>
  <c r="CI10" i="1"/>
  <c r="CI11" i="1"/>
  <c r="CI12" i="1"/>
  <c r="CI13" i="1"/>
  <c r="CI14" i="1"/>
  <c r="CI15" i="1"/>
  <c r="CI16" i="1"/>
  <c r="CI17" i="1"/>
  <c r="CI18" i="1"/>
  <c r="CI19" i="1"/>
  <c r="CI20" i="1"/>
  <c r="CI21" i="1"/>
  <c r="CI22" i="1"/>
  <c r="CI23" i="1"/>
  <c r="CI24" i="1"/>
  <c r="CI25" i="1"/>
  <c r="CI26" i="1"/>
  <c r="CI27" i="1"/>
  <c r="CI28" i="1"/>
  <c r="CI29" i="1"/>
  <c r="CI30" i="1"/>
  <c r="CI31" i="1"/>
  <c r="CI32" i="1"/>
  <c r="CI33" i="1"/>
  <c r="CI34" i="1"/>
  <c r="CI35" i="1"/>
  <c r="CI36" i="1"/>
  <c r="CI37" i="1"/>
  <c r="CI38" i="1"/>
  <c r="CI39" i="1"/>
  <c r="CI40" i="1"/>
  <c r="CI41" i="1"/>
  <c r="CI42" i="1"/>
  <c r="CI43" i="1"/>
  <c r="CI44" i="1"/>
  <c r="CI45" i="1"/>
  <c r="CI46" i="1"/>
  <c r="CI47" i="1"/>
  <c r="CI48" i="1"/>
  <c r="CI49" i="1"/>
  <c r="CI50" i="1"/>
  <c r="CI51" i="1"/>
  <c r="CI52" i="1"/>
  <c r="CI53" i="1"/>
  <c r="CI54" i="1"/>
  <c r="CI55" i="1"/>
  <c r="CI56" i="1"/>
  <c r="CI57" i="1"/>
  <c r="CI58" i="1"/>
  <c r="CI59" i="1"/>
  <c r="CI60" i="1"/>
  <c r="CI61" i="1"/>
  <c r="CI62" i="1"/>
  <c r="CI63" i="1"/>
  <c r="CI64" i="1"/>
  <c r="CI65" i="1"/>
  <c r="CI66" i="1"/>
  <c r="CI67" i="1"/>
  <c r="CI68" i="1"/>
  <c r="CI69" i="1"/>
  <c r="CI70" i="1"/>
  <c r="CI71" i="1"/>
  <c r="CI72" i="1"/>
  <c r="CI73" i="1"/>
  <c r="CI74" i="1"/>
  <c r="CI75" i="1"/>
  <c r="CI76" i="1"/>
  <c r="CI77" i="1"/>
  <c r="CI78" i="1"/>
  <c r="CI79" i="1"/>
  <c r="CI80" i="1"/>
  <c r="CI81" i="1"/>
  <c r="CI82" i="1"/>
  <c r="CI83" i="1"/>
  <c r="CI84" i="1"/>
  <c r="CI85" i="1"/>
  <c r="CI86" i="1"/>
  <c r="CI87" i="1"/>
  <c r="CI88" i="1"/>
  <c r="CI89" i="1"/>
  <c r="CI90" i="1"/>
  <c r="CI91" i="1"/>
  <c r="CI92" i="1"/>
  <c r="CI93" i="1"/>
  <c r="CI94" i="1"/>
  <c r="CI95" i="1"/>
  <c r="CI96" i="1"/>
  <c r="CI97" i="1"/>
  <c r="CI98" i="1"/>
  <c r="CI99" i="1"/>
  <c r="CI100" i="1"/>
  <c r="CI101" i="1"/>
  <c r="CI102" i="1"/>
  <c r="CI103" i="1"/>
  <c r="CI104" i="1"/>
  <c r="CI105" i="1"/>
  <c r="CI106" i="1"/>
  <c r="CI107" i="1"/>
  <c r="CI108" i="1"/>
  <c r="CI109" i="1"/>
  <c r="CI110" i="1"/>
  <c r="CI111" i="1"/>
  <c r="CI112" i="1"/>
  <c r="CI113" i="1"/>
  <c r="CI114" i="1"/>
  <c r="CI115" i="1"/>
  <c r="CI116" i="1"/>
  <c r="CI117" i="1"/>
  <c r="CI118" i="1"/>
  <c r="CI119" i="1"/>
  <c r="CI120" i="1"/>
  <c r="CI121" i="1"/>
  <c r="CI122" i="1"/>
  <c r="CI123" i="1"/>
  <c r="CI124" i="1"/>
  <c r="CI125" i="1"/>
  <c r="CI126" i="1"/>
  <c r="CI127" i="1"/>
  <c r="CI128" i="1"/>
  <c r="CI129" i="1"/>
  <c r="CI130" i="1"/>
  <c r="CI131" i="1"/>
  <c r="CI132" i="1"/>
  <c r="CI133" i="1"/>
  <c r="CI134" i="1"/>
  <c r="CI135" i="1"/>
  <c r="CI136" i="1"/>
  <c r="CI137" i="1"/>
  <c r="CI138" i="1"/>
  <c r="CI139" i="1"/>
  <c r="CI140" i="1"/>
  <c r="CI141" i="1"/>
  <c r="CI142" i="1"/>
  <c r="CI143" i="1"/>
  <c r="CI144" i="1"/>
  <c r="CI145" i="1"/>
  <c r="CI146" i="1"/>
  <c r="CI147" i="1"/>
  <c r="CI148" i="1"/>
  <c r="CI149" i="1"/>
  <c r="CI150" i="1"/>
  <c r="CI151" i="1"/>
  <c r="CI152" i="1"/>
  <c r="CI153" i="1"/>
  <c r="CI154" i="1"/>
  <c r="CI155" i="1"/>
  <c r="CI156" i="1"/>
  <c r="CI157" i="1"/>
  <c r="CI158" i="1"/>
  <c r="CI159" i="1"/>
  <c r="CI160" i="1"/>
  <c r="CI161" i="1"/>
  <c r="CI162" i="1"/>
  <c r="CI163" i="1"/>
  <c r="CI164" i="1"/>
  <c r="CI165" i="1"/>
  <c r="CI166" i="1"/>
  <c r="CI167" i="1"/>
  <c r="CI168" i="1"/>
  <c r="CI169" i="1"/>
  <c r="CI170" i="1"/>
  <c r="CI171" i="1"/>
  <c r="CI172" i="1"/>
  <c r="CI173" i="1"/>
  <c r="CI174" i="1"/>
  <c r="CI175" i="1"/>
  <c r="CI176" i="1"/>
  <c r="CI177" i="1"/>
  <c r="CI178" i="1"/>
  <c r="CI179" i="1"/>
  <c r="CI180" i="1"/>
  <c r="CI181" i="1"/>
  <c r="CI182" i="1"/>
  <c r="CI183" i="1"/>
  <c r="CI184" i="1"/>
  <c r="CI185" i="1"/>
  <c r="CI186" i="1"/>
  <c r="CI187" i="1"/>
  <c r="CI188" i="1"/>
  <c r="CI189" i="1"/>
  <c r="CI190" i="1"/>
  <c r="CI191" i="1"/>
  <c r="CI192" i="1"/>
  <c r="CI193" i="1"/>
  <c r="CI194" i="1"/>
  <c r="CJ194" i="1" s="1"/>
  <c r="CI195" i="1"/>
  <c r="CJ195" i="1" s="1"/>
  <c r="CI196" i="1"/>
  <c r="CJ196" i="1" s="1"/>
  <c r="CI197" i="1"/>
  <c r="CJ197" i="1" s="1"/>
  <c r="CI198" i="1"/>
  <c r="CJ198" i="1" s="1"/>
  <c r="CI201" i="1"/>
  <c r="CI210" i="1"/>
  <c r="CI211" i="1"/>
  <c r="CI212" i="1"/>
  <c r="CI213" i="1"/>
  <c r="CI214" i="1"/>
  <c r="CI215" i="1"/>
  <c r="CI216" i="1"/>
  <c r="CI217" i="1"/>
  <c r="CI218" i="1"/>
  <c r="CI219" i="1"/>
  <c r="CI220" i="1"/>
  <c r="CI221" i="1"/>
  <c r="CI222" i="1"/>
  <c r="CI223" i="1"/>
  <c r="CI224" i="1"/>
  <c r="CI225" i="1"/>
  <c r="CI226" i="1"/>
  <c r="CI227" i="1"/>
  <c r="CI228" i="1"/>
  <c r="CJ230" i="1"/>
  <c r="CI232" i="1"/>
  <c r="CI233" i="1"/>
  <c r="CI234" i="1"/>
  <c r="CI236" i="1"/>
  <c r="CJ237" i="1"/>
  <c r="CI239" i="1"/>
  <c r="CI243" i="1"/>
  <c r="CI244" i="1"/>
  <c r="CI248" i="1"/>
  <c r="CI250" i="1"/>
  <c r="CI253" i="1"/>
  <c r="CJ253" i="1" s="1"/>
  <c r="CI254" i="1"/>
  <c r="CJ254" i="1" s="1"/>
  <c r="CI255" i="1"/>
  <c r="CI256" i="1"/>
  <c r="CI257" i="1"/>
  <c r="CI258" i="1"/>
  <c r="CI259" i="1"/>
  <c r="CJ259" i="1" s="1"/>
  <c r="CI260" i="1"/>
  <c r="CJ260" i="1" s="1"/>
  <c r="CI261" i="1"/>
  <c r="CJ261" i="1" s="1"/>
  <c r="CI262" i="1"/>
  <c r="CJ262" i="1" s="1"/>
  <c r="CI263" i="1"/>
  <c r="CI264" i="1"/>
  <c r="CI265" i="1"/>
  <c r="CI266" i="1"/>
  <c r="CI267" i="1"/>
  <c r="CJ267" i="1" s="1"/>
  <c r="CI268" i="1"/>
  <c r="CJ268" i="1" s="1"/>
  <c r="CI269" i="1"/>
  <c r="CJ269" i="1" s="1"/>
  <c r="CI270" i="1"/>
  <c r="CJ270" i="1" s="1"/>
  <c r="CI271" i="1"/>
  <c r="CI272" i="1"/>
  <c r="CI273" i="1"/>
  <c r="CI274" i="1"/>
  <c r="CI275" i="1"/>
  <c r="CJ275" i="1" s="1"/>
  <c r="CI276" i="1"/>
  <c r="CJ276" i="1" s="1"/>
  <c r="CI277" i="1"/>
  <c r="CJ277" i="1" s="1"/>
  <c r="CI297" i="1"/>
  <c r="CI298" i="1"/>
  <c r="CI299" i="1"/>
  <c r="CJ299" i="1" s="1"/>
  <c r="CI300" i="1"/>
  <c r="CJ300" i="1" s="1"/>
  <c r="CI301" i="1"/>
  <c r="CJ301" i="1" s="1"/>
  <c r="CI302" i="1"/>
  <c r="CJ302" i="1" s="1"/>
  <c r="CI303" i="1"/>
  <c r="CJ303" i="1" s="1"/>
  <c r="CI304" i="1"/>
  <c r="CI305" i="1"/>
  <c r="CI306" i="1"/>
  <c r="CI307" i="1"/>
  <c r="CJ307" i="1" s="1"/>
  <c r="CI308" i="1"/>
  <c r="CJ308" i="1" s="1"/>
  <c r="CI309" i="1"/>
  <c r="CJ309" i="1" s="1"/>
  <c r="CI310" i="1"/>
  <c r="CJ310" i="1" s="1"/>
  <c r="CI335" i="1"/>
  <c r="CJ335" i="1" s="1"/>
  <c r="CI336" i="1"/>
  <c r="CI337" i="1"/>
  <c r="CI338" i="1"/>
  <c r="CJ338" i="1" s="1"/>
  <c r="CI339" i="1"/>
  <c r="CJ339" i="1" s="1"/>
  <c r="CI340" i="1"/>
  <c r="CJ340" i="1" s="1"/>
  <c r="CI341" i="1"/>
  <c r="CJ341" i="1" s="1"/>
  <c r="CI342" i="1"/>
  <c r="CJ342" i="1" s="1"/>
  <c r="CI343" i="1"/>
  <c r="CI344" i="1"/>
  <c r="CI345" i="1"/>
  <c r="CI346" i="1"/>
  <c r="CJ346" i="1" s="1"/>
  <c r="CI347" i="1"/>
  <c r="CJ347" i="1" s="1"/>
  <c r="CI348" i="1"/>
  <c r="CJ348" i="1" s="1"/>
  <c r="CI349" i="1"/>
  <c r="CJ349" i="1" s="1"/>
  <c r="CI350" i="1"/>
  <c r="CO351" i="1"/>
  <c r="CO352" i="1"/>
  <c r="CO353" i="1"/>
  <c r="CO354" i="1"/>
  <c r="CO356" i="1"/>
  <c r="CO359" i="1"/>
  <c r="CO360" i="1"/>
  <c r="CO361" i="1"/>
  <c r="CO362" i="1"/>
  <c r="CO363" i="1"/>
  <c r="CO364" i="1"/>
  <c r="CO367" i="1"/>
  <c r="CI368" i="1"/>
  <c r="CI369" i="1"/>
  <c r="CI370" i="1"/>
  <c r="CI371" i="1"/>
  <c r="CI372" i="1"/>
  <c r="CI373" i="1"/>
  <c r="CJ373" i="1" s="1"/>
  <c r="CI374" i="1"/>
  <c r="CI375" i="1"/>
  <c r="CI376" i="1"/>
  <c r="CI377" i="1"/>
  <c r="CI378" i="1"/>
  <c r="DH390" i="1" l="1"/>
  <c r="DI390" i="1" s="1"/>
  <c r="DH389" i="1"/>
  <c r="DI389" i="1" s="1"/>
  <c r="DH380" i="1"/>
  <c r="DI380" i="1" s="1"/>
  <c r="CL244" i="1"/>
  <c r="CL236" i="1"/>
  <c r="CL239" i="1"/>
  <c r="CL247" i="1"/>
  <c r="CL251" i="1"/>
  <c r="CL243" i="1"/>
  <c r="CL235" i="1"/>
  <c r="CN247" i="1"/>
  <c r="CN239" i="1"/>
  <c r="CJ243" i="1"/>
  <c r="CN251" i="1"/>
  <c r="CN243" i="1"/>
  <c r="CN235" i="1"/>
  <c r="CO355" i="1"/>
  <c r="CL250" i="1"/>
  <c r="CL242" i="1"/>
  <c r="CL234" i="1"/>
  <c r="CO255" i="1"/>
  <c r="CP245" i="1"/>
  <c r="CP229" i="1"/>
  <c r="CO247" i="1"/>
  <c r="CO271" i="1"/>
  <c r="CO263" i="1"/>
  <c r="CN248" i="1"/>
  <c r="CN240" i="1"/>
  <c r="CP267" i="1"/>
  <c r="CO368" i="1"/>
  <c r="CP259" i="1"/>
  <c r="CP275" i="1"/>
  <c r="CO376" i="1"/>
  <c r="CO248" i="1"/>
  <c r="CP347" i="1"/>
  <c r="CP340" i="1"/>
  <c r="CP308" i="1"/>
  <c r="CP300" i="1"/>
  <c r="CO236" i="1"/>
  <c r="CP237" i="1"/>
  <c r="CP346" i="1"/>
  <c r="CP339" i="1"/>
  <c r="CP307" i="1"/>
  <c r="CP299" i="1"/>
  <c r="CO272" i="1"/>
  <c r="CO264" i="1"/>
  <c r="CO256" i="1"/>
  <c r="CO232" i="1"/>
  <c r="CL252" i="1"/>
  <c r="CP252" i="1" s="1"/>
  <c r="CO344" i="1"/>
  <c r="CO336" i="1"/>
  <c r="CP277" i="1"/>
  <c r="CP269" i="1"/>
  <c r="CP261" i="1"/>
  <c r="CP253" i="1"/>
  <c r="CO241" i="1"/>
  <c r="CO378" i="1"/>
  <c r="CO370" i="1"/>
  <c r="CO240" i="1"/>
  <c r="CP194" i="1"/>
  <c r="CO244" i="1"/>
  <c r="CN250" i="1"/>
  <c r="CN242" i="1"/>
  <c r="CN234" i="1"/>
  <c r="CO371" i="1"/>
  <c r="CP198" i="1"/>
  <c r="CN246" i="1"/>
  <c r="CN238" i="1"/>
  <c r="CO350" i="1"/>
  <c r="CO343" i="1"/>
  <c r="CP303" i="1"/>
  <c r="CO377" i="1"/>
  <c r="CO369" i="1"/>
  <c r="CO242" i="1"/>
  <c r="CO233" i="1"/>
  <c r="CO375" i="1"/>
  <c r="CO273" i="1"/>
  <c r="CO265" i="1"/>
  <c r="CO257" i="1"/>
  <c r="CO249" i="1"/>
  <c r="CO231" i="1"/>
  <c r="CP197" i="1"/>
  <c r="CO374" i="1"/>
  <c r="CO239" i="1"/>
  <c r="CP196" i="1"/>
  <c r="CP338" i="1"/>
  <c r="CO372" i="1"/>
  <c r="CO345" i="1"/>
  <c r="CO337" i="1"/>
  <c r="CO305" i="1"/>
  <c r="CO297" i="1"/>
  <c r="CP270" i="1"/>
  <c r="CP254" i="1"/>
  <c r="CO306" i="1"/>
  <c r="CJ306" i="1"/>
  <c r="CP306" i="1" s="1"/>
  <c r="CJ304" i="1"/>
  <c r="CP304" i="1" s="1"/>
  <c r="CO304" i="1"/>
  <c r="CO298" i="1"/>
  <c r="CJ298" i="1"/>
  <c r="CP298" i="1" s="1"/>
  <c r="CO274" i="1"/>
  <c r="CJ274" i="1"/>
  <c r="CP274" i="1" s="1"/>
  <c r="CO266" i="1"/>
  <c r="CJ266" i="1"/>
  <c r="CP266" i="1" s="1"/>
  <c r="CO258" i="1"/>
  <c r="CJ258" i="1"/>
  <c r="CP258" i="1" s="1"/>
  <c r="CO250" i="1"/>
  <c r="CJ250" i="1"/>
  <c r="CO234" i="1"/>
  <c r="CJ234" i="1"/>
  <c r="CO228" i="1"/>
  <c r="CJ228" i="1"/>
  <c r="CP228" i="1" s="1"/>
  <c r="CO227" i="1"/>
  <c r="CJ227" i="1"/>
  <c r="CP227" i="1" s="1"/>
  <c r="CO226" i="1"/>
  <c r="CJ226" i="1"/>
  <c r="CP226" i="1" s="1"/>
  <c r="CO225" i="1"/>
  <c r="CJ225" i="1"/>
  <c r="CP225" i="1" s="1"/>
  <c r="CO224" i="1"/>
  <c r="CJ224" i="1"/>
  <c r="CP224" i="1" s="1"/>
  <c r="CO223" i="1"/>
  <c r="CJ223" i="1"/>
  <c r="CP223" i="1" s="1"/>
  <c r="CO222" i="1"/>
  <c r="CJ222" i="1"/>
  <c r="CP222" i="1" s="1"/>
  <c r="CO221" i="1"/>
  <c r="CJ221" i="1"/>
  <c r="CP221" i="1" s="1"/>
  <c r="CO220" i="1"/>
  <c r="CJ220" i="1"/>
  <c r="CP220" i="1" s="1"/>
  <c r="CO219" i="1"/>
  <c r="CJ219" i="1"/>
  <c r="CP219" i="1" s="1"/>
  <c r="CO218" i="1"/>
  <c r="CJ218" i="1"/>
  <c r="CP218" i="1" s="1"/>
  <c r="CO217" i="1"/>
  <c r="CJ217" i="1"/>
  <c r="CP217" i="1" s="1"/>
  <c r="CO216" i="1"/>
  <c r="CJ216" i="1"/>
  <c r="CP216" i="1" s="1"/>
  <c r="CO215" i="1"/>
  <c r="CJ215" i="1"/>
  <c r="CP215" i="1" s="1"/>
  <c r="CO214" i="1"/>
  <c r="CJ214" i="1"/>
  <c r="CP214" i="1" s="1"/>
  <c r="CO213" i="1"/>
  <c r="CJ213" i="1"/>
  <c r="CP213" i="1" s="1"/>
  <c r="CO212" i="1"/>
  <c r="CJ212" i="1"/>
  <c r="CP212" i="1" s="1"/>
  <c r="CO211" i="1"/>
  <c r="CJ211" i="1"/>
  <c r="CP211" i="1" s="1"/>
  <c r="CO210" i="1"/>
  <c r="CJ210" i="1"/>
  <c r="CP210" i="1" s="1"/>
  <c r="CJ201" i="1"/>
  <c r="CP201" i="1" s="1"/>
  <c r="CO201" i="1"/>
  <c r="CO193" i="1"/>
  <c r="CJ193" i="1"/>
  <c r="CP193" i="1" s="1"/>
  <c r="CO192" i="1"/>
  <c r="CJ192" i="1"/>
  <c r="CP192" i="1" s="1"/>
  <c r="CO191" i="1"/>
  <c r="CJ191" i="1"/>
  <c r="CP191" i="1" s="1"/>
  <c r="CO190" i="1"/>
  <c r="CJ190" i="1"/>
  <c r="CP190" i="1" s="1"/>
  <c r="CO189" i="1"/>
  <c r="CJ189" i="1"/>
  <c r="CP189" i="1" s="1"/>
  <c r="CO188" i="1"/>
  <c r="CJ188" i="1"/>
  <c r="CP188" i="1" s="1"/>
  <c r="CO187" i="1"/>
  <c r="CJ187" i="1"/>
  <c r="CP187" i="1" s="1"/>
  <c r="CO186" i="1"/>
  <c r="CJ186" i="1"/>
  <c r="CP186" i="1" s="1"/>
  <c r="CO185" i="1"/>
  <c r="CJ185" i="1"/>
  <c r="CP185" i="1" s="1"/>
  <c r="CO184" i="1"/>
  <c r="CJ184" i="1"/>
  <c r="CP184" i="1" s="1"/>
  <c r="CO183" i="1"/>
  <c r="CJ183" i="1"/>
  <c r="CP183" i="1" s="1"/>
  <c r="CO182" i="1"/>
  <c r="CJ182" i="1"/>
  <c r="CP182" i="1" s="1"/>
  <c r="CO181" i="1"/>
  <c r="CJ181" i="1"/>
  <c r="CP181" i="1" s="1"/>
  <c r="CO180" i="1"/>
  <c r="CJ180" i="1"/>
  <c r="CP180" i="1" s="1"/>
  <c r="CO179" i="1"/>
  <c r="CJ179" i="1"/>
  <c r="CP179" i="1" s="1"/>
  <c r="CO178" i="1"/>
  <c r="CJ178" i="1"/>
  <c r="CP178" i="1" s="1"/>
  <c r="CO177" i="1"/>
  <c r="CJ177" i="1"/>
  <c r="CP177" i="1" s="1"/>
  <c r="CO176" i="1"/>
  <c r="CJ176" i="1"/>
  <c r="CP176" i="1" s="1"/>
  <c r="CO175" i="1"/>
  <c r="CJ175" i="1"/>
  <c r="CP175" i="1" s="1"/>
  <c r="CO174" i="1"/>
  <c r="CJ174" i="1"/>
  <c r="CP174" i="1" s="1"/>
  <c r="CO173" i="1"/>
  <c r="CJ173" i="1"/>
  <c r="CP173" i="1" s="1"/>
  <c r="CO172" i="1"/>
  <c r="CJ172" i="1"/>
  <c r="CP172" i="1" s="1"/>
  <c r="CO171" i="1"/>
  <c r="CJ171" i="1"/>
  <c r="CP171" i="1" s="1"/>
  <c r="CO170" i="1"/>
  <c r="CJ170" i="1"/>
  <c r="CP170" i="1" s="1"/>
  <c r="CO169" i="1"/>
  <c r="CJ169" i="1"/>
  <c r="CP169" i="1" s="1"/>
  <c r="CO168" i="1"/>
  <c r="CJ168" i="1"/>
  <c r="CP168" i="1" s="1"/>
  <c r="CO167" i="1"/>
  <c r="CJ167" i="1"/>
  <c r="CP167" i="1" s="1"/>
  <c r="CO166" i="1"/>
  <c r="CJ166" i="1"/>
  <c r="CP166" i="1" s="1"/>
  <c r="CO165" i="1"/>
  <c r="CJ165" i="1"/>
  <c r="CP165" i="1" s="1"/>
  <c r="CO164" i="1"/>
  <c r="CJ164" i="1"/>
  <c r="CP164" i="1" s="1"/>
  <c r="CO163" i="1"/>
  <c r="CJ163" i="1"/>
  <c r="CP163" i="1" s="1"/>
  <c r="CO162" i="1"/>
  <c r="CJ162" i="1"/>
  <c r="CP162" i="1" s="1"/>
  <c r="CO161" i="1"/>
  <c r="CJ161" i="1"/>
  <c r="CP161" i="1" s="1"/>
  <c r="CO160" i="1"/>
  <c r="CJ160" i="1"/>
  <c r="CP160" i="1" s="1"/>
  <c r="CO159" i="1"/>
  <c r="CJ159" i="1"/>
  <c r="CP159" i="1" s="1"/>
  <c r="CO158" i="1"/>
  <c r="CJ158" i="1"/>
  <c r="CP158" i="1" s="1"/>
  <c r="CO157" i="1"/>
  <c r="CJ157" i="1"/>
  <c r="CP157" i="1" s="1"/>
  <c r="CO156" i="1"/>
  <c r="CJ156" i="1"/>
  <c r="CP156" i="1" s="1"/>
  <c r="CO155" i="1"/>
  <c r="CJ155" i="1"/>
  <c r="CP155" i="1" s="1"/>
  <c r="CO154" i="1"/>
  <c r="CJ154" i="1"/>
  <c r="CP154" i="1" s="1"/>
  <c r="CO153" i="1"/>
  <c r="CJ153" i="1"/>
  <c r="CP153" i="1" s="1"/>
  <c r="CO152" i="1"/>
  <c r="CJ152" i="1"/>
  <c r="CP152" i="1" s="1"/>
  <c r="CO151" i="1"/>
  <c r="CJ151" i="1"/>
  <c r="CP151" i="1" s="1"/>
  <c r="CO150" i="1"/>
  <c r="CJ150" i="1"/>
  <c r="CP150" i="1" s="1"/>
  <c r="CO149" i="1"/>
  <c r="CJ149" i="1"/>
  <c r="CP149" i="1" s="1"/>
  <c r="CO148" i="1"/>
  <c r="CJ148" i="1"/>
  <c r="CP148" i="1" s="1"/>
  <c r="CO147" i="1"/>
  <c r="CJ147" i="1"/>
  <c r="CP147" i="1" s="1"/>
  <c r="CO146" i="1"/>
  <c r="CJ146" i="1"/>
  <c r="CP146" i="1" s="1"/>
  <c r="CO145" i="1"/>
  <c r="CJ145" i="1"/>
  <c r="CP145" i="1" s="1"/>
  <c r="CO144" i="1"/>
  <c r="CJ144" i="1"/>
  <c r="CP144" i="1" s="1"/>
  <c r="CO143" i="1"/>
  <c r="CJ143" i="1"/>
  <c r="CP143" i="1" s="1"/>
  <c r="CO142" i="1"/>
  <c r="CJ142" i="1"/>
  <c r="CP142" i="1" s="1"/>
  <c r="CO141" i="1"/>
  <c r="CJ141" i="1"/>
  <c r="CP141" i="1" s="1"/>
  <c r="CO140" i="1"/>
  <c r="CJ140" i="1"/>
  <c r="CP140" i="1" s="1"/>
  <c r="CO139" i="1"/>
  <c r="CJ139" i="1"/>
  <c r="CP139" i="1" s="1"/>
  <c r="CO138" i="1"/>
  <c r="CJ138" i="1"/>
  <c r="CP138" i="1" s="1"/>
  <c r="CO137" i="1"/>
  <c r="CJ137" i="1"/>
  <c r="CP137" i="1" s="1"/>
  <c r="CO136" i="1"/>
  <c r="CJ136" i="1"/>
  <c r="CP136" i="1" s="1"/>
  <c r="CO135" i="1"/>
  <c r="CJ135" i="1"/>
  <c r="CP135" i="1" s="1"/>
  <c r="CO134" i="1"/>
  <c r="CJ134" i="1"/>
  <c r="CP134" i="1" s="1"/>
  <c r="CO133" i="1"/>
  <c r="CJ133" i="1"/>
  <c r="CP133" i="1" s="1"/>
  <c r="CO132" i="1"/>
  <c r="CJ132" i="1"/>
  <c r="CP132" i="1" s="1"/>
  <c r="CO131" i="1"/>
  <c r="CJ131" i="1"/>
  <c r="CP131" i="1" s="1"/>
  <c r="CO130" i="1"/>
  <c r="CJ130" i="1"/>
  <c r="CP130" i="1" s="1"/>
  <c r="CO129" i="1"/>
  <c r="CJ129" i="1"/>
  <c r="CP129" i="1" s="1"/>
  <c r="CO128" i="1"/>
  <c r="CJ128" i="1"/>
  <c r="CP128" i="1" s="1"/>
  <c r="CO127" i="1"/>
  <c r="CJ127" i="1"/>
  <c r="CP127" i="1" s="1"/>
  <c r="CO126" i="1"/>
  <c r="CJ126" i="1"/>
  <c r="CP126" i="1" s="1"/>
  <c r="CO125" i="1"/>
  <c r="CJ125" i="1"/>
  <c r="CP125" i="1" s="1"/>
  <c r="CO124" i="1"/>
  <c r="CJ124" i="1"/>
  <c r="CP124" i="1" s="1"/>
  <c r="CO123" i="1"/>
  <c r="CJ123" i="1"/>
  <c r="CP123" i="1" s="1"/>
  <c r="CO122" i="1"/>
  <c r="CJ122" i="1"/>
  <c r="CP122" i="1" s="1"/>
  <c r="CO121" i="1"/>
  <c r="CJ121" i="1"/>
  <c r="CP121" i="1" s="1"/>
  <c r="CO120" i="1"/>
  <c r="CJ120" i="1"/>
  <c r="CP120" i="1" s="1"/>
  <c r="CO119" i="1"/>
  <c r="CJ119" i="1"/>
  <c r="CP119" i="1" s="1"/>
  <c r="CO118" i="1"/>
  <c r="CJ118" i="1"/>
  <c r="CP118" i="1" s="1"/>
  <c r="CO117" i="1"/>
  <c r="CJ117" i="1"/>
  <c r="CP117" i="1" s="1"/>
  <c r="CO116" i="1"/>
  <c r="CJ116" i="1"/>
  <c r="CP116" i="1" s="1"/>
  <c r="CO115" i="1"/>
  <c r="CJ115" i="1"/>
  <c r="CP115" i="1" s="1"/>
  <c r="CO114" i="1"/>
  <c r="CJ114" i="1"/>
  <c r="CP114" i="1" s="1"/>
  <c r="CO113" i="1"/>
  <c r="CJ113" i="1"/>
  <c r="CP113" i="1" s="1"/>
  <c r="CO112" i="1"/>
  <c r="CJ112" i="1"/>
  <c r="CP112" i="1" s="1"/>
  <c r="CO111" i="1"/>
  <c r="CJ111" i="1"/>
  <c r="CP111" i="1" s="1"/>
  <c r="CO110" i="1"/>
  <c r="CJ110" i="1"/>
  <c r="CP110" i="1" s="1"/>
  <c r="CO109" i="1"/>
  <c r="CJ109" i="1"/>
  <c r="CP109" i="1" s="1"/>
  <c r="CO108" i="1"/>
  <c r="CJ108" i="1"/>
  <c r="CP108" i="1" s="1"/>
  <c r="CO107" i="1"/>
  <c r="CJ107" i="1"/>
  <c r="CP107" i="1" s="1"/>
  <c r="CO106" i="1"/>
  <c r="CJ106" i="1"/>
  <c r="CP106" i="1" s="1"/>
  <c r="CO105" i="1"/>
  <c r="CJ105" i="1"/>
  <c r="CP105" i="1" s="1"/>
  <c r="CO104" i="1"/>
  <c r="CJ104" i="1"/>
  <c r="CP104" i="1" s="1"/>
  <c r="CO103" i="1"/>
  <c r="CJ103" i="1"/>
  <c r="CP103" i="1" s="1"/>
  <c r="CO102" i="1"/>
  <c r="CJ102" i="1"/>
  <c r="CP102" i="1" s="1"/>
  <c r="CO101" i="1"/>
  <c r="CJ101" i="1"/>
  <c r="CP101" i="1" s="1"/>
  <c r="CO100" i="1"/>
  <c r="CJ100" i="1"/>
  <c r="CP100" i="1" s="1"/>
  <c r="CO99" i="1"/>
  <c r="CJ99" i="1"/>
  <c r="CP99" i="1" s="1"/>
  <c r="CO98" i="1"/>
  <c r="CJ98" i="1"/>
  <c r="CP98" i="1" s="1"/>
  <c r="CO97" i="1"/>
  <c r="CJ97" i="1"/>
  <c r="CP97" i="1" s="1"/>
  <c r="CO96" i="1"/>
  <c r="CJ96" i="1"/>
  <c r="CP96" i="1" s="1"/>
  <c r="CO95" i="1"/>
  <c r="CJ95" i="1"/>
  <c r="CP95" i="1" s="1"/>
  <c r="CO94" i="1"/>
  <c r="CJ94" i="1"/>
  <c r="CP94" i="1" s="1"/>
  <c r="CO93" i="1"/>
  <c r="CJ93" i="1"/>
  <c r="CP93" i="1" s="1"/>
  <c r="CO92" i="1"/>
  <c r="CJ92" i="1"/>
  <c r="CP92" i="1" s="1"/>
  <c r="CO91" i="1"/>
  <c r="CJ91" i="1"/>
  <c r="CP91" i="1" s="1"/>
  <c r="CO90" i="1"/>
  <c r="CJ90" i="1"/>
  <c r="CP90" i="1" s="1"/>
  <c r="CO89" i="1"/>
  <c r="CJ89" i="1"/>
  <c r="CP89" i="1" s="1"/>
  <c r="CO88" i="1"/>
  <c r="CJ88" i="1"/>
  <c r="CP88" i="1" s="1"/>
  <c r="CO87" i="1"/>
  <c r="CJ87" i="1"/>
  <c r="CP87" i="1" s="1"/>
  <c r="CO86" i="1"/>
  <c r="CJ86" i="1"/>
  <c r="CP86" i="1" s="1"/>
  <c r="CO85" i="1"/>
  <c r="CJ85" i="1"/>
  <c r="CP85" i="1" s="1"/>
  <c r="CO84" i="1"/>
  <c r="CJ84" i="1"/>
  <c r="CP84" i="1" s="1"/>
  <c r="CO83" i="1"/>
  <c r="CJ83" i="1"/>
  <c r="CP83" i="1" s="1"/>
  <c r="CO82" i="1"/>
  <c r="CJ82" i="1"/>
  <c r="CP82" i="1" s="1"/>
  <c r="CO81" i="1"/>
  <c r="CJ81" i="1"/>
  <c r="CP81" i="1" s="1"/>
  <c r="CO80" i="1"/>
  <c r="CJ80" i="1"/>
  <c r="CP80" i="1" s="1"/>
  <c r="CO79" i="1"/>
  <c r="CJ79" i="1"/>
  <c r="CP79" i="1" s="1"/>
  <c r="CO78" i="1"/>
  <c r="CJ78" i="1"/>
  <c r="CP78" i="1" s="1"/>
  <c r="CO77" i="1"/>
  <c r="CJ77" i="1"/>
  <c r="CP77" i="1" s="1"/>
  <c r="CO76" i="1"/>
  <c r="CJ76" i="1"/>
  <c r="CP76" i="1" s="1"/>
  <c r="CO75" i="1"/>
  <c r="CJ75" i="1"/>
  <c r="CP75" i="1" s="1"/>
  <c r="CO74" i="1"/>
  <c r="CJ74" i="1"/>
  <c r="CP74" i="1" s="1"/>
  <c r="CO73" i="1"/>
  <c r="CJ73" i="1"/>
  <c r="CP73" i="1" s="1"/>
  <c r="CO72" i="1"/>
  <c r="CJ72" i="1"/>
  <c r="CP72" i="1" s="1"/>
  <c r="CO71" i="1"/>
  <c r="CJ71" i="1"/>
  <c r="CP71" i="1" s="1"/>
  <c r="CO70" i="1"/>
  <c r="CJ70" i="1"/>
  <c r="CP70" i="1" s="1"/>
  <c r="CO69" i="1"/>
  <c r="CJ69" i="1"/>
  <c r="CP69" i="1" s="1"/>
  <c r="CO68" i="1"/>
  <c r="CJ68" i="1"/>
  <c r="CP68" i="1" s="1"/>
  <c r="CO67" i="1"/>
  <c r="CJ67" i="1"/>
  <c r="CP67" i="1" s="1"/>
  <c r="CO66" i="1"/>
  <c r="CJ66" i="1"/>
  <c r="CP66" i="1" s="1"/>
  <c r="CO65" i="1"/>
  <c r="CJ65" i="1"/>
  <c r="CP65" i="1" s="1"/>
  <c r="CO64" i="1"/>
  <c r="CJ64" i="1"/>
  <c r="CP64" i="1" s="1"/>
  <c r="CO63" i="1"/>
  <c r="CJ63" i="1"/>
  <c r="CP63" i="1" s="1"/>
  <c r="CO62" i="1"/>
  <c r="CJ62" i="1"/>
  <c r="CP62" i="1" s="1"/>
  <c r="CO61" i="1"/>
  <c r="CJ61" i="1"/>
  <c r="CP61" i="1" s="1"/>
  <c r="CO60" i="1"/>
  <c r="CJ60" i="1"/>
  <c r="CP60" i="1" s="1"/>
  <c r="CO59" i="1"/>
  <c r="CJ59" i="1"/>
  <c r="CP59" i="1" s="1"/>
  <c r="CO58" i="1"/>
  <c r="CJ58" i="1"/>
  <c r="CP58" i="1" s="1"/>
  <c r="CO57" i="1"/>
  <c r="CJ57" i="1"/>
  <c r="CP57" i="1" s="1"/>
  <c r="CO56" i="1"/>
  <c r="CJ56" i="1"/>
  <c r="CP56" i="1" s="1"/>
  <c r="CO55" i="1"/>
  <c r="CJ55" i="1"/>
  <c r="CP55" i="1" s="1"/>
  <c r="CO54" i="1"/>
  <c r="CJ54" i="1"/>
  <c r="CP54" i="1" s="1"/>
  <c r="CO53" i="1"/>
  <c r="CJ53" i="1"/>
  <c r="CP53" i="1" s="1"/>
  <c r="CO52" i="1"/>
  <c r="CJ52" i="1"/>
  <c r="CP52" i="1" s="1"/>
  <c r="CO51" i="1"/>
  <c r="CJ51" i="1"/>
  <c r="CP51" i="1" s="1"/>
  <c r="CO50" i="1"/>
  <c r="CJ50" i="1"/>
  <c r="CP50" i="1" s="1"/>
  <c r="CO49" i="1"/>
  <c r="CJ49" i="1"/>
  <c r="CP49" i="1" s="1"/>
  <c r="CO48" i="1"/>
  <c r="CJ48" i="1"/>
  <c r="CP48" i="1" s="1"/>
  <c r="CO47" i="1"/>
  <c r="CJ47" i="1"/>
  <c r="CP47" i="1" s="1"/>
  <c r="CO46" i="1"/>
  <c r="CJ46" i="1"/>
  <c r="CP46" i="1" s="1"/>
  <c r="CO45" i="1"/>
  <c r="CJ45" i="1"/>
  <c r="CP45" i="1" s="1"/>
  <c r="CO44" i="1"/>
  <c r="CJ44" i="1"/>
  <c r="CP44" i="1" s="1"/>
  <c r="CO43" i="1"/>
  <c r="CJ43" i="1"/>
  <c r="CP43" i="1" s="1"/>
  <c r="CO42" i="1"/>
  <c r="CJ42" i="1"/>
  <c r="CP42" i="1" s="1"/>
  <c r="CO41" i="1"/>
  <c r="CJ41" i="1"/>
  <c r="CP41" i="1" s="1"/>
  <c r="CO40" i="1"/>
  <c r="CJ40" i="1"/>
  <c r="CP40" i="1" s="1"/>
  <c r="CO39" i="1"/>
  <c r="CJ39" i="1"/>
  <c r="CP39" i="1" s="1"/>
  <c r="CO38" i="1"/>
  <c r="CJ38" i="1"/>
  <c r="CP38" i="1" s="1"/>
  <c r="CO37" i="1"/>
  <c r="CJ37" i="1"/>
  <c r="CP37" i="1" s="1"/>
  <c r="CO36" i="1"/>
  <c r="CJ36" i="1"/>
  <c r="CP36" i="1" s="1"/>
  <c r="CO35" i="1"/>
  <c r="CJ35" i="1"/>
  <c r="CP35" i="1" s="1"/>
  <c r="CO34" i="1"/>
  <c r="CJ34" i="1"/>
  <c r="CP34" i="1" s="1"/>
  <c r="CO33" i="1"/>
  <c r="CJ33" i="1"/>
  <c r="CP33" i="1" s="1"/>
  <c r="CO32" i="1"/>
  <c r="CJ32" i="1"/>
  <c r="CP32" i="1" s="1"/>
  <c r="CO31" i="1"/>
  <c r="CJ31" i="1"/>
  <c r="CP31" i="1" s="1"/>
  <c r="CO30" i="1"/>
  <c r="CJ30" i="1"/>
  <c r="CP30" i="1" s="1"/>
  <c r="CO29" i="1"/>
  <c r="CJ29" i="1"/>
  <c r="CP29" i="1" s="1"/>
  <c r="CO28" i="1"/>
  <c r="CJ28" i="1"/>
  <c r="CP28" i="1" s="1"/>
  <c r="CO27" i="1"/>
  <c r="CJ27" i="1"/>
  <c r="CP27" i="1" s="1"/>
  <c r="CO26" i="1"/>
  <c r="CJ26" i="1"/>
  <c r="CP26" i="1" s="1"/>
  <c r="CO25" i="1"/>
  <c r="CJ25" i="1"/>
  <c r="CP25" i="1" s="1"/>
  <c r="CO24" i="1"/>
  <c r="CJ24" i="1"/>
  <c r="CP24" i="1" s="1"/>
  <c r="CO23" i="1"/>
  <c r="CJ23" i="1"/>
  <c r="CP23" i="1" s="1"/>
  <c r="CO22" i="1"/>
  <c r="CJ22" i="1"/>
  <c r="CP22" i="1" s="1"/>
  <c r="CO21" i="1"/>
  <c r="CJ21" i="1"/>
  <c r="CP21" i="1" s="1"/>
  <c r="CO20" i="1"/>
  <c r="CJ20" i="1"/>
  <c r="CP20" i="1" s="1"/>
  <c r="CO19" i="1"/>
  <c r="CJ19" i="1"/>
  <c r="CP19" i="1" s="1"/>
  <c r="CO18" i="1"/>
  <c r="CJ18" i="1"/>
  <c r="CP18" i="1" s="1"/>
  <c r="CO17" i="1"/>
  <c r="CJ17" i="1"/>
  <c r="CP17" i="1" s="1"/>
  <c r="CO16" i="1"/>
  <c r="CJ16" i="1"/>
  <c r="CP16" i="1" s="1"/>
  <c r="CO15" i="1"/>
  <c r="CJ15" i="1"/>
  <c r="CP15" i="1" s="1"/>
  <c r="CO14" i="1"/>
  <c r="CJ14" i="1"/>
  <c r="CP14" i="1" s="1"/>
  <c r="CO13" i="1"/>
  <c r="CJ13" i="1"/>
  <c r="CP13" i="1" s="1"/>
  <c r="CO12" i="1"/>
  <c r="CJ12" i="1"/>
  <c r="CP12" i="1" s="1"/>
  <c r="CO11" i="1"/>
  <c r="CJ11" i="1"/>
  <c r="CP11" i="1" s="1"/>
  <c r="CO10" i="1"/>
  <c r="CJ10" i="1"/>
  <c r="CP10" i="1" s="1"/>
  <c r="CO9" i="1"/>
  <c r="CJ9" i="1"/>
  <c r="CP9" i="1" s="1"/>
  <c r="CO8" i="1"/>
  <c r="CJ8" i="1"/>
  <c r="CP8" i="1" s="1"/>
  <c r="CO7" i="1"/>
  <c r="CJ7" i="1"/>
  <c r="CP7" i="1" s="1"/>
  <c r="CO6" i="1"/>
  <c r="CJ6" i="1"/>
  <c r="CP6" i="1" s="1"/>
  <c r="CO5" i="1"/>
  <c r="CJ5" i="1"/>
  <c r="CP5" i="1" s="1"/>
  <c r="CO4" i="1"/>
  <c r="CJ4" i="1"/>
  <c r="CP4" i="1" s="1"/>
  <c r="CO3" i="1"/>
  <c r="CJ3" i="1"/>
  <c r="CP3" i="1" s="1"/>
  <c r="CO2" i="1"/>
  <c r="CJ2" i="1"/>
  <c r="CO294" i="1"/>
  <c r="CL294" i="1"/>
  <c r="CP294" i="1" s="1"/>
  <c r="CO291" i="1"/>
  <c r="CL291" i="1"/>
  <c r="CP291" i="1" s="1"/>
  <c r="CO285" i="1"/>
  <c r="CL285" i="1"/>
  <c r="CP285" i="1" s="1"/>
  <c r="CO262" i="1"/>
  <c r="CL246" i="1"/>
  <c r="CO246" i="1"/>
  <c r="CL238" i="1"/>
  <c r="CO238" i="1"/>
  <c r="CL2" i="1"/>
  <c r="CN366" i="1"/>
  <c r="CP366" i="1" s="1"/>
  <c r="CO366" i="1"/>
  <c r="CO296" i="1"/>
  <c r="CN296" i="1"/>
  <c r="CP296" i="1" s="1"/>
  <c r="CO295" i="1"/>
  <c r="CN295" i="1"/>
  <c r="CP295" i="1" s="1"/>
  <c r="CO293" i="1"/>
  <c r="CN293" i="1"/>
  <c r="CP293" i="1" s="1"/>
  <c r="CO292" i="1"/>
  <c r="CN292" i="1"/>
  <c r="CP292" i="1" s="1"/>
  <c r="CO290" i="1"/>
  <c r="CN290" i="1"/>
  <c r="CP290" i="1" s="1"/>
  <c r="CO289" i="1"/>
  <c r="CN289" i="1"/>
  <c r="CP289" i="1" s="1"/>
  <c r="CO288" i="1"/>
  <c r="CN288" i="1"/>
  <c r="CP288" i="1" s="1"/>
  <c r="CO287" i="1"/>
  <c r="CN287" i="1"/>
  <c r="CP287" i="1" s="1"/>
  <c r="CO286" i="1"/>
  <c r="CN286" i="1"/>
  <c r="CP286" i="1" s="1"/>
  <c r="CO284" i="1"/>
  <c r="CN284" i="1"/>
  <c r="CP284" i="1" s="1"/>
  <c r="CO283" i="1"/>
  <c r="CN283" i="1"/>
  <c r="CP283" i="1" s="1"/>
  <c r="CO282" i="1"/>
  <c r="CN282" i="1"/>
  <c r="CP282" i="1" s="1"/>
  <c r="CO281" i="1"/>
  <c r="CN281" i="1"/>
  <c r="CP281" i="1" s="1"/>
  <c r="CO280" i="1"/>
  <c r="CN280" i="1"/>
  <c r="CP280" i="1" s="1"/>
  <c r="CO279" i="1"/>
  <c r="CN279" i="1"/>
  <c r="CP279" i="1" s="1"/>
  <c r="CO278" i="1"/>
  <c r="CN278" i="1"/>
  <c r="CP278" i="1" s="1"/>
  <c r="CN230" i="1"/>
  <c r="CP230" i="1" s="1"/>
  <c r="CO230" i="1"/>
  <c r="CN2" i="1"/>
  <c r="CJ236" i="1"/>
  <c r="CL240" i="1"/>
  <c r="CJ244" i="1"/>
  <c r="CL248" i="1"/>
  <c r="CP276" i="1"/>
  <c r="CP268" i="1"/>
  <c r="CP260" i="1"/>
  <c r="CJ273" i="1"/>
  <c r="CP273" i="1" s="1"/>
  <c r="CJ265" i="1"/>
  <c r="CP265" i="1" s="1"/>
  <c r="CJ257" i="1"/>
  <c r="CP257" i="1" s="1"/>
  <c r="CO277" i="1"/>
  <c r="CO269" i="1"/>
  <c r="CO261" i="1"/>
  <c r="CO253" i="1"/>
  <c r="CJ272" i="1"/>
  <c r="CP272" i="1" s="1"/>
  <c r="CJ264" i="1"/>
  <c r="CP264" i="1" s="1"/>
  <c r="CJ256" i="1"/>
  <c r="CP256" i="1" s="1"/>
  <c r="CO276" i="1"/>
  <c r="CO268" i="1"/>
  <c r="CO260" i="1"/>
  <c r="CO254" i="1"/>
  <c r="CJ271" i="1"/>
  <c r="CP271" i="1" s="1"/>
  <c r="CJ263" i="1"/>
  <c r="CP263" i="1" s="1"/>
  <c r="CJ255" i="1"/>
  <c r="CP255" i="1" s="1"/>
  <c r="CO275" i="1"/>
  <c r="CO267" i="1"/>
  <c r="CO259" i="1"/>
  <c r="CO270" i="1"/>
  <c r="CL262" i="1"/>
  <c r="CP262" i="1" s="1"/>
  <c r="CP302" i="1"/>
  <c r="CP310" i="1"/>
  <c r="CP309" i="1"/>
  <c r="CP301" i="1"/>
  <c r="CJ305" i="1"/>
  <c r="CP305" i="1" s="1"/>
  <c r="CJ297" i="1"/>
  <c r="CP297" i="1" s="1"/>
  <c r="CO303" i="1"/>
  <c r="CO310" i="1"/>
  <c r="CO302" i="1"/>
  <c r="CO309" i="1"/>
  <c r="CO301" i="1"/>
  <c r="CO308" i="1"/>
  <c r="CO300" i="1"/>
  <c r="CO307" i="1"/>
  <c r="CO299" i="1"/>
  <c r="CP373" i="1"/>
  <c r="CJ372" i="1"/>
  <c r="CP372" i="1" s="1"/>
  <c r="CO373" i="1"/>
  <c r="CJ371" i="1"/>
  <c r="CP371" i="1" s="1"/>
  <c r="CJ378" i="1"/>
  <c r="CP378" i="1" s="1"/>
  <c r="CJ370" i="1"/>
  <c r="CP370" i="1" s="1"/>
  <c r="CJ377" i="1"/>
  <c r="CP377" i="1" s="1"/>
  <c r="CJ369" i="1"/>
  <c r="CP369" i="1" s="1"/>
  <c r="CJ376" i="1"/>
  <c r="CP376" i="1" s="1"/>
  <c r="CJ368" i="1"/>
  <c r="CP368" i="1" s="1"/>
  <c r="CJ375" i="1"/>
  <c r="CP375" i="1" s="1"/>
  <c r="CJ374" i="1"/>
  <c r="CP374" i="1" s="1"/>
  <c r="CP349" i="1"/>
  <c r="CP342" i="1"/>
  <c r="CP348" i="1"/>
  <c r="CP341" i="1"/>
  <c r="CJ345" i="1"/>
  <c r="CP345" i="1" s="1"/>
  <c r="CJ337" i="1"/>
  <c r="CP337" i="1" s="1"/>
  <c r="CO349" i="1"/>
  <c r="CO342" i="1"/>
  <c r="CJ344" i="1"/>
  <c r="CP344" i="1" s="1"/>
  <c r="CJ336" i="1"/>
  <c r="CP336" i="1" s="1"/>
  <c r="CO348" i="1"/>
  <c r="CO341" i="1"/>
  <c r="CJ350" i="1"/>
  <c r="CP350" i="1" s="1"/>
  <c r="CJ343" i="1"/>
  <c r="CP343" i="1" s="1"/>
  <c r="CO347" i="1"/>
  <c r="CO340" i="1"/>
  <c r="CP335" i="1"/>
  <c r="CO346" i="1"/>
  <c r="CO339" i="1"/>
  <c r="CO338" i="1"/>
  <c r="CO335" i="1"/>
  <c r="CO358" i="1"/>
  <c r="CP358" i="1"/>
  <c r="CP362" i="1"/>
  <c r="CP357" i="1"/>
  <c r="CP354" i="1"/>
  <c r="CP365" i="1"/>
  <c r="CJ364" i="1"/>
  <c r="CP364" i="1" s="1"/>
  <c r="CJ356" i="1"/>
  <c r="CP356" i="1" s="1"/>
  <c r="CJ363" i="1"/>
  <c r="CP363" i="1" s="1"/>
  <c r="CJ355" i="1"/>
  <c r="CP355" i="1" s="1"/>
  <c r="CJ361" i="1"/>
  <c r="CP361" i="1" s="1"/>
  <c r="CJ353" i="1"/>
  <c r="CP353" i="1" s="1"/>
  <c r="CJ360" i="1"/>
  <c r="CP360" i="1" s="1"/>
  <c r="CJ352" i="1"/>
  <c r="CP352" i="1" s="1"/>
  <c r="CJ367" i="1"/>
  <c r="CP367" i="1" s="1"/>
  <c r="CJ359" i="1"/>
  <c r="CP359" i="1" s="1"/>
  <c r="CJ351" i="1"/>
  <c r="CP351" i="1" s="1"/>
  <c r="CP249" i="1"/>
  <c r="CP241" i="1"/>
  <c r="CJ233" i="1"/>
  <c r="CP233" i="1" s="1"/>
  <c r="CO245" i="1"/>
  <c r="CO237" i="1"/>
  <c r="CO229" i="1"/>
  <c r="CJ248" i="1"/>
  <c r="CJ240" i="1"/>
  <c r="CJ232" i="1"/>
  <c r="CP232" i="1" s="1"/>
  <c r="CO252" i="1"/>
  <c r="CJ239" i="1"/>
  <c r="CP231" i="1"/>
  <c r="CO251" i="1"/>
  <c r="CO243" i="1"/>
  <c r="CO235" i="1"/>
  <c r="CN244" i="1"/>
  <c r="CN236" i="1"/>
  <c r="CO198" i="1"/>
  <c r="CO195" i="1"/>
  <c r="CO197" i="1"/>
  <c r="CO196" i="1"/>
  <c r="CN195" i="1"/>
  <c r="CP195" i="1" s="1"/>
  <c r="CO194" i="1"/>
  <c r="AM351" i="1"/>
  <c r="AM352" i="1"/>
  <c r="AM353" i="1"/>
  <c r="AM354" i="1"/>
  <c r="AM355" i="1"/>
  <c r="AM356" i="1"/>
  <c r="AM357" i="1"/>
  <c r="AM358" i="1"/>
  <c r="AM359" i="1"/>
  <c r="AM360" i="1"/>
  <c r="AM361" i="1"/>
  <c r="AM362" i="1"/>
  <c r="AM363" i="1"/>
  <c r="AM364" i="1"/>
  <c r="AM365" i="1"/>
  <c r="AM366" i="1"/>
  <c r="AM367" i="1"/>
  <c r="AM368" i="1"/>
  <c r="AM369" i="1"/>
  <c r="AM370" i="1"/>
  <c r="AM371" i="1"/>
  <c r="AM372" i="1"/>
  <c r="AM373" i="1"/>
  <c r="AM374" i="1"/>
  <c r="AM375" i="1"/>
  <c r="AM376" i="1"/>
  <c r="AM377" i="1"/>
  <c r="AM378" i="1"/>
  <c r="BP351" i="1"/>
  <c r="BP352" i="1"/>
  <c r="BP353" i="1"/>
  <c r="BP354" i="1"/>
  <c r="BP355" i="1"/>
  <c r="BQ355" i="1" s="1"/>
  <c r="BX355" i="1" s="1"/>
  <c r="BZ355" i="1" s="1"/>
  <c r="BP356" i="1"/>
  <c r="BP357" i="1"/>
  <c r="BP358" i="1"/>
  <c r="BP359" i="1"/>
  <c r="BP360" i="1"/>
  <c r="BP361" i="1"/>
  <c r="BP362" i="1"/>
  <c r="BP363" i="1"/>
  <c r="BP364" i="1"/>
  <c r="BP365" i="1"/>
  <c r="BP366" i="1"/>
  <c r="BP367" i="1"/>
  <c r="BP368" i="1"/>
  <c r="BP369" i="1"/>
  <c r="BP370" i="1"/>
  <c r="BP371" i="1"/>
  <c r="BP372" i="1"/>
  <c r="BP373" i="1"/>
  <c r="BP374" i="1"/>
  <c r="BP375" i="1"/>
  <c r="BP376" i="1"/>
  <c r="BP377" i="1"/>
  <c r="BP378" i="1"/>
  <c r="BY351" i="1"/>
  <c r="DG351" i="1" s="1"/>
  <c r="BY352" i="1"/>
  <c r="DG352" i="1" s="1"/>
  <c r="BY353" i="1"/>
  <c r="DG353" i="1" s="1"/>
  <c r="BY354" i="1"/>
  <c r="DG354" i="1" s="1"/>
  <c r="BY355" i="1"/>
  <c r="DG355" i="1" s="1"/>
  <c r="BY356" i="1"/>
  <c r="DG356" i="1" s="1"/>
  <c r="BY357" i="1"/>
  <c r="DG357" i="1" s="1"/>
  <c r="BY358" i="1"/>
  <c r="BY359" i="1"/>
  <c r="DG359" i="1" s="1"/>
  <c r="BY360" i="1"/>
  <c r="DG360" i="1" s="1"/>
  <c r="BY361" i="1"/>
  <c r="DG361" i="1" s="1"/>
  <c r="BY362" i="1"/>
  <c r="DG362" i="1" s="1"/>
  <c r="BY363" i="1"/>
  <c r="DG363" i="1" s="1"/>
  <c r="BY364" i="1"/>
  <c r="DG364" i="1" s="1"/>
  <c r="BY365" i="1"/>
  <c r="DG365" i="1" s="1"/>
  <c r="BY366" i="1"/>
  <c r="DG366" i="1" s="1"/>
  <c r="BY367" i="1"/>
  <c r="DG367" i="1" s="1"/>
  <c r="BY368" i="1"/>
  <c r="DG368" i="1" s="1"/>
  <c r="BY369" i="1"/>
  <c r="DG369" i="1" s="1"/>
  <c r="BY370" i="1"/>
  <c r="DG370" i="1" s="1"/>
  <c r="BY371" i="1"/>
  <c r="DG371" i="1" s="1"/>
  <c r="BY372" i="1"/>
  <c r="DG372" i="1" s="1"/>
  <c r="BY373" i="1"/>
  <c r="BY374" i="1"/>
  <c r="DG374" i="1" s="1"/>
  <c r="BY375" i="1"/>
  <c r="DG375" i="1" s="1"/>
  <c r="BY376" i="1"/>
  <c r="DG376" i="1" s="1"/>
  <c r="BY377" i="1"/>
  <c r="DG377" i="1" s="1"/>
  <c r="BY378" i="1"/>
  <c r="DG378" i="1" s="1"/>
  <c r="CE351" i="1"/>
  <c r="CG351" i="1" s="1"/>
  <c r="CE352" i="1"/>
  <c r="CG352" i="1" s="1"/>
  <c r="CE353" i="1"/>
  <c r="CG353" i="1" s="1"/>
  <c r="CE354" i="1"/>
  <c r="CG354" i="1" s="1"/>
  <c r="CE355" i="1"/>
  <c r="CG355" i="1" s="1"/>
  <c r="CE356" i="1"/>
  <c r="CG356" i="1" s="1"/>
  <c r="CE357" i="1"/>
  <c r="CG357" i="1" s="1"/>
  <c r="CE358" i="1"/>
  <c r="CG358" i="1" s="1"/>
  <c r="CE359" i="1"/>
  <c r="CG359" i="1" s="1"/>
  <c r="CE360" i="1"/>
  <c r="CG360" i="1" s="1"/>
  <c r="CE361" i="1"/>
  <c r="CG361" i="1" s="1"/>
  <c r="CE362" i="1"/>
  <c r="CG362" i="1" s="1"/>
  <c r="CE363" i="1"/>
  <c r="CG363" i="1" s="1"/>
  <c r="CE364" i="1"/>
  <c r="CG364" i="1" s="1"/>
  <c r="CE365" i="1"/>
  <c r="CG365" i="1" s="1"/>
  <c r="CE366" i="1"/>
  <c r="CG366" i="1" s="1"/>
  <c r="CE367" i="1"/>
  <c r="CG367" i="1" s="1"/>
  <c r="CG368" i="1"/>
  <c r="CG369" i="1"/>
  <c r="CG370" i="1"/>
  <c r="CG371" i="1"/>
  <c r="CG372" i="1"/>
  <c r="CG373" i="1"/>
  <c r="CG374" i="1"/>
  <c r="CG375" i="1"/>
  <c r="CG376" i="1"/>
  <c r="CG377" i="1"/>
  <c r="CG378" i="1"/>
  <c r="DG358" i="1" l="1"/>
  <c r="DG373" i="1"/>
  <c r="DH355" i="1"/>
  <c r="DH370" i="1"/>
  <c r="CP247" i="1"/>
  <c r="CP239" i="1"/>
  <c r="CP235" i="1"/>
  <c r="CP251" i="1"/>
  <c r="CP242" i="1"/>
  <c r="CP243" i="1"/>
  <c r="BR355" i="1"/>
  <c r="BQ363" i="1"/>
  <c r="BX363" i="1" s="1"/>
  <c r="BZ363" i="1" s="1"/>
  <c r="BQ370" i="1"/>
  <c r="BX370" i="1" s="1"/>
  <c r="BZ370" i="1" s="1"/>
  <c r="BQ378" i="1"/>
  <c r="BX378" i="1" s="1"/>
  <c r="BZ378" i="1" s="1"/>
  <c r="DH378" i="1" s="1"/>
  <c r="BQ354" i="1"/>
  <c r="BX354" i="1" s="1"/>
  <c r="BZ354" i="1" s="1"/>
  <c r="BQ377" i="1"/>
  <c r="BX377" i="1" s="1"/>
  <c r="BZ377" i="1" s="1"/>
  <c r="DH377" i="1" s="1"/>
  <c r="BQ361" i="1"/>
  <c r="BX361" i="1" s="1"/>
  <c r="BZ361" i="1" s="1"/>
  <c r="DH361" i="1" s="1"/>
  <c r="DI361" i="1" s="1"/>
  <c r="BQ353" i="1"/>
  <c r="BX353" i="1" s="1"/>
  <c r="BZ353" i="1" s="1"/>
  <c r="DH353" i="1" s="1"/>
  <c r="BQ371" i="1"/>
  <c r="BX371" i="1" s="1"/>
  <c r="BZ371" i="1" s="1"/>
  <c r="DH371" i="1" s="1"/>
  <c r="BQ362" i="1"/>
  <c r="BX362" i="1" s="1"/>
  <c r="BZ362" i="1" s="1"/>
  <c r="DH362" i="1" s="1"/>
  <c r="BQ369" i="1"/>
  <c r="BX369" i="1" s="1"/>
  <c r="BZ369" i="1" s="1"/>
  <c r="DH369" i="1" s="1"/>
  <c r="BQ376" i="1"/>
  <c r="BX376" i="1" s="1"/>
  <c r="BZ376" i="1" s="1"/>
  <c r="DH376" i="1" s="1"/>
  <c r="BQ368" i="1"/>
  <c r="BX368" i="1" s="1"/>
  <c r="BZ368" i="1" s="1"/>
  <c r="BQ360" i="1"/>
  <c r="BX360" i="1" s="1"/>
  <c r="BZ360" i="1" s="1"/>
  <c r="DH360" i="1" s="1"/>
  <c r="BQ352" i="1"/>
  <c r="BX352" i="1" s="1"/>
  <c r="BZ352" i="1" s="1"/>
  <c r="DH352" i="1" s="1"/>
  <c r="BQ375" i="1"/>
  <c r="BX375" i="1" s="1"/>
  <c r="BZ375" i="1" s="1"/>
  <c r="DH375" i="1" s="1"/>
  <c r="BQ359" i="1"/>
  <c r="BX359" i="1" s="1"/>
  <c r="BZ359" i="1" s="1"/>
  <c r="DH359" i="1" s="1"/>
  <c r="BQ374" i="1"/>
  <c r="BX374" i="1" s="1"/>
  <c r="BZ374" i="1" s="1"/>
  <c r="DH374" i="1" s="1"/>
  <c r="BQ366" i="1"/>
  <c r="BX366" i="1" s="1"/>
  <c r="BZ366" i="1" s="1"/>
  <c r="DH366" i="1" s="1"/>
  <c r="BQ358" i="1"/>
  <c r="BX358" i="1" s="1"/>
  <c r="BZ358" i="1" s="1"/>
  <c r="BQ367" i="1"/>
  <c r="BX367" i="1" s="1"/>
  <c r="BZ367" i="1" s="1"/>
  <c r="BQ351" i="1"/>
  <c r="BX351" i="1" s="1"/>
  <c r="BZ351" i="1" s="1"/>
  <c r="DH351" i="1" s="1"/>
  <c r="BQ373" i="1"/>
  <c r="BX373" i="1" s="1"/>
  <c r="BZ373" i="1" s="1"/>
  <c r="DH373" i="1" s="1"/>
  <c r="BQ365" i="1"/>
  <c r="BX365" i="1" s="1"/>
  <c r="BZ365" i="1" s="1"/>
  <c r="BQ357" i="1"/>
  <c r="BX357" i="1" s="1"/>
  <c r="BZ357" i="1" s="1"/>
  <c r="DH357" i="1" s="1"/>
  <c r="BQ372" i="1"/>
  <c r="BX372" i="1" s="1"/>
  <c r="BZ372" i="1" s="1"/>
  <c r="DH372" i="1" s="1"/>
  <c r="BQ364" i="1"/>
  <c r="BX364" i="1" s="1"/>
  <c r="BZ364" i="1" s="1"/>
  <c r="BQ356" i="1"/>
  <c r="BX356" i="1" s="1"/>
  <c r="BZ356" i="1" s="1"/>
  <c r="DH356" i="1" s="1"/>
  <c r="CP240" i="1"/>
  <c r="CP250" i="1"/>
  <c r="CP234" i="1"/>
  <c r="CP248" i="1"/>
  <c r="CP236" i="1"/>
  <c r="CP238" i="1"/>
  <c r="CP244" i="1"/>
  <c r="CP246" i="1"/>
  <c r="CP2" i="1"/>
  <c r="DI355" i="1"/>
  <c r="CE177" i="1"/>
  <c r="CE171" i="1"/>
  <c r="DI366" i="1" l="1"/>
  <c r="DI356" i="1"/>
  <c r="DI362" i="1"/>
  <c r="DH364" i="1"/>
  <c r="DI364" i="1" s="1"/>
  <c r="DI357" i="1"/>
  <c r="DI359" i="1"/>
  <c r="DI353" i="1"/>
  <c r="DH363" i="1"/>
  <c r="DI363" i="1" s="1"/>
  <c r="DH367" i="1"/>
  <c r="DI367" i="1" s="1"/>
  <c r="DI352" i="1"/>
  <c r="DI351" i="1"/>
  <c r="DI360" i="1"/>
  <c r="DH354" i="1"/>
  <c r="DI354" i="1" s="1"/>
  <c r="DH365" i="1"/>
  <c r="DI365" i="1" s="1"/>
  <c r="DH358" i="1"/>
  <c r="DI358" i="1" s="1"/>
  <c r="DH368" i="1"/>
  <c r="DI368" i="1" s="1"/>
  <c r="BR365" i="1"/>
  <c r="BR358" i="1"/>
  <c r="BR372" i="1"/>
  <c r="BR353" i="1"/>
  <c r="BR376" i="1"/>
  <c r="BR356" i="1"/>
  <c r="BR378" i="1"/>
  <c r="BR351" i="1"/>
  <c r="BR375" i="1"/>
  <c r="BR377" i="1"/>
  <c r="BR362" i="1"/>
  <c r="BR360" i="1"/>
  <c r="BR374" i="1"/>
  <c r="BR363" i="1"/>
  <c r="BR357" i="1"/>
  <c r="BR367" i="1"/>
  <c r="BR359" i="1"/>
  <c r="BR368" i="1"/>
  <c r="BR371" i="1"/>
  <c r="BR354" i="1"/>
  <c r="BR364" i="1"/>
  <c r="BR373" i="1"/>
  <c r="BR366" i="1"/>
  <c r="BR352" i="1"/>
  <c r="BR369" i="1"/>
  <c r="BR361" i="1"/>
  <c r="BR370" i="1"/>
  <c r="CE350" i="1" l="1"/>
  <c r="CE349" i="1"/>
  <c r="CE348" i="1"/>
  <c r="CE347" i="1"/>
  <c r="CE346" i="1"/>
  <c r="CE345" i="1"/>
  <c r="CE344" i="1"/>
  <c r="CE343" i="1"/>
  <c r="CE342" i="1"/>
  <c r="CE341" i="1"/>
  <c r="CE340" i="1"/>
  <c r="CE339" i="1"/>
  <c r="CE338" i="1"/>
  <c r="CE337" i="1"/>
  <c r="CE336" i="1"/>
  <c r="CE335" i="1"/>
  <c r="CE310" i="1"/>
  <c r="CE309" i="1"/>
  <c r="CE308" i="1"/>
  <c r="CE307" i="1"/>
  <c r="CE306" i="1"/>
  <c r="CE305" i="1"/>
  <c r="CE304" i="1"/>
  <c r="CE303" i="1"/>
  <c r="CE302" i="1"/>
  <c r="CE301" i="1"/>
  <c r="CE300" i="1"/>
  <c r="CE299" i="1"/>
  <c r="CE298" i="1"/>
  <c r="CE297" i="1"/>
  <c r="CE296" i="1"/>
  <c r="CE295" i="1"/>
  <c r="CE294" i="1"/>
  <c r="CE293" i="1"/>
  <c r="CE292" i="1"/>
  <c r="CE291" i="1"/>
  <c r="CE290" i="1"/>
  <c r="CE289" i="1"/>
  <c r="CE288" i="1"/>
  <c r="CE287" i="1"/>
  <c r="CE286" i="1"/>
  <c r="CE285" i="1"/>
  <c r="CE284" i="1"/>
  <c r="CE283" i="1"/>
  <c r="CE282" i="1"/>
  <c r="CE281" i="1"/>
  <c r="CE280" i="1"/>
  <c r="CE279" i="1"/>
  <c r="CE278" i="1"/>
  <c r="CE277" i="1"/>
  <c r="CE276" i="1"/>
  <c r="CE275" i="1"/>
  <c r="CE274" i="1"/>
  <c r="CE273" i="1"/>
  <c r="CE272" i="1"/>
  <c r="CE271" i="1"/>
  <c r="CE270" i="1"/>
  <c r="CE269" i="1"/>
  <c r="CE268" i="1"/>
  <c r="CE267" i="1"/>
  <c r="CE266" i="1"/>
  <c r="CE265" i="1"/>
  <c r="CE264" i="1"/>
  <c r="CE263" i="1"/>
  <c r="CE262" i="1"/>
  <c r="CE261" i="1"/>
  <c r="CE260" i="1"/>
  <c r="CE259" i="1"/>
  <c r="CE258" i="1"/>
  <c r="CE257" i="1"/>
  <c r="CE256" i="1"/>
  <c r="CE255" i="1"/>
  <c r="CE254" i="1"/>
  <c r="CE253" i="1"/>
  <c r="CE228" i="1"/>
  <c r="CE227" i="1"/>
  <c r="CE226" i="1"/>
  <c r="CE225" i="1"/>
  <c r="CE224" i="1"/>
  <c r="CE223" i="1"/>
  <c r="CE222" i="1"/>
  <c r="CE221" i="1"/>
  <c r="CE220" i="1"/>
  <c r="CE219" i="1"/>
  <c r="CE218" i="1"/>
  <c r="CE217" i="1"/>
  <c r="CE216" i="1"/>
  <c r="CE215" i="1"/>
  <c r="CE214" i="1"/>
  <c r="CE213" i="1"/>
  <c r="CE212" i="1"/>
  <c r="CE211" i="1"/>
  <c r="CE210" i="1"/>
  <c r="CE193" i="1"/>
  <c r="CE192" i="1"/>
  <c r="CE191" i="1"/>
  <c r="CE190" i="1"/>
  <c r="CE189" i="1"/>
  <c r="CE188" i="1"/>
  <c r="CE187" i="1"/>
  <c r="CE186" i="1"/>
  <c r="CE185" i="1"/>
  <c r="CE184" i="1"/>
  <c r="CE183" i="1"/>
  <c r="CE182" i="1"/>
  <c r="CE181" i="1"/>
  <c r="CE180" i="1"/>
  <c r="CE179" i="1"/>
  <c r="CE178" i="1"/>
  <c r="CE176" i="1"/>
  <c r="CE175" i="1"/>
  <c r="CE174" i="1"/>
  <c r="CE173" i="1"/>
  <c r="CE172" i="1"/>
  <c r="CE170" i="1"/>
  <c r="CE169" i="1"/>
  <c r="CE168" i="1"/>
  <c r="CE167" i="1"/>
  <c r="CE166" i="1"/>
  <c r="CE165" i="1"/>
  <c r="CE164" i="1"/>
  <c r="CE163" i="1"/>
  <c r="CE162" i="1"/>
  <c r="CE161" i="1"/>
  <c r="CE160" i="1"/>
  <c r="CE159" i="1"/>
  <c r="CE158" i="1"/>
  <c r="CE157" i="1"/>
  <c r="CE156" i="1"/>
  <c r="CE155" i="1"/>
  <c r="CE154" i="1"/>
  <c r="CE153" i="1"/>
  <c r="CE152" i="1"/>
  <c r="CE151" i="1"/>
  <c r="CE150" i="1"/>
  <c r="CE149" i="1"/>
  <c r="CE148" i="1"/>
  <c r="CE147" i="1"/>
  <c r="CE146" i="1"/>
  <c r="CE145" i="1"/>
  <c r="CE144" i="1"/>
  <c r="CE143" i="1"/>
  <c r="CE142" i="1"/>
  <c r="CE141" i="1"/>
  <c r="CE140" i="1"/>
  <c r="CE139" i="1"/>
  <c r="CE138" i="1"/>
  <c r="CE137" i="1"/>
  <c r="CE136" i="1"/>
  <c r="CE135" i="1"/>
  <c r="CE134" i="1"/>
  <c r="CE133" i="1"/>
  <c r="CE132" i="1"/>
  <c r="CE131" i="1"/>
  <c r="CE130" i="1"/>
  <c r="CE129" i="1"/>
  <c r="CE128" i="1"/>
  <c r="CE127" i="1"/>
  <c r="CE126" i="1"/>
  <c r="CE125" i="1"/>
  <c r="CE124" i="1"/>
  <c r="CE123" i="1"/>
  <c r="CE122" i="1"/>
  <c r="CE121" i="1"/>
  <c r="CE120" i="1"/>
  <c r="CE119" i="1"/>
  <c r="CE118" i="1"/>
  <c r="CE117" i="1"/>
  <c r="CE116" i="1"/>
  <c r="CE115" i="1"/>
  <c r="CE114" i="1"/>
  <c r="CE113" i="1"/>
  <c r="CE112" i="1"/>
  <c r="CE111" i="1"/>
  <c r="CE110" i="1"/>
  <c r="CE109" i="1"/>
  <c r="CE108" i="1"/>
  <c r="CE107" i="1"/>
  <c r="CE106" i="1"/>
  <c r="CE105" i="1"/>
  <c r="CE104" i="1"/>
  <c r="CE103" i="1"/>
  <c r="CE102" i="1"/>
  <c r="CE101" i="1"/>
  <c r="CE100" i="1"/>
  <c r="CE99" i="1"/>
  <c r="CE98" i="1"/>
  <c r="CE97" i="1"/>
  <c r="CE96" i="1"/>
  <c r="CE95" i="1"/>
  <c r="CE94" i="1"/>
  <c r="CE93" i="1"/>
  <c r="CE92" i="1"/>
  <c r="CE91" i="1"/>
  <c r="CE90" i="1"/>
  <c r="CE89" i="1"/>
  <c r="CE88" i="1"/>
  <c r="CE87" i="1"/>
  <c r="CE86" i="1"/>
  <c r="CE85" i="1"/>
  <c r="CE84" i="1"/>
  <c r="CE83" i="1"/>
  <c r="CE82" i="1"/>
  <c r="CE81" i="1"/>
  <c r="CE80" i="1"/>
  <c r="CE79" i="1"/>
  <c r="CE78" i="1"/>
  <c r="CE77" i="1"/>
  <c r="CE76" i="1"/>
  <c r="CE75" i="1"/>
  <c r="CE74" i="1"/>
  <c r="CE73" i="1"/>
  <c r="CE72" i="1"/>
  <c r="CE71" i="1"/>
  <c r="CE70" i="1"/>
  <c r="CE69" i="1"/>
  <c r="CE68" i="1"/>
  <c r="CE67" i="1"/>
  <c r="CE65" i="1"/>
  <c r="CE64" i="1"/>
  <c r="CE63" i="1"/>
  <c r="CE62" i="1"/>
  <c r="CE61" i="1"/>
  <c r="CE60" i="1"/>
  <c r="CE59" i="1"/>
  <c r="CE58" i="1"/>
  <c r="CE57" i="1"/>
  <c r="CE56" i="1"/>
  <c r="CE55" i="1"/>
  <c r="CE54" i="1"/>
  <c r="CE53" i="1"/>
  <c r="CE52" i="1"/>
  <c r="CE51" i="1"/>
  <c r="CE50" i="1"/>
  <c r="CE49" i="1"/>
  <c r="CE48" i="1"/>
  <c r="CE47" i="1"/>
  <c r="CE46" i="1"/>
  <c r="CE45" i="1"/>
  <c r="CE44" i="1"/>
  <c r="CE43" i="1"/>
  <c r="CE42" i="1"/>
  <c r="CE41" i="1"/>
  <c r="CE40" i="1"/>
  <c r="CE39" i="1"/>
  <c r="CE38" i="1"/>
  <c r="CE37" i="1"/>
  <c r="CE36" i="1"/>
  <c r="CE35" i="1"/>
  <c r="CE34" i="1"/>
  <c r="CE33" i="1"/>
  <c r="CE32" i="1"/>
  <c r="CE31" i="1"/>
  <c r="CE30" i="1"/>
  <c r="CE29" i="1"/>
  <c r="CE28" i="1"/>
  <c r="CE27" i="1"/>
  <c r="CE26" i="1"/>
  <c r="CE25" i="1"/>
  <c r="CE24" i="1"/>
  <c r="CE23" i="1"/>
  <c r="CE22" i="1"/>
  <c r="CE21" i="1"/>
  <c r="CE20" i="1"/>
  <c r="CE19" i="1"/>
  <c r="CE18" i="1"/>
  <c r="CE17" i="1"/>
  <c r="CE16" i="1"/>
  <c r="CE15" i="1"/>
  <c r="CE14" i="1"/>
  <c r="CE13" i="1"/>
  <c r="CE12" i="1"/>
  <c r="CE11" i="1"/>
  <c r="CE10" i="1"/>
  <c r="CE9" i="1"/>
  <c r="CE8" i="1"/>
  <c r="CE7" i="1"/>
  <c r="CE6" i="1"/>
  <c r="CE5" i="1"/>
  <c r="CE4" i="1"/>
  <c r="CE3" i="1"/>
  <c r="CE2" i="1"/>
  <c r="CF312" i="1" l="1"/>
  <c r="CF313" i="1"/>
  <c r="CF314" i="1"/>
  <c r="CF315" i="1"/>
  <c r="CF316" i="1"/>
  <c r="CF317" i="1"/>
  <c r="CF318" i="1"/>
  <c r="CF319" i="1"/>
  <c r="CF320" i="1"/>
  <c r="CF321" i="1"/>
  <c r="CF322" i="1"/>
  <c r="CF323" i="1"/>
  <c r="CF324" i="1"/>
  <c r="CF325" i="1"/>
  <c r="CF326" i="1"/>
  <c r="CF327" i="1"/>
  <c r="CF328" i="1"/>
  <c r="CF329" i="1"/>
  <c r="CF330" i="1"/>
  <c r="CF331" i="1"/>
  <c r="CF332" i="1"/>
  <c r="CF333" i="1"/>
  <c r="CF334" i="1"/>
  <c r="CB312" i="1"/>
  <c r="CC312" i="1"/>
  <c r="CD312" i="1"/>
  <c r="CM312" i="1" s="1"/>
  <c r="CO312" i="1" s="1"/>
  <c r="CB313" i="1"/>
  <c r="CC313" i="1"/>
  <c r="CD313" i="1"/>
  <c r="CM313" i="1" s="1"/>
  <c r="CO313" i="1" s="1"/>
  <c r="CB314" i="1"/>
  <c r="CC314" i="1"/>
  <c r="CD314" i="1"/>
  <c r="CB315" i="1"/>
  <c r="CC315" i="1"/>
  <c r="CD315" i="1"/>
  <c r="CM315" i="1" s="1"/>
  <c r="CB316" i="1"/>
  <c r="CC316" i="1"/>
  <c r="CD316" i="1"/>
  <c r="CB317" i="1"/>
  <c r="CC317" i="1"/>
  <c r="CD317" i="1"/>
  <c r="CB318" i="1"/>
  <c r="CC318" i="1"/>
  <c r="CD318" i="1"/>
  <c r="CB319" i="1"/>
  <c r="CC319" i="1"/>
  <c r="CD319" i="1"/>
  <c r="CM319" i="1" s="1"/>
  <c r="CO319" i="1" s="1"/>
  <c r="CB320" i="1"/>
  <c r="CC320" i="1"/>
  <c r="CD320" i="1"/>
  <c r="CB321" i="1"/>
  <c r="CC321" i="1"/>
  <c r="CD321" i="1"/>
  <c r="CB322" i="1"/>
  <c r="CC322" i="1"/>
  <c r="CD322" i="1"/>
  <c r="CM322" i="1" s="1"/>
  <c r="CO322" i="1" s="1"/>
  <c r="CB323" i="1"/>
  <c r="CC323" i="1"/>
  <c r="CD323" i="1"/>
  <c r="CB324" i="1"/>
  <c r="CC324" i="1"/>
  <c r="CD324" i="1"/>
  <c r="CM324" i="1" s="1"/>
  <c r="CO324" i="1" s="1"/>
  <c r="CB325" i="1"/>
  <c r="CC325" i="1"/>
  <c r="CD325" i="1"/>
  <c r="CB326" i="1"/>
  <c r="CC326" i="1"/>
  <c r="CD326" i="1"/>
  <c r="CB327" i="1"/>
  <c r="CC327" i="1"/>
  <c r="CD327" i="1"/>
  <c r="CB328" i="1"/>
  <c r="CC328" i="1"/>
  <c r="CD328" i="1"/>
  <c r="CB329" i="1"/>
  <c r="CC329" i="1"/>
  <c r="CD329" i="1"/>
  <c r="CB330" i="1"/>
  <c r="CC330" i="1"/>
  <c r="CD330" i="1"/>
  <c r="CB331" i="1"/>
  <c r="CC331" i="1"/>
  <c r="CD331" i="1"/>
  <c r="CB332" i="1"/>
  <c r="CC332" i="1"/>
  <c r="CD332" i="1"/>
  <c r="CM332" i="1" s="1"/>
  <c r="CO332" i="1" s="1"/>
  <c r="CB333" i="1"/>
  <c r="CC333" i="1"/>
  <c r="CD333" i="1"/>
  <c r="CB334" i="1"/>
  <c r="CC334" i="1"/>
  <c r="CD334" i="1"/>
  <c r="CF311" i="1"/>
  <c r="CC311" i="1"/>
  <c r="CD311" i="1"/>
  <c r="CB311" i="1"/>
  <c r="CM209" i="1"/>
  <c r="CN209" i="1" s="1"/>
  <c r="CK209" i="1"/>
  <c r="CL209" i="1" s="1"/>
  <c r="CI209" i="1"/>
  <c r="CM208" i="1"/>
  <c r="CN208" i="1" s="1"/>
  <c r="CK208" i="1"/>
  <c r="CL208" i="1" s="1"/>
  <c r="CI208" i="1"/>
  <c r="CM207" i="1"/>
  <c r="CN207" i="1" s="1"/>
  <c r="CK207" i="1"/>
  <c r="CL207" i="1" s="1"/>
  <c r="CI207" i="1"/>
  <c r="CM206" i="1"/>
  <c r="CN206" i="1" s="1"/>
  <c r="CK206" i="1"/>
  <c r="CL206" i="1" s="1"/>
  <c r="CI206" i="1"/>
  <c r="CM205" i="1"/>
  <c r="CN205" i="1" s="1"/>
  <c r="CK205" i="1"/>
  <c r="CL205" i="1" s="1"/>
  <c r="CI205" i="1"/>
  <c r="CM204" i="1"/>
  <c r="CN204" i="1" s="1"/>
  <c r="CK204" i="1"/>
  <c r="CL204" i="1" s="1"/>
  <c r="CI204" i="1"/>
  <c r="CM203" i="1"/>
  <c r="CN203" i="1" s="1"/>
  <c r="CK203" i="1"/>
  <c r="CL203" i="1" s="1"/>
  <c r="CI203" i="1"/>
  <c r="BP278" i="1"/>
  <c r="BP279" i="1"/>
  <c r="BP280" i="1"/>
  <c r="BP281" i="1"/>
  <c r="BP282" i="1"/>
  <c r="BP283" i="1"/>
  <c r="BP284" i="1"/>
  <c r="BP285" i="1"/>
  <c r="BP286" i="1"/>
  <c r="BP287" i="1"/>
  <c r="BP288" i="1"/>
  <c r="BP289" i="1"/>
  <c r="BP290" i="1"/>
  <c r="BP291" i="1"/>
  <c r="BP292" i="1"/>
  <c r="BP293" i="1"/>
  <c r="BP294" i="1"/>
  <c r="BP295" i="1"/>
  <c r="BP296" i="1"/>
  <c r="BP229" i="1"/>
  <c r="BP230" i="1"/>
  <c r="BP231" i="1"/>
  <c r="BP232" i="1"/>
  <c r="BP233" i="1"/>
  <c r="BP234" i="1"/>
  <c r="BP235" i="1"/>
  <c r="BP236" i="1"/>
  <c r="BP237" i="1"/>
  <c r="BP238" i="1"/>
  <c r="BP239" i="1"/>
  <c r="BP240" i="1"/>
  <c r="BP241" i="1"/>
  <c r="BP242" i="1"/>
  <c r="BP243" i="1"/>
  <c r="BP244" i="1"/>
  <c r="BP245" i="1"/>
  <c r="BP246" i="1"/>
  <c r="BP247" i="1"/>
  <c r="BP248" i="1"/>
  <c r="BP249" i="1"/>
  <c r="BP250" i="1"/>
  <c r="BP251" i="1"/>
  <c r="BP315" i="1"/>
  <c r="BQ315" i="1" s="1"/>
  <c r="BP316" i="1"/>
  <c r="BQ316" i="1" s="1"/>
  <c r="BP317" i="1"/>
  <c r="BQ317" i="1" s="1"/>
  <c r="BP318" i="1"/>
  <c r="BQ318" i="1" s="1"/>
  <c r="BP319" i="1"/>
  <c r="BQ319" i="1" s="1"/>
  <c r="BP320" i="1"/>
  <c r="BQ320" i="1" s="1"/>
  <c r="BP321" i="1"/>
  <c r="BQ321" i="1" s="1"/>
  <c r="BP322" i="1"/>
  <c r="BQ322" i="1" s="1"/>
  <c r="BP323" i="1"/>
  <c r="BQ323" i="1" s="1"/>
  <c r="BP324" i="1"/>
  <c r="BQ324" i="1" s="1"/>
  <c r="BP325" i="1"/>
  <c r="BQ325" i="1" s="1"/>
  <c r="BP326" i="1"/>
  <c r="BQ326" i="1" s="1"/>
  <c r="BP327" i="1"/>
  <c r="BQ327" i="1" s="1"/>
  <c r="BP328" i="1"/>
  <c r="BQ328" i="1" s="1"/>
  <c r="BP329" i="1"/>
  <c r="BQ329" i="1" s="1"/>
  <c r="BP330" i="1"/>
  <c r="BQ330" i="1" s="1"/>
  <c r="BP331" i="1"/>
  <c r="BQ331" i="1" s="1"/>
  <c r="BP332" i="1"/>
  <c r="BQ332" i="1" s="1"/>
  <c r="BP333" i="1"/>
  <c r="BQ333" i="1" s="1"/>
  <c r="BP334" i="1"/>
  <c r="BQ334" i="1" s="1"/>
  <c r="BP2" i="1"/>
  <c r="BP3" i="1"/>
  <c r="BP5" i="1"/>
  <c r="BP6" i="1"/>
  <c r="BP7" i="1"/>
  <c r="BP8" i="1"/>
  <c r="BP9" i="1"/>
  <c r="BP11" i="1"/>
  <c r="BP12" i="1"/>
  <c r="BP13" i="1"/>
  <c r="BP14" i="1"/>
  <c r="BP15" i="1"/>
  <c r="BP16" i="1"/>
  <c r="BP17" i="1"/>
  <c r="BP18" i="1"/>
  <c r="BP19" i="1"/>
  <c r="BP20" i="1"/>
  <c r="BP21" i="1"/>
  <c r="BP22" i="1"/>
  <c r="BP23" i="1"/>
  <c r="BP24" i="1"/>
  <c r="BP25" i="1"/>
  <c r="BP26" i="1"/>
  <c r="BP27"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1" i="1"/>
  <c r="BP113" i="1"/>
  <c r="BP114" i="1"/>
  <c r="BP115" i="1"/>
  <c r="BP117" i="1"/>
  <c r="BP118" i="1"/>
  <c r="BP119" i="1"/>
  <c r="BP120" i="1"/>
  <c r="BP121" i="1"/>
  <c r="BP122" i="1"/>
  <c r="BP123" i="1"/>
  <c r="BP124" i="1"/>
  <c r="BP125" i="1"/>
  <c r="BP126" i="1"/>
  <c r="BP127" i="1"/>
  <c r="BP128" i="1"/>
  <c r="BP129" i="1"/>
  <c r="BP130" i="1"/>
  <c r="BP131" i="1"/>
  <c r="BP132" i="1"/>
  <c r="BP133" i="1"/>
  <c r="BP134" i="1"/>
  <c r="BP135" i="1"/>
  <c r="BP136" i="1"/>
  <c r="BP137" i="1"/>
  <c r="BP138" i="1"/>
  <c r="BP139" i="1"/>
  <c r="BP140" i="1"/>
  <c r="BP141" i="1"/>
  <c r="BP142" i="1"/>
  <c r="BP143" i="1"/>
  <c r="BP144" i="1"/>
  <c r="BP145" i="1"/>
  <c r="BP146" i="1"/>
  <c r="BP147" i="1"/>
  <c r="BP148" i="1"/>
  <c r="BP149" i="1"/>
  <c r="BP150" i="1"/>
  <c r="BP151" i="1"/>
  <c r="BP152" i="1"/>
  <c r="BP153" i="1"/>
  <c r="BP154" i="1"/>
  <c r="BP155" i="1"/>
  <c r="BP156" i="1"/>
  <c r="BP157" i="1"/>
  <c r="BP158" i="1"/>
  <c r="BP159" i="1"/>
  <c r="BP160" i="1"/>
  <c r="BP161" i="1"/>
  <c r="BP162" i="1"/>
  <c r="BP163" i="1"/>
  <c r="BP164" i="1"/>
  <c r="BP165" i="1"/>
  <c r="BP166" i="1"/>
  <c r="BP167" i="1"/>
  <c r="BP168" i="1"/>
  <c r="BP169" i="1"/>
  <c r="BP170" i="1"/>
  <c r="BP171" i="1"/>
  <c r="BP172" i="1"/>
  <c r="BP173" i="1"/>
  <c r="BP174" i="1"/>
  <c r="BP175" i="1"/>
  <c r="BP176" i="1"/>
  <c r="BP177" i="1"/>
  <c r="BP178" i="1"/>
  <c r="BP179" i="1"/>
  <c r="BP180" i="1"/>
  <c r="BP181" i="1"/>
  <c r="BP182" i="1"/>
  <c r="BP183" i="1"/>
  <c r="BP184" i="1"/>
  <c r="BP194" i="1"/>
  <c r="BP195" i="1"/>
  <c r="BP311" i="1"/>
  <c r="BQ311" i="1" s="1"/>
  <c r="BP312" i="1"/>
  <c r="BQ312" i="1" s="1"/>
  <c r="BP313" i="1"/>
  <c r="BQ313" i="1" s="1"/>
  <c r="BP314" i="1"/>
  <c r="BQ314" i="1" s="1"/>
  <c r="BP335" i="1"/>
  <c r="BQ335" i="1" s="1"/>
  <c r="BP336" i="1"/>
  <c r="BQ336" i="1" s="1"/>
  <c r="BP337" i="1"/>
  <c r="BQ337" i="1" s="1"/>
  <c r="BP338" i="1"/>
  <c r="BQ338" i="1" s="1"/>
  <c r="BP339" i="1"/>
  <c r="BQ339" i="1" s="1"/>
  <c r="BP340" i="1"/>
  <c r="BQ340" i="1" s="1"/>
  <c r="BP341" i="1"/>
  <c r="BQ341" i="1" s="1"/>
  <c r="BP342" i="1"/>
  <c r="BQ342" i="1" s="1"/>
  <c r="BP343" i="1"/>
  <c r="BQ343" i="1" s="1"/>
  <c r="BP344" i="1"/>
  <c r="BQ344" i="1" s="1"/>
  <c r="BP345" i="1"/>
  <c r="BQ345" i="1" s="1"/>
  <c r="BP346" i="1"/>
  <c r="BQ346" i="1" s="1"/>
  <c r="BP347" i="1"/>
  <c r="BQ347" i="1" s="1"/>
  <c r="BP348" i="1"/>
  <c r="BQ348" i="1" s="1"/>
  <c r="BP349" i="1"/>
  <c r="BQ349" i="1" s="1"/>
  <c r="BP350" i="1"/>
  <c r="BQ350" i="1" s="1"/>
  <c r="CM202" i="1"/>
  <c r="CN202" i="1" s="1"/>
  <c r="CK202" i="1"/>
  <c r="CL202" i="1" s="1"/>
  <c r="CI202" i="1"/>
  <c r="CM200" i="1"/>
  <c r="CN200" i="1" s="1"/>
  <c r="CK200" i="1"/>
  <c r="CL200" i="1" s="1"/>
  <c r="CI200" i="1"/>
  <c r="CM199" i="1"/>
  <c r="CK199" i="1"/>
  <c r="CI199" i="1"/>
  <c r="CI315" i="1" l="1"/>
  <c r="C24" i="7" s="1"/>
  <c r="CL199" i="1"/>
  <c r="C25" i="7"/>
  <c r="CN199" i="1"/>
  <c r="B23" i="7"/>
  <c r="CL311" i="1"/>
  <c r="CJ311" i="1"/>
  <c r="CN311" i="1"/>
  <c r="CL334" i="1"/>
  <c r="CJ334" i="1"/>
  <c r="CN334" i="1"/>
  <c r="CL333" i="1"/>
  <c r="CJ333" i="1"/>
  <c r="CN333" i="1"/>
  <c r="CL332" i="1"/>
  <c r="CJ332" i="1"/>
  <c r="CN332" i="1"/>
  <c r="CL331" i="1"/>
  <c r="CJ331" i="1"/>
  <c r="CN331" i="1"/>
  <c r="CL330" i="1"/>
  <c r="CJ330" i="1"/>
  <c r="CN330" i="1"/>
  <c r="CL329" i="1"/>
  <c r="CJ329" i="1"/>
  <c r="CN329" i="1"/>
  <c r="CL328" i="1"/>
  <c r="CJ328" i="1"/>
  <c r="CN328" i="1"/>
  <c r="CL327" i="1"/>
  <c r="CJ327" i="1"/>
  <c r="CN327" i="1"/>
  <c r="CL326" i="1"/>
  <c r="CJ326" i="1"/>
  <c r="CN326" i="1"/>
  <c r="CL325" i="1"/>
  <c r="CJ325" i="1"/>
  <c r="CN325" i="1"/>
  <c r="CL324" i="1"/>
  <c r="CJ324" i="1"/>
  <c r="CN324" i="1"/>
  <c r="CL323" i="1"/>
  <c r="CJ323" i="1"/>
  <c r="CN323" i="1"/>
  <c r="CL322" i="1"/>
  <c r="CJ322" i="1"/>
  <c r="CN322" i="1"/>
  <c r="CL321" i="1"/>
  <c r="CJ321" i="1"/>
  <c r="CN321" i="1"/>
  <c r="CL320" i="1"/>
  <c r="CJ320" i="1"/>
  <c r="CN320" i="1"/>
  <c r="CL319" i="1"/>
  <c r="CJ319" i="1"/>
  <c r="CN319" i="1"/>
  <c r="CL318" i="1"/>
  <c r="CJ318" i="1"/>
  <c r="CN318" i="1"/>
  <c r="CL317" i="1"/>
  <c r="CJ317" i="1"/>
  <c r="CN317" i="1"/>
  <c r="CL316" i="1"/>
  <c r="CJ316" i="1"/>
  <c r="CN316" i="1"/>
  <c r="CL315" i="1"/>
  <c r="CN315" i="1"/>
  <c r="CL314" i="1"/>
  <c r="CJ314" i="1"/>
  <c r="CN314" i="1"/>
  <c r="CL313" i="1"/>
  <c r="CJ313" i="1"/>
  <c r="CN313" i="1"/>
  <c r="CL312" i="1"/>
  <c r="CJ312" i="1"/>
  <c r="CN312" i="1"/>
  <c r="CO204" i="1"/>
  <c r="CJ204" i="1"/>
  <c r="CP204" i="1" s="1"/>
  <c r="CO200" i="1"/>
  <c r="CJ200" i="1"/>
  <c r="CP200" i="1" s="1"/>
  <c r="CO205" i="1"/>
  <c r="CJ205" i="1"/>
  <c r="CP205" i="1" s="1"/>
  <c r="CJ202" i="1"/>
  <c r="CP202" i="1" s="1"/>
  <c r="CO202" i="1"/>
  <c r="CO208" i="1"/>
  <c r="CJ208" i="1"/>
  <c r="CP208" i="1" s="1"/>
  <c r="CO203" i="1"/>
  <c r="CJ203" i="1"/>
  <c r="CP203" i="1" s="1"/>
  <c r="CO199" i="1"/>
  <c r="CJ199" i="1"/>
  <c r="CO206" i="1"/>
  <c r="CJ206" i="1"/>
  <c r="CP206" i="1" s="1"/>
  <c r="CO207" i="1"/>
  <c r="CJ207" i="1"/>
  <c r="CP207" i="1" s="1"/>
  <c r="CO209" i="1"/>
  <c r="CJ209" i="1"/>
  <c r="CP209" i="1" s="1"/>
  <c r="CE311" i="1"/>
  <c r="CE312" i="1"/>
  <c r="CE331" i="1"/>
  <c r="CE323" i="1"/>
  <c r="CE315" i="1"/>
  <c r="CE327" i="1"/>
  <c r="CE319" i="1"/>
  <c r="CE328" i="1"/>
  <c r="CE320" i="1"/>
  <c r="CE333" i="1"/>
  <c r="CE325" i="1"/>
  <c r="CE317" i="1"/>
  <c r="CE330" i="1"/>
  <c r="CE322" i="1"/>
  <c r="CE314" i="1"/>
  <c r="CE332" i="1"/>
  <c r="CE324" i="1"/>
  <c r="CE316" i="1"/>
  <c r="CE329" i="1"/>
  <c r="CE321" i="1"/>
  <c r="CE313" i="1"/>
  <c r="CE334" i="1"/>
  <c r="CE326" i="1"/>
  <c r="CE318" i="1"/>
  <c r="B29" i="7" l="1"/>
  <c r="B24" i="7"/>
  <c r="B26" i="7" s="1"/>
  <c r="CJ315" i="1"/>
  <c r="C29" i="7" s="1"/>
  <c r="CO315" i="1"/>
  <c r="L2" i="12" s="1"/>
  <c r="CP199" i="1"/>
  <c r="CP312" i="1"/>
  <c r="CP313" i="1"/>
  <c r="CP314" i="1"/>
  <c r="CP316" i="1"/>
  <c r="CP317" i="1"/>
  <c r="CP318" i="1"/>
  <c r="CP319" i="1"/>
  <c r="CP320" i="1"/>
  <c r="CP321" i="1"/>
  <c r="CP322" i="1"/>
  <c r="CP323" i="1"/>
  <c r="CP324" i="1"/>
  <c r="CP325" i="1"/>
  <c r="CP326" i="1"/>
  <c r="CP327" i="1"/>
  <c r="CP328" i="1"/>
  <c r="CP329" i="1"/>
  <c r="CP330" i="1"/>
  <c r="CP331" i="1"/>
  <c r="CP332" i="1"/>
  <c r="CP333" i="1"/>
  <c r="CP334" i="1"/>
  <c r="CP311" i="1"/>
  <c r="B28" i="7"/>
  <c r="C30" i="7"/>
  <c r="CG6" i="1"/>
  <c r="CG3" i="1"/>
  <c r="CG25" i="1"/>
  <c r="CG38" i="1"/>
  <c r="CG47" i="1"/>
  <c r="CG55" i="1"/>
  <c r="CG73" i="1"/>
  <c r="CG81" i="1"/>
  <c r="CG91" i="1"/>
  <c r="CG101" i="1"/>
  <c r="CG109" i="1"/>
  <c r="CG117" i="1"/>
  <c r="CG125" i="1"/>
  <c r="CG140" i="1"/>
  <c r="CG150" i="1"/>
  <c r="CG190" i="1"/>
  <c r="CG201" i="1"/>
  <c r="CG209" i="1"/>
  <c r="CG217" i="1"/>
  <c r="CG225" i="1"/>
  <c r="CG257" i="1"/>
  <c r="CG265" i="1"/>
  <c r="CG273" i="1"/>
  <c r="CG297" i="1"/>
  <c r="CG305" i="1"/>
  <c r="CG2" i="1"/>
  <c r="CG5" i="1"/>
  <c r="CG7" i="1"/>
  <c r="CG8" i="1"/>
  <c r="CG9" i="1"/>
  <c r="CG10" i="1"/>
  <c r="CG12" i="1"/>
  <c r="CG13" i="1"/>
  <c r="CG14" i="1"/>
  <c r="CG15" i="1"/>
  <c r="CG16" i="1"/>
  <c r="CG18" i="1"/>
  <c r="CG19" i="1"/>
  <c r="CG20" i="1"/>
  <c r="CG21" i="1"/>
  <c r="CG22" i="1"/>
  <c r="CG23" i="1"/>
  <c r="CG24" i="1"/>
  <c r="CG26" i="1"/>
  <c r="CG27" i="1"/>
  <c r="CG28" i="1"/>
  <c r="CG29" i="1"/>
  <c r="CG30" i="1"/>
  <c r="CG31" i="1"/>
  <c r="CG32" i="1"/>
  <c r="CG33" i="1"/>
  <c r="CG34" i="1"/>
  <c r="CG35" i="1"/>
  <c r="CG36" i="1"/>
  <c r="CG37" i="1"/>
  <c r="CG39" i="1"/>
  <c r="CG40" i="1"/>
  <c r="CG41" i="1"/>
  <c r="CG42" i="1"/>
  <c r="CG43" i="1"/>
  <c r="CG44" i="1"/>
  <c r="CG45" i="1"/>
  <c r="CG46" i="1"/>
  <c r="CG48" i="1"/>
  <c r="CG49" i="1"/>
  <c r="CG50" i="1"/>
  <c r="CG51" i="1"/>
  <c r="CG52" i="1"/>
  <c r="CG53" i="1"/>
  <c r="CG54" i="1"/>
  <c r="CG56" i="1"/>
  <c r="CG57" i="1"/>
  <c r="CG58" i="1"/>
  <c r="CG59" i="1"/>
  <c r="CG60" i="1"/>
  <c r="CG61" i="1"/>
  <c r="CG62" i="1"/>
  <c r="CG63" i="1"/>
  <c r="CG64" i="1"/>
  <c r="CG65" i="1"/>
  <c r="CG66" i="1"/>
  <c r="CG67" i="1"/>
  <c r="CG68" i="1"/>
  <c r="CG69" i="1"/>
  <c r="CG70" i="1"/>
  <c r="CG71" i="1"/>
  <c r="CG72" i="1"/>
  <c r="CG74" i="1"/>
  <c r="CG75" i="1"/>
  <c r="CG76" i="1"/>
  <c r="CG77" i="1"/>
  <c r="CG78" i="1"/>
  <c r="CG79" i="1"/>
  <c r="CG80" i="1"/>
  <c r="CG82" i="1"/>
  <c r="CG83" i="1"/>
  <c r="CG84" i="1"/>
  <c r="CG85" i="1"/>
  <c r="CG86" i="1"/>
  <c r="CG87" i="1"/>
  <c r="CG88" i="1"/>
  <c r="CG89" i="1"/>
  <c r="CG90" i="1"/>
  <c r="CG92" i="1"/>
  <c r="CG93" i="1"/>
  <c r="CG94" i="1"/>
  <c r="CG95" i="1"/>
  <c r="CG96" i="1"/>
  <c r="CG97" i="1"/>
  <c r="CG98" i="1"/>
  <c r="CG99" i="1"/>
  <c r="CG100" i="1"/>
  <c r="CG102" i="1"/>
  <c r="CG103" i="1"/>
  <c r="CG104" i="1"/>
  <c r="CG105" i="1"/>
  <c r="CG106" i="1"/>
  <c r="CG107" i="1"/>
  <c r="CG108" i="1"/>
  <c r="CG110" i="1"/>
  <c r="CG111" i="1"/>
  <c r="CG112" i="1"/>
  <c r="CG113" i="1"/>
  <c r="CG114" i="1"/>
  <c r="CG115" i="1"/>
  <c r="CG116" i="1"/>
  <c r="CG118" i="1"/>
  <c r="CG119" i="1"/>
  <c r="CG120" i="1"/>
  <c r="CG121" i="1"/>
  <c r="CG122" i="1"/>
  <c r="CG123" i="1"/>
  <c r="CG124" i="1"/>
  <c r="CG126" i="1"/>
  <c r="CG127" i="1"/>
  <c r="CG128" i="1"/>
  <c r="CG129" i="1"/>
  <c r="CG130" i="1"/>
  <c r="CG131" i="1"/>
  <c r="CG132" i="1"/>
  <c r="CG133" i="1"/>
  <c r="CG134" i="1"/>
  <c r="CG135" i="1"/>
  <c r="CG136" i="1"/>
  <c r="CG137" i="1"/>
  <c r="CG138" i="1"/>
  <c r="CG139" i="1"/>
  <c r="CG141" i="1"/>
  <c r="CG142" i="1"/>
  <c r="CG143" i="1"/>
  <c r="CG144" i="1"/>
  <c r="CG145" i="1"/>
  <c r="CG146" i="1"/>
  <c r="CG147" i="1"/>
  <c r="CG148" i="1"/>
  <c r="CG149" i="1"/>
  <c r="CG151" i="1"/>
  <c r="CG152" i="1"/>
  <c r="CG153" i="1"/>
  <c r="CG154" i="1"/>
  <c r="CG155" i="1"/>
  <c r="CG156" i="1"/>
  <c r="CG157" i="1"/>
  <c r="CG158" i="1"/>
  <c r="CG159" i="1"/>
  <c r="CG160" i="1"/>
  <c r="CG161" i="1"/>
  <c r="CG162" i="1"/>
  <c r="CG163" i="1"/>
  <c r="CG164" i="1"/>
  <c r="CG165" i="1"/>
  <c r="CG166" i="1"/>
  <c r="CG167" i="1"/>
  <c r="CG168" i="1"/>
  <c r="CG169" i="1"/>
  <c r="CG170" i="1"/>
  <c r="CG171" i="1"/>
  <c r="CG172" i="1"/>
  <c r="CG173" i="1"/>
  <c r="CG174" i="1"/>
  <c r="CG175" i="1"/>
  <c r="CG176" i="1"/>
  <c r="CG177" i="1"/>
  <c r="CG178" i="1"/>
  <c r="CG179" i="1"/>
  <c r="CG180" i="1"/>
  <c r="CG181" i="1"/>
  <c r="CG182" i="1"/>
  <c r="CG183" i="1"/>
  <c r="CG184" i="1"/>
  <c r="CG185" i="1"/>
  <c r="CG186" i="1"/>
  <c r="CG187" i="1"/>
  <c r="CG188" i="1"/>
  <c r="CG189" i="1"/>
  <c r="CG191" i="1"/>
  <c r="CG192" i="1"/>
  <c r="CG193" i="1"/>
  <c r="CG194" i="1"/>
  <c r="CG195" i="1"/>
  <c r="CG196" i="1"/>
  <c r="CG197" i="1"/>
  <c r="CG198" i="1"/>
  <c r="CG199" i="1"/>
  <c r="CG200" i="1"/>
  <c r="CG202" i="1"/>
  <c r="CG203" i="1"/>
  <c r="CG204" i="1"/>
  <c r="CG205" i="1"/>
  <c r="CG206" i="1"/>
  <c r="CG207" i="1"/>
  <c r="CG208" i="1"/>
  <c r="CG210" i="1"/>
  <c r="CG211" i="1"/>
  <c r="CG212" i="1"/>
  <c r="CG213" i="1"/>
  <c r="CG214" i="1"/>
  <c r="CG215" i="1"/>
  <c r="CG216" i="1"/>
  <c r="CG218" i="1"/>
  <c r="CG219" i="1"/>
  <c r="CG220" i="1"/>
  <c r="CG221" i="1"/>
  <c r="CG222" i="1"/>
  <c r="CG223" i="1"/>
  <c r="CG224" i="1"/>
  <c r="CG226" i="1"/>
  <c r="CG227" i="1"/>
  <c r="CG228" i="1"/>
  <c r="CG229" i="1"/>
  <c r="CG230" i="1"/>
  <c r="CG231" i="1"/>
  <c r="CG232" i="1"/>
  <c r="CG233" i="1"/>
  <c r="CG234" i="1"/>
  <c r="CG235" i="1"/>
  <c r="CG236" i="1"/>
  <c r="CG237" i="1"/>
  <c r="CG238" i="1"/>
  <c r="CG239" i="1"/>
  <c r="CG240" i="1"/>
  <c r="CG241" i="1"/>
  <c r="CG242" i="1"/>
  <c r="CG243" i="1"/>
  <c r="CG244" i="1"/>
  <c r="CG245" i="1"/>
  <c r="CG246" i="1"/>
  <c r="CG247" i="1"/>
  <c r="CG248" i="1"/>
  <c r="CG249" i="1"/>
  <c r="CG250" i="1"/>
  <c r="CG251" i="1"/>
  <c r="CG252" i="1"/>
  <c r="CG253" i="1"/>
  <c r="CG254" i="1"/>
  <c r="CG255" i="1"/>
  <c r="CG256" i="1"/>
  <c r="CG258" i="1"/>
  <c r="CG259" i="1"/>
  <c r="CG260" i="1"/>
  <c r="CG261" i="1"/>
  <c r="CG262" i="1"/>
  <c r="CG263" i="1"/>
  <c r="CG264" i="1"/>
  <c r="CG266" i="1"/>
  <c r="CG267" i="1"/>
  <c r="CG268" i="1"/>
  <c r="CG269" i="1"/>
  <c r="CG270" i="1"/>
  <c r="CG271" i="1"/>
  <c r="CG272" i="1"/>
  <c r="CG274" i="1"/>
  <c r="CG275" i="1"/>
  <c r="CG276" i="1"/>
  <c r="CG277" i="1"/>
  <c r="CG278" i="1"/>
  <c r="CG279" i="1"/>
  <c r="CG280" i="1"/>
  <c r="CG281" i="1"/>
  <c r="CG282" i="1"/>
  <c r="CG283" i="1"/>
  <c r="CG284" i="1"/>
  <c r="CG285" i="1"/>
  <c r="CG286" i="1"/>
  <c r="CG287" i="1"/>
  <c r="CG288" i="1"/>
  <c r="CG289" i="1"/>
  <c r="CG290" i="1"/>
  <c r="CG291" i="1"/>
  <c r="CG292" i="1"/>
  <c r="CG293" i="1"/>
  <c r="CG294" i="1"/>
  <c r="CG295" i="1"/>
  <c r="CG296" i="1"/>
  <c r="CG298" i="1"/>
  <c r="CG299" i="1"/>
  <c r="CG300" i="1"/>
  <c r="CG301" i="1"/>
  <c r="CG302" i="1"/>
  <c r="CG303" i="1"/>
  <c r="CG304" i="1"/>
  <c r="CG306" i="1"/>
  <c r="CG307" i="1"/>
  <c r="CG308" i="1"/>
  <c r="CG309" i="1"/>
  <c r="CG310" i="1"/>
  <c r="CG311" i="1"/>
  <c r="CG312" i="1"/>
  <c r="CG313" i="1"/>
  <c r="CG314" i="1"/>
  <c r="CG315" i="1"/>
  <c r="CG316" i="1"/>
  <c r="CG317" i="1"/>
  <c r="CG318" i="1"/>
  <c r="CG319" i="1"/>
  <c r="CG320" i="1"/>
  <c r="CG321" i="1"/>
  <c r="CG322" i="1"/>
  <c r="CG323" i="1"/>
  <c r="CG324" i="1"/>
  <c r="CG325" i="1"/>
  <c r="CG326" i="1"/>
  <c r="CG327" i="1"/>
  <c r="CG328" i="1"/>
  <c r="CG329" i="1"/>
  <c r="CG330" i="1"/>
  <c r="CG331" i="1"/>
  <c r="CG332" i="1"/>
  <c r="CG333" i="1"/>
  <c r="CG334" i="1"/>
  <c r="B31" i="7" l="1"/>
  <c r="CP315" i="1"/>
  <c r="K2" i="12" s="1"/>
  <c r="CG17" i="1"/>
  <c r="CG4" i="1"/>
  <c r="AJ335" i="1"/>
  <c r="AJ336" i="1"/>
  <c r="AJ337" i="1"/>
  <c r="AJ338" i="1"/>
  <c r="AJ339" i="1"/>
  <c r="AJ340" i="1"/>
  <c r="AJ341" i="1"/>
  <c r="AJ342" i="1"/>
  <c r="AJ343" i="1"/>
  <c r="AJ344" i="1"/>
  <c r="AJ345" i="1"/>
  <c r="AJ346" i="1"/>
  <c r="AJ347" i="1"/>
  <c r="AJ348" i="1"/>
  <c r="AJ349" i="1"/>
  <c r="AJ350" i="1"/>
  <c r="BR311" i="1"/>
  <c r="BR312" i="1"/>
  <c r="BR313" i="1"/>
  <c r="BR314" i="1"/>
  <c r="BR315" i="1"/>
  <c r="BR316" i="1"/>
  <c r="BR317" i="1"/>
  <c r="BR318" i="1"/>
  <c r="BR319" i="1"/>
  <c r="BR320" i="1"/>
  <c r="BR321" i="1"/>
  <c r="BR322" i="1"/>
  <c r="BR323" i="1"/>
  <c r="BR324" i="1"/>
  <c r="BR326" i="1"/>
  <c r="BR327" i="1"/>
  <c r="BR328" i="1"/>
  <c r="BR329" i="1"/>
  <c r="BR330" i="1"/>
  <c r="BR331" i="1"/>
  <c r="BR332" i="1"/>
  <c r="BR334" i="1"/>
  <c r="BR335" i="1"/>
  <c r="BR336" i="1"/>
  <c r="BR337" i="1"/>
  <c r="BR338" i="1"/>
  <c r="BR339" i="1"/>
  <c r="BR340" i="1"/>
  <c r="BR342" i="1"/>
  <c r="BR343" i="1"/>
  <c r="BR344" i="1"/>
  <c r="BR345" i="1"/>
  <c r="BR346" i="1"/>
  <c r="BR347" i="1"/>
  <c r="BR349" i="1"/>
  <c r="BR350" i="1"/>
  <c r="BR325" i="1"/>
  <c r="BR333" i="1"/>
  <c r="BR341" i="1"/>
  <c r="BR348" i="1"/>
  <c r="BX311" i="1"/>
  <c r="BZ311" i="1" s="1"/>
  <c r="BX312" i="1"/>
  <c r="BZ312" i="1" s="1"/>
  <c r="BX313" i="1"/>
  <c r="BZ313" i="1" s="1"/>
  <c r="BX314" i="1"/>
  <c r="BZ314" i="1" s="1"/>
  <c r="BX315" i="1"/>
  <c r="BZ315" i="1" s="1"/>
  <c r="DH315" i="1" s="1"/>
  <c r="BX316" i="1"/>
  <c r="BZ316" i="1" s="1"/>
  <c r="BX317" i="1"/>
  <c r="BZ317" i="1" s="1"/>
  <c r="BX318" i="1"/>
  <c r="BZ318" i="1" s="1"/>
  <c r="BX319" i="1"/>
  <c r="BZ319" i="1" s="1"/>
  <c r="BX320" i="1"/>
  <c r="BZ320" i="1" s="1"/>
  <c r="BX321" i="1"/>
  <c r="BZ321" i="1" s="1"/>
  <c r="BX322" i="1"/>
  <c r="BZ322" i="1" s="1"/>
  <c r="BX323" i="1"/>
  <c r="BZ323" i="1" s="1"/>
  <c r="BX324" i="1"/>
  <c r="BZ324" i="1" s="1"/>
  <c r="BX325" i="1"/>
  <c r="BZ325" i="1" s="1"/>
  <c r="BX326" i="1"/>
  <c r="BZ326" i="1" s="1"/>
  <c r="BX327" i="1"/>
  <c r="BZ327" i="1" s="1"/>
  <c r="BX328" i="1"/>
  <c r="BZ328" i="1" s="1"/>
  <c r="BX329" i="1"/>
  <c r="BZ329" i="1" s="1"/>
  <c r="BX330" i="1"/>
  <c r="BZ330" i="1" s="1"/>
  <c r="BX331" i="1"/>
  <c r="BZ331" i="1" s="1"/>
  <c r="BX332" i="1"/>
  <c r="BZ332" i="1" s="1"/>
  <c r="BX333" i="1"/>
  <c r="BZ333" i="1" s="1"/>
  <c r="BX334" i="1"/>
  <c r="BZ334" i="1" s="1"/>
  <c r="BX335" i="1"/>
  <c r="BZ335" i="1" s="1"/>
  <c r="BX336" i="1"/>
  <c r="BZ336" i="1" s="1"/>
  <c r="BX337" i="1"/>
  <c r="BZ337" i="1" s="1"/>
  <c r="BX338" i="1"/>
  <c r="BZ338" i="1" s="1"/>
  <c r="BX339" i="1"/>
  <c r="BZ339" i="1" s="1"/>
  <c r="BX340" i="1"/>
  <c r="BZ340" i="1" s="1"/>
  <c r="BX341" i="1"/>
  <c r="BZ341" i="1" s="1"/>
  <c r="BX342" i="1"/>
  <c r="BZ342" i="1" s="1"/>
  <c r="BX343" i="1"/>
  <c r="BZ343" i="1" s="1"/>
  <c r="BX344" i="1"/>
  <c r="BZ344" i="1" s="1"/>
  <c r="BX345" i="1"/>
  <c r="BZ345" i="1" s="1"/>
  <c r="BX346" i="1"/>
  <c r="BZ346" i="1" s="1"/>
  <c r="BX347" i="1"/>
  <c r="BZ347" i="1" s="1"/>
  <c r="BX348" i="1"/>
  <c r="BZ348" i="1" s="1"/>
  <c r="BX349" i="1"/>
  <c r="BZ349" i="1" s="1"/>
  <c r="BX350" i="1"/>
  <c r="BZ350" i="1" s="1"/>
  <c r="BY311" i="1"/>
  <c r="DG311" i="1" s="1"/>
  <c r="BY312" i="1"/>
  <c r="DG312" i="1" s="1"/>
  <c r="BY313" i="1"/>
  <c r="DG313" i="1" s="1"/>
  <c r="BY314" i="1"/>
  <c r="DG314" i="1" s="1"/>
  <c r="BY315" i="1"/>
  <c r="DG315" i="1" s="1"/>
  <c r="BY316" i="1"/>
  <c r="DG316" i="1" s="1"/>
  <c r="BY317" i="1"/>
  <c r="DG317" i="1" s="1"/>
  <c r="BY318" i="1"/>
  <c r="DG318" i="1" s="1"/>
  <c r="BY319" i="1"/>
  <c r="DG319" i="1" s="1"/>
  <c r="BY320" i="1"/>
  <c r="DG320" i="1" s="1"/>
  <c r="BY321" i="1"/>
  <c r="DG321" i="1" s="1"/>
  <c r="BY322" i="1"/>
  <c r="DG322" i="1" s="1"/>
  <c r="BY323" i="1"/>
  <c r="DG323" i="1" s="1"/>
  <c r="BY324" i="1"/>
  <c r="DG324" i="1" s="1"/>
  <c r="BY325" i="1"/>
  <c r="DG325" i="1" s="1"/>
  <c r="BY326" i="1"/>
  <c r="DG326" i="1" s="1"/>
  <c r="BY327" i="1"/>
  <c r="DG327" i="1" s="1"/>
  <c r="BY328" i="1"/>
  <c r="DG328" i="1" s="1"/>
  <c r="BY329" i="1"/>
  <c r="DG329" i="1" s="1"/>
  <c r="BY330" i="1"/>
  <c r="DG330" i="1" s="1"/>
  <c r="BY331" i="1"/>
  <c r="DG331" i="1" s="1"/>
  <c r="BY332" i="1"/>
  <c r="DG332" i="1" s="1"/>
  <c r="BY333" i="1"/>
  <c r="DG333" i="1" s="1"/>
  <c r="BY334" i="1"/>
  <c r="DG334" i="1" s="1"/>
  <c r="BY335" i="1"/>
  <c r="BY336" i="1"/>
  <c r="BY337" i="1"/>
  <c r="BY338" i="1"/>
  <c r="BY339" i="1"/>
  <c r="BY340" i="1"/>
  <c r="BY341" i="1"/>
  <c r="BY342" i="1"/>
  <c r="BY343" i="1"/>
  <c r="BY344" i="1"/>
  <c r="BY345" i="1"/>
  <c r="BY346" i="1"/>
  <c r="BY347" i="1"/>
  <c r="BY348" i="1"/>
  <c r="BY349" i="1"/>
  <c r="BY350" i="1"/>
  <c r="DI330" i="1" l="1"/>
  <c r="DH330" i="1"/>
  <c r="DH314" i="1"/>
  <c r="DI314" i="1" s="1"/>
  <c r="DH329" i="1"/>
  <c r="DI329" i="1" s="1"/>
  <c r="DH321" i="1"/>
  <c r="DI321" i="1" s="1"/>
  <c r="DH313" i="1"/>
  <c r="DI313" i="1" s="1"/>
  <c r="DH322" i="1"/>
  <c r="DI322" i="1" s="1"/>
  <c r="DH328" i="1"/>
  <c r="DI328" i="1" s="1"/>
  <c r="DH320" i="1"/>
  <c r="DI320" i="1" s="1"/>
  <c r="DH312" i="1"/>
  <c r="DI312" i="1" s="1"/>
  <c r="DH327" i="1"/>
  <c r="DI327" i="1" s="1"/>
  <c r="DH319" i="1"/>
  <c r="DI319" i="1" s="1"/>
  <c r="DH334" i="1"/>
  <c r="DI334" i="1" s="1"/>
  <c r="DI326" i="1"/>
  <c r="DH326" i="1"/>
  <c r="DH318" i="1"/>
  <c r="DI318" i="1" s="1"/>
  <c r="DH311" i="1"/>
  <c r="DI311" i="1" s="1"/>
  <c r="DH333" i="1"/>
  <c r="DI333" i="1" s="1"/>
  <c r="DI325" i="1"/>
  <c r="DH325" i="1"/>
  <c r="DH317" i="1"/>
  <c r="DI317" i="1" s="1"/>
  <c r="DH332" i="1"/>
  <c r="DI332" i="1" s="1"/>
  <c r="DH324" i="1"/>
  <c r="DI324" i="1" s="1"/>
  <c r="DH316" i="1"/>
  <c r="DI316" i="1" s="1"/>
  <c r="DH331" i="1"/>
  <c r="DI331" i="1" s="1"/>
  <c r="DH323" i="1"/>
  <c r="DI323" i="1" s="1"/>
  <c r="DI315" i="1"/>
  <c r="CG11" i="1"/>
  <c r="A20" i="7"/>
  <c r="BW2" i="1"/>
  <c r="BY229" i="1"/>
  <c r="DG229" i="1" s="1"/>
  <c r="BY231" i="1"/>
  <c r="DG231" i="1" s="1"/>
  <c r="BY235" i="1"/>
  <c r="DG235" i="1" s="1"/>
  <c r="BY237" i="1"/>
  <c r="DG237" i="1" s="1"/>
  <c r="BY238" i="1"/>
  <c r="DG238" i="1" s="1"/>
  <c r="BY239" i="1"/>
  <c r="DG239" i="1" s="1"/>
  <c r="BY241" i="1"/>
  <c r="DG241" i="1" s="1"/>
  <c r="BY242" i="1"/>
  <c r="DG242" i="1" s="1"/>
  <c r="BY245" i="1"/>
  <c r="DG245" i="1" s="1"/>
  <c r="BY246" i="1"/>
  <c r="DG246" i="1" s="1"/>
  <c r="BY247" i="1"/>
  <c r="DG247" i="1" s="1"/>
  <c r="BY249" i="1"/>
  <c r="DG249" i="1" s="1"/>
  <c r="BY250" i="1"/>
  <c r="DG250" i="1" s="1"/>
  <c r="BY251" i="1"/>
  <c r="DG251" i="1" s="1"/>
  <c r="BY252" i="1"/>
  <c r="DG252" i="1" s="1"/>
  <c r="BY253" i="1"/>
  <c r="DG253" i="1" s="1"/>
  <c r="BY254" i="1"/>
  <c r="DG254" i="1" s="1"/>
  <c r="BY255" i="1"/>
  <c r="DG255" i="1" s="1"/>
  <c r="BY256" i="1"/>
  <c r="DG256" i="1" s="1"/>
  <c r="BY257" i="1"/>
  <c r="DG257" i="1" s="1"/>
  <c r="BY258" i="1"/>
  <c r="DG258" i="1" s="1"/>
  <c r="BY259" i="1"/>
  <c r="DG259" i="1" s="1"/>
  <c r="BY260" i="1"/>
  <c r="DG260" i="1" s="1"/>
  <c r="BY261" i="1"/>
  <c r="DG261" i="1" s="1"/>
  <c r="BY262" i="1"/>
  <c r="DG262" i="1" s="1"/>
  <c r="BY263" i="1"/>
  <c r="DG263" i="1" s="1"/>
  <c r="BY264" i="1"/>
  <c r="DG264" i="1" s="1"/>
  <c r="BY265" i="1"/>
  <c r="DG265" i="1" s="1"/>
  <c r="BY266" i="1"/>
  <c r="DG266" i="1" s="1"/>
  <c r="BY267" i="1"/>
  <c r="DG267" i="1" s="1"/>
  <c r="BY268" i="1"/>
  <c r="DG268" i="1" s="1"/>
  <c r="BY269" i="1"/>
  <c r="DG269" i="1" s="1"/>
  <c r="BY270" i="1"/>
  <c r="DG270" i="1" s="1"/>
  <c r="BY271" i="1"/>
  <c r="DG271" i="1" s="1"/>
  <c r="BY272" i="1"/>
  <c r="DG272" i="1" s="1"/>
  <c r="BY273" i="1"/>
  <c r="DG273" i="1" s="1"/>
  <c r="BY274" i="1"/>
  <c r="DG274" i="1" s="1"/>
  <c r="BY275" i="1"/>
  <c r="DG275" i="1" s="1"/>
  <c r="BY276" i="1"/>
  <c r="DG276" i="1" s="1"/>
  <c r="BY277" i="1"/>
  <c r="DG277" i="1" s="1"/>
  <c r="BY278" i="1"/>
  <c r="DG278" i="1" s="1"/>
  <c r="BY279" i="1"/>
  <c r="DG279" i="1" s="1"/>
  <c r="BY280" i="1"/>
  <c r="DG280" i="1" s="1"/>
  <c r="BY281" i="1"/>
  <c r="DG281" i="1" s="1"/>
  <c r="BY282" i="1"/>
  <c r="DG282" i="1" s="1"/>
  <c r="BY283" i="1"/>
  <c r="DG283" i="1" s="1"/>
  <c r="BY284" i="1"/>
  <c r="DG284" i="1" s="1"/>
  <c r="BY285" i="1"/>
  <c r="DG285" i="1" s="1"/>
  <c r="BY286" i="1"/>
  <c r="DG286" i="1" s="1"/>
  <c r="BY287" i="1"/>
  <c r="DG287" i="1" s="1"/>
  <c r="BY288" i="1"/>
  <c r="DG288" i="1" s="1"/>
  <c r="BY289" i="1"/>
  <c r="DG289" i="1" s="1"/>
  <c r="BY290" i="1"/>
  <c r="DG290" i="1" s="1"/>
  <c r="BY291" i="1"/>
  <c r="DG291" i="1" s="1"/>
  <c r="BY292" i="1"/>
  <c r="DG292" i="1" s="1"/>
  <c r="BY293" i="1"/>
  <c r="DG293" i="1" s="1"/>
  <c r="BY294" i="1"/>
  <c r="DG294" i="1" s="1"/>
  <c r="BY295" i="1"/>
  <c r="DG295" i="1" s="1"/>
  <c r="BY296" i="1"/>
  <c r="DG296" i="1" s="1"/>
  <c r="BY297" i="1"/>
  <c r="DG297" i="1" s="1"/>
  <c r="BY298" i="1"/>
  <c r="DG298" i="1" s="1"/>
  <c r="BY299" i="1"/>
  <c r="DG299" i="1" s="1"/>
  <c r="BY300" i="1"/>
  <c r="DG300" i="1" s="1"/>
  <c r="BY301" i="1"/>
  <c r="DG301" i="1" s="1"/>
  <c r="BY302" i="1"/>
  <c r="DG302" i="1" s="1"/>
  <c r="BY303" i="1"/>
  <c r="DG303" i="1" s="1"/>
  <c r="BY304" i="1"/>
  <c r="DG304" i="1" s="1"/>
  <c r="BY305" i="1"/>
  <c r="DG305" i="1" s="1"/>
  <c r="BY306" i="1"/>
  <c r="DG306" i="1" s="1"/>
  <c r="BY307" i="1"/>
  <c r="DG307" i="1" s="1"/>
  <c r="BY308" i="1"/>
  <c r="DG308" i="1" s="1"/>
  <c r="BY309" i="1"/>
  <c r="DG309" i="1" s="1"/>
  <c r="BY310" i="1"/>
  <c r="DG310" i="1" s="1"/>
  <c r="BW248" i="1"/>
  <c r="BY248" i="1" s="1"/>
  <c r="DG248" i="1" s="1"/>
  <c r="BW244" i="1"/>
  <c r="BY244" i="1" s="1"/>
  <c r="DG244" i="1" s="1"/>
  <c r="BW243" i="1"/>
  <c r="BY243" i="1" s="1"/>
  <c r="DG243" i="1" s="1"/>
  <c r="BW240" i="1"/>
  <c r="BW236" i="1"/>
  <c r="BY236" i="1" s="1"/>
  <c r="DG236" i="1" s="1"/>
  <c r="BW234" i="1"/>
  <c r="BW233" i="1"/>
  <c r="BX233" i="1" s="1"/>
  <c r="BW232" i="1"/>
  <c r="BX232" i="1" s="1"/>
  <c r="BW230" i="1"/>
  <c r="BX92" i="1"/>
  <c r="BX113" i="1"/>
  <c r="BX229" i="1"/>
  <c r="BX231" i="1"/>
  <c r="BX253" i="1"/>
  <c r="BZ253" i="1" s="1"/>
  <c r="DH253" i="1" s="1"/>
  <c r="BX254" i="1"/>
  <c r="BZ254" i="1" s="1"/>
  <c r="DH254" i="1" s="1"/>
  <c r="BX255" i="1"/>
  <c r="BZ255" i="1" s="1"/>
  <c r="DH255" i="1" s="1"/>
  <c r="BX256" i="1"/>
  <c r="BZ256" i="1" s="1"/>
  <c r="DH256" i="1" s="1"/>
  <c r="BX257" i="1"/>
  <c r="BZ257" i="1" s="1"/>
  <c r="DH257" i="1" s="1"/>
  <c r="BX258" i="1"/>
  <c r="BZ258" i="1" s="1"/>
  <c r="DH258" i="1" s="1"/>
  <c r="BX259" i="1"/>
  <c r="BZ259" i="1" s="1"/>
  <c r="DH259" i="1" s="1"/>
  <c r="BX260" i="1"/>
  <c r="BZ260" i="1" s="1"/>
  <c r="DH260" i="1" s="1"/>
  <c r="BX261" i="1"/>
  <c r="BZ261" i="1" s="1"/>
  <c r="DH261" i="1" s="1"/>
  <c r="BX262" i="1"/>
  <c r="BZ262" i="1" s="1"/>
  <c r="DH262" i="1" s="1"/>
  <c r="BX263" i="1"/>
  <c r="BZ263" i="1" s="1"/>
  <c r="DH263" i="1" s="1"/>
  <c r="BX264" i="1"/>
  <c r="BZ264" i="1" s="1"/>
  <c r="DH264" i="1" s="1"/>
  <c r="BX265" i="1"/>
  <c r="BZ265" i="1" s="1"/>
  <c r="DH265" i="1" s="1"/>
  <c r="BX266" i="1"/>
  <c r="BZ266" i="1" s="1"/>
  <c r="DH266" i="1" s="1"/>
  <c r="BX267" i="1"/>
  <c r="BZ267" i="1" s="1"/>
  <c r="DH267" i="1" s="1"/>
  <c r="BX268" i="1"/>
  <c r="BZ268" i="1" s="1"/>
  <c r="DH268" i="1" s="1"/>
  <c r="BX269" i="1"/>
  <c r="BZ269" i="1" s="1"/>
  <c r="DH269" i="1" s="1"/>
  <c r="BX270" i="1"/>
  <c r="BZ270" i="1" s="1"/>
  <c r="DH270" i="1" s="1"/>
  <c r="BX271" i="1"/>
  <c r="BZ271" i="1" s="1"/>
  <c r="DH271" i="1" s="1"/>
  <c r="BX272" i="1"/>
  <c r="BZ272" i="1" s="1"/>
  <c r="DH272" i="1" s="1"/>
  <c r="BX273" i="1"/>
  <c r="BZ273" i="1" s="1"/>
  <c r="DH273" i="1" s="1"/>
  <c r="BX274" i="1"/>
  <c r="BZ274" i="1" s="1"/>
  <c r="DH274" i="1" s="1"/>
  <c r="BX275" i="1"/>
  <c r="BZ275" i="1" s="1"/>
  <c r="DH275" i="1" s="1"/>
  <c r="BX276" i="1"/>
  <c r="BZ276" i="1" s="1"/>
  <c r="DH276" i="1" s="1"/>
  <c r="BX277" i="1"/>
  <c r="BZ277" i="1" s="1"/>
  <c r="DH277" i="1" s="1"/>
  <c r="BX278" i="1"/>
  <c r="BX279" i="1"/>
  <c r="BX280" i="1"/>
  <c r="BX281" i="1"/>
  <c r="BX282" i="1"/>
  <c r="BX283" i="1"/>
  <c r="BX284" i="1"/>
  <c r="BX285" i="1"/>
  <c r="BX286" i="1"/>
  <c r="BX287" i="1"/>
  <c r="BX288" i="1"/>
  <c r="BX289" i="1"/>
  <c r="BX290" i="1"/>
  <c r="BX291" i="1"/>
  <c r="BX292" i="1"/>
  <c r="BX293" i="1"/>
  <c r="BX294" i="1"/>
  <c r="BX295" i="1"/>
  <c r="BX296" i="1"/>
  <c r="BX297" i="1"/>
  <c r="BZ297" i="1" s="1"/>
  <c r="DH297" i="1" s="1"/>
  <c r="BX298" i="1"/>
  <c r="BZ298" i="1" s="1"/>
  <c r="DH298" i="1" s="1"/>
  <c r="BX299" i="1"/>
  <c r="BZ299" i="1" s="1"/>
  <c r="DH299" i="1" s="1"/>
  <c r="BX300" i="1"/>
  <c r="BZ300" i="1" s="1"/>
  <c r="DH300" i="1" s="1"/>
  <c r="BX301" i="1"/>
  <c r="BZ301" i="1" s="1"/>
  <c r="DH301" i="1" s="1"/>
  <c r="BX302" i="1"/>
  <c r="BZ302" i="1" s="1"/>
  <c r="DH302" i="1" s="1"/>
  <c r="BX303" i="1"/>
  <c r="BZ303" i="1" s="1"/>
  <c r="DH303" i="1" s="1"/>
  <c r="BX304" i="1"/>
  <c r="BZ304" i="1" s="1"/>
  <c r="DH304" i="1" s="1"/>
  <c r="BX305" i="1"/>
  <c r="BZ305" i="1" s="1"/>
  <c r="DH305" i="1" s="1"/>
  <c r="BX306" i="1"/>
  <c r="BZ306" i="1" s="1"/>
  <c r="DH306" i="1" s="1"/>
  <c r="BX307" i="1"/>
  <c r="BZ307" i="1" s="1"/>
  <c r="DH307" i="1" s="1"/>
  <c r="BX308" i="1"/>
  <c r="BZ308" i="1" s="1"/>
  <c r="DH308" i="1" s="1"/>
  <c r="BX309" i="1"/>
  <c r="BZ309" i="1" s="1"/>
  <c r="DH309" i="1" s="1"/>
  <c r="BX310" i="1"/>
  <c r="BZ310" i="1" s="1"/>
  <c r="DH310" i="1" s="1"/>
  <c r="BW3" i="1"/>
  <c r="BW4" i="1"/>
  <c r="BX4" i="1" s="1"/>
  <c r="BW5" i="1"/>
  <c r="BX5" i="1" s="1"/>
  <c r="BW6" i="1"/>
  <c r="BX6" i="1" s="1"/>
  <c r="BW7" i="1"/>
  <c r="BX7" i="1" s="1"/>
  <c r="BW8" i="1"/>
  <c r="BX8" i="1" s="1"/>
  <c r="BW9" i="1"/>
  <c r="BX9" i="1" s="1"/>
  <c r="BW10" i="1"/>
  <c r="BX10" i="1" s="1"/>
  <c r="BW11" i="1"/>
  <c r="BX11" i="1" s="1"/>
  <c r="BW12" i="1"/>
  <c r="BX12" i="1" s="1"/>
  <c r="BW13" i="1"/>
  <c r="BX13" i="1" s="1"/>
  <c r="BW14" i="1"/>
  <c r="BX14" i="1" s="1"/>
  <c r="BW15" i="1"/>
  <c r="BX15" i="1" s="1"/>
  <c r="BW16" i="1"/>
  <c r="BX16" i="1" s="1"/>
  <c r="BW17" i="1"/>
  <c r="BX17" i="1" s="1"/>
  <c r="BW18" i="1"/>
  <c r="BX18" i="1" s="1"/>
  <c r="BW19" i="1"/>
  <c r="BX19" i="1" s="1"/>
  <c r="BW20" i="1"/>
  <c r="BX20" i="1" s="1"/>
  <c r="BW21" i="1"/>
  <c r="BX21" i="1" s="1"/>
  <c r="BW22" i="1"/>
  <c r="BX22" i="1" s="1"/>
  <c r="BW23" i="1"/>
  <c r="BX23" i="1" s="1"/>
  <c r="BW24" i="1"/>
  <c r="BX24" i="1" s="1"/>
  <c r="BW25" i="1"/>
  <c r="BX25" i="1" s="1"/>
  <c r="BW26" i="1"/>
  <c r="BX26" i="1" s="1"/>
  <c r="BW27" i="1"/>
  <c r="BX27" i="1" s="1"/>
  <c r="BW28" i="1"/>
  <c r="BX28" i="1" s="1"/>
  <c r="BW29" i="1"/>
  <c r="BX29" i="1" s="1"/>
  <c r="BW30" i="1"/>
  <c r="BX30" i="1" s="1"/>
  <c r="BW31" i="1"/>
  <c r="BX31" i="1" s="1"/>
  <c r="BW32" i="1"/>
  <c r="BX32" i="1" s="1"/>
  <c r="BW33" i="1"/>
  <c r="BX33" i="1" s="1"/>
  <c r="BW34" i="1"/>
  <c r="BX34" i="1" s="1"/>
  <c r="BW35" i="1"/>
  <c r="BX35" i="1" s="1"/>
  <c r="BW36" i="1"/>
  <c r="BX36" i="1" s="1"/>
  <c r="BW37" i="1"/>
  <c r="BX37" i="1" s="1"/>
  <c r="BW38" i="1"/>
  <c r="BX38" i="1" s="1"/>
  <c r="BW39" i="1"/>
  <c r="BX39" i="1" s="1"/>
  <c r="BW40" i="1"/>
  <c r="BX40" i="1" s="1"/>
  <c r="BW41" i="1"/>
  <c r="BX41" i="1" s="1"/>
  <c r="BW42" i="1"/>
  <c r="BX42" i="1" s="1"/>
  <c r="BW43" i="1"/>
  <c r="BX43" i="1" s="1"/>
  <c r="BW44" i="1"/>
  <c r="BX44" i="1" s="1"/>
  <c r="BW45" i="1"/>
  <c r="BX45" i="1" s="1"/>
  <c r="BW46" i="1"/>
  <c r="BX46" i="1" s="1"/>
  <c r="BW47" i="1"/>
  <c r="BX47" i="1" s="1"/>
  <c r="BW48" i="1"/>
  <c r="BX48" i="1" s="1"/>
  <c r="BW49" i="1"/>
  <c r="BX49" i="1" s="1"/>
  <c r="BW50" i="1"/>
  <c r="BX50" i="1" s="1"/>
  <c r="BW51" i="1"/>
  <c r="BX51" i="1" s="1"/>
  <c r="BW52" i="1"/>
  <c r="BX52" i="1" s="1"/>
  <c r="BW53" i="1"/>
  <c r="BX53" i="1" s="1"/>
  <c r="BW54" i="1"/>
  <c r="BX54" i="1" s="1"/>
  <c r="BW55" i="1"/>
  <c r="BX55" i="1" s="1"/>
  <c r="BW56" i="1"/>
  <c r="BX56" i="1" s="1"/>
  <c r="BW57" i="1"/>
  <c r="BX57" i="1" s="1"/>
  <c r="BW58" i="1"/>
  <c r="BX58" i="1" s="1"/>
  <c r="BW59" i="1"/>
  <c r="BX59" i="1" s="1"/>
  <c r="BW60" i="1"/>
  <c r="BX60" i="1" s="1"/>
  <c r="BW61" i="1"/>
  <c r="BX61" i="1" s="1"/>
  <c r="BW62" i="1"/>
  <c r="BX62" i="1" s="1"/>
  <c r="BW63" i="1"/>
  <c r="BX63" i="1" s="1"/>
  <c r="BW64" i="1"/>
  <c r="BX64" i="1" s="1"/>
  <c r="BW65" i="1"/>
  <c r="BX65" i="1" s="1"/>
  <c r="BW66" i="1"/>
  <c r="BX66" i="1" s="1"/>
  <c r="BW67" i="1"/>
  <c r="BX67" i="1" s="1"/>
  <c r="BW68" i="1"/>
  <c r="BX68" i="1" s="1"/>
  <c r="BW69" i="1"/>
  <c r="BX69" i="1" s="1"/>
  <c r="BW70" i="1"/>
  <c r="BX70" i="1" s="1"/>
  <c r="BW71" i="1"/>
  <c r="BX71" i="1" s="1"/>
  <c r="BW72" i="1"/>
  <c r="BX72" i="1" s="1"/>
  <c r="BW73" i="1"/>
  <c r="BX73" i="1" s="1"/>
  <c r="BW74" i="1"/>
  <c r="BX74" i="1" s="1"/>
  <c r="BW75" i="1"/>
  <c r="BX75" i="1" s="1"/>
  <c r="BW76" i="1"/>
  <c r="BX76" i="1" s="1"/>
  <c r="BW77" i="1"/>
  <c r="BX77" i="1" s="1"/>
  <c r="BW78" i="1"/>
  <c r="BX78" i="1" s="1"/>
  <c r="BW79" i="1"/>
  <c r="BX79" i="1" s="1"/>
  <c r="BW80" i="1"/>
  <c r="BX80" i="1" s="1"/>
  <c r="BW81" i="1"/>
  <c r="BX81" i="1" s="1"/>
  <c r="BW82" i="1"/>
  <c r="BX82" i="1" s="1"/>
  <c r="BW83" i="1"/>
  <c r="BX83" i="1" s="1"/>
  <c r="BW84" i="1"/>
  <c r="BX84" i="1" s="1"/>
  <c r="BW85" i="1"/>
  <c r="BX85" i="1" s="1"/>
  <c r="BX86" i="1"/>
  <c r="BW87" i="1"/>
  <c r="BX87" i="1" s="1"/>
  <c r="BW88" i="1"/>
  <c r="BX88" i="1" s="1"/>
  <c r="BW89" i="1"/>
  <c r="BX89" i="1" s="1"/>
  <c r="BW90" i="1"/>
  <c r="BX90" i="1" s="1"/>
  <c r="BW91" i="1"/>
  <c r="BX91" i="1" s="1"/>
  <c r="BW93" i="1"/>
  <c r="BX93" i="1" s="1"/>
  <c r="BW94" i="1"/>
  <c r="BX94" i="1" s="1"/>
  <c r="BW95" i="1"/>
  <c r="BX95" i="1" s="1"/>
  <c r="BW96" i="1"/>
  <c r="BX96" i="1" s="1"/>
  <c r="BW97" i="1"/>
  <c r="BX97" i="1" s="1"/>
  <c r="BW98" i="1"/>
  <c r="BX98" i="1" s="1"/>
  <c r="BW99" i="1"/>
  <c r="BX99" i="1" s="1"/>
  <c r="BW100" i="1"/>
  <c r="BX100" i="1" s="1"/>
  <c r="BW101" i="1"/>
  <c r="BX101" i="1" s="1"/>
  <c r="BW102" i="1"/>
  <c r="BX102" i="1" s="1"/>
  <c r="BW103" i="1"/>
  <c r="BX103" i="1" s="1"/>
  <c r="BW104" i="1"/>
  <c r="BX104" i="1" s="1"/>
  <c r="BW105" i="1"/>
  <c r="BX105" i="1" s="1"/>
  <c r="BW106" i="1"/>
  <c r="BX106" i="1" s="1"/>
  <c r="BW107" i="1"/>
  <c r="BX107" i="1" s="1"/>
  <c r="BW108" i="1"/>
  <c r="BX108" i="1" s="1"/>
  <c r="BW109" i="1"/>
  <c r="BX109" i="1" s="1"/>
  <c r="BW110" i="1"/>
  <c r="BX110" i="1" s="1"/>
  <c r="BW111" i="1"/>
  <c r="BX111" i="1" s="1"/>
  <c r="BW112" i="1"/>
  <c r="BY112" i="1" s="1"/>
  <c r="DG112" i="1" s="1"/>
  <c r="BW114" i="1"/>
  <c r="BX114" i="1" s="1"/>
  <c r="BW115" i="1"/>
  <c r="BX115" i="1" s="1"/>
  <c r="BW116" i="1"/>
  <c r="BX116" i="1" s="1"/>
  <c r="BW117" i="1"/>
  <c r="BX117" i="1" s="1"/>
  <c r="BW118" i="1"/>
  <c r="BX118" i="1" s="1"/>
  <c r="BW119" i="1"/>
  <c r="BX119" i="1" s="1"/>
  <c r="BW120" i="1"/>
  <c r="BX120" i="1" s="1"/>
  <c r="BW121" i="1"/>
  <c r="BX121" i="1" s="1"/>
  <c r="BW122" i="1"/>
  <c r="BX122" i="1" s="1"/>
  <c r="BW123" i="1"/>
  <c r="BX123" i="1" s="1"/>
  <c r="BW124" i="1"/>
  <c r="BX124" i="1" s="1"/>
  <c r="BW125" i="1"/>
  <c r="BX125" i="1" s="1"/>
  <c r="BW126" i="1"/>
  <c r="BX126" i="1" s="1"/>
  <c r="BW127" i="1"/>
  <c r="BX127" i="1" s="1"/>
  <c r="BW128" i="1"/>
  <c r="BX128" i="1" s="1"/>
  <c r="BW129" i="1"/>
  <c r="BX129" i="1" s="1"/>
  <c r="BW130" i="1"/>
  <c r="BX130" i="1" s="1"/>
  <c r="BW131" i="1"/>
  <c r="BX131" i="1" s="1"/>
  <c r="BW132" i="1"/>
  <c r="BX132" i="1" s="1"/>
  <c r="BW133" i="1"/>
  <c r="BX133" i="1" s="1"/>
  <c r="BW134" i="1"/>
  <c r="BX134" i="1" s="1"/>
  <c r="BW135" i="1"/>
  <c r="BX135" i="1" s="1"/>
  <c r="BW136" i="1"/>
  <c r="BX136" i="1" s="1"/>
  <c r="BW137" i="1"/>
  <c r="BX137" i="1" s="1"/>
  <c r="BW138" i="1"/>
  <c r="BX138" i="1" s="1"/>
  <c r="BW139" i="1"/>
  <c r="BX139" i="1" s="1"/>
  <c r="BW140" i="1"/>
  <c r="BX140" i="1" s="1"/>
  <c r="BW141" i="1"/>
  <c r="BX141" i="1" s="1"/>
  <c r="BW142" i="1"/>
  <c r="BX142" i="1" s="1"/>
  <c r="BW143" i="1"/>
  <c r="BX143" i="1" s="1"/>
  <c r="BW144" i="1"/>
  <c r="BX144" i="1" s="1"/>
  <c r="BW145" i="1"/>
  <c r="BX145" i="1" s="1"/>
  <c r="BW146" i="1"/>
  <c r="BX146" i="1" s="1"/>
  <c r="BW147" i="1"/>
  <c r="BX147" i="1" s="1"/>
  <c r="BW148" i="1"/>
  <c r="BX148" i="1" s="1"/>
  <c r="BW149" i="1"/>
  <c r="BX149" i="1" s="1"/>
  <c r="BW150" i="1"/>
  <c r="BX150" i="1" s="1"/>
  <c r="BW151" i="1"/>
  <c r="BX151" i="1" s="1"/>
  <c r="BW152" i="1"/>
  <c r="BX152" i="1" s="1"/>
  <c r="BW153" i="1"/>
  <c r="BX153" i="1" s="1"/>
  <c r="BW154" i="1"/>
  <c r="BX154" i="1" s="1"/>
  <c r="BW155" i="1"/>
  <c r="BX155" i="1" s="1"/>
  <c r="BW156" i="1"/>
  <c r="BX156" i="1" s="1"/>
  <c r="BW157" i="1"/>
  <c r="BX157" i="1" s="1"/>
  <c r="BW158" i="1"/>
  <c r="BX158" i="1" s="1"/>
  <c r="BW159" i="1"/>
  <c r="BX159" i="1" s="1"/>
  <c r="BW160" i="1"/>
  <c r="BX160" i="1" s="1"/>
  <c r="BW161" i="1"/>
  <c r="BX161" i="1" s="1"/>
  <c r="BW162" i="1"/>
  <c r="BX162" i="1" s="1"/>
  <c r="BW163" i="1"/>
  <c r="BX163" i="1" s="1"/>
  <c r="BW164" i="1"/>
  <c r="BX164" i="1" s="1"/>
  <c r="BW165" i="1"/>
  <c r="BX165" i="1" s="1"/>
  <c r="BW166" i="1"/>
  <c r="BX166" i="1" s="1"/>
  <c r="BW167" i="1"/>
  <c r="BX167" i="1" s="1"/>
  <c r="BW168" i="1"/>
  <c r="BX168" i="1" s="1"/>
  <c r="BW169" i="1"/>
  <c r="BX169" i="1" s="1"/>
  <c r="BW170" i="1"/>
  <c r="BX170" i="1" s="1"/>
  <c r="BW171" i="1"/>
  <c r="BX171" i="1" s="1"/>
  <c r="BW172" i="1"/>
  <c r="BX172" i="1" s="1"/>
  <c r="BW173" i="1"/>
  <c r="BX173" i="1" s="1"/>
  <c r="BW174" i="1"/>
  <c r="BX174" i="1" s="1"/>
  <c r="BW175" i="1"/>
  <c r="BX175" i="1" s="1"/>
  <c r="BW176" i="1"/>
  <c r="BX176" i="1" s="1"/>
  <c r="BW177" i="1"/>
  <c r="BX177" i="1" s="1"/>
  <c r="BW178" i="1"/>
  <c r="BX178" i="1" s="1"/>
  <c r="BW179" i="1"/>
  <c r="BX179" i="1" s="1"/>
  <c r="BW180" i="1"/>
  <c r="BX180" i="1" s="1"/>
  <c r="BW181" i="1"/>
  <c r="BX181" i="1" s="1"/>
  <c r="BW182" i="1"/>
  <c r="BX182" i="1" s="1"/>
  <c r="BW183" i="1"/>
  <c r="BX183" i="1" s="1"/>
  <c r="BW184" i="1"/>
  <c r="BX184" i="1" s="1"/>
  <c r="BW185" i="1"/>
  <c r="BY185" i="1" s="1"/>
  <c r="DG185" i="1" s="1"/>
  <c r="BW186" i="1"/>
  <c r="BY186" i="1" s="1"/>
  <c r="DG186" i="1" s="1"/>
  <c r="BW187" i="1"/>
  <c r="BY187" i="1" s="1"/>
  <c r="DG187" i="1" s="1"/>
  <c r="BW188" i="1"/>
  <c r="BX188" i="1" s="1"/>
  <c r="BZ188" i="1" s="1"/>
  <c r="DH188" i="1" s="1"/>
  <c r="BW189" i="1"/>
  <c r="BY189" i="1" s="1"/>
  <c r="DG189" i="1" s="1"/>
  <c r="BW190" i="1"/>
  <c r="BY190" i="1" s="1"/>
  <c r="DG190" i="1" s="1"/>
  <c r="BW191" i="1"/>
  <c r="BY191" i="1" s="1"/>
  <c r="DG191" i="1" s="1"/>
  <c r="BW192" i="1"/>
  <c r="BY192" i="1" s="1"/>
  <c r="DG192" i="1" s="1"/>
  <c r="BW193" i="1"/>
  <c r="BY193" i="1" s="1"/>
  <c r="DG193" i="1" s="1"/>
  <c r="BW194" i="1"/>
  <c r="BX194" i="1" s="1"/>
  <c r="BW195" i="1"/>
  <c r="BX195" i="1" s="1"/>
  <c r="BW196" i="1"/>
  <c r="BX196" i="1" s="1"/>
  <c r="BW197" i="1"/>
  <c r="BX197" i="1" s="1"/>
  <c r="BW198" i="1"/>
  <c r="BX198" i="1" s="1"/>
  <c r="BW199" i="1"/>
  <c r="BX199" i="1" s="1"/>
  <c r="BW200" i="1"/>
  <c r="BX200" i="1" s="1"/>
  <c r="BW201" i="1"/>
  <c r="BX201" i="1" s="1"/>
  <c r="BW202" i="1"/>
  <c r="BX202" i="1" s="1"/>
  <c r="BW203" i="1"/>
  <c r="BX203" i="1" s="1"/>
  <c r="BW204" i="1"/>
  <c r="BX204" i="1" s="1"/>
  <c r="BW205" i="1"/>
  <c r="BX205" i="1" s="1"/>
  <c r="BW206" i="1"/>
  <c r="BX206" i="1" s="1"/>
  <c r="BW207" i="1"/>
  <c r="BX207" i="1" s="1"/>
  <c r="BW208" i="1"/>
  <c r="BX208" i="1" s="1"/>
  <c r="BW209" i="1"/>
  <c r="BX209" i="1" s="1"/>
  <c r="BW210" i="1"/>
  <c r="BY210" i="1" s="1"/>
  <c r="DG210" i="1" s="1"/>
  <c r="BW211" i="1"/>
  <c r="BY211" i="1" s="1"/>
  <c r="DG211" i="1" s="1"/>
  <c r="BW212" i="1"/>
  <c r="BY212" i="1" s="1"/>
  <c r="DG212" i="1" s="1"/>
  <c r="BW213" i="1"/>
  <c r="BY213" i="1" s="1"/>
  <c r="DG213" i="1" s="1"/>
  <c r="BW214" i="1"/>
  <c r="BY214" i="1" s="1"/>
  <c r="DG214" i="1" s="1"/>
  <c r="BW215" i="1"/>
  <c r="BY215" i="1" s="1"/>
  <c r="DG215" i="1" s="1"/>
  <c r="BW216" i="1"/>
  <c r="BY216" i="1" s="1"/>
  <c r="DG216" i="1" s="1"/>
  <c r="BW217" i="1"/>
  <c r="BY217" i="1" s="1"/>
  <c r="DG217" i="1" s="1"/>
  <c r="BW218" i="1"/>
  <c r="BY218" i="1" s="1"/>
  <c r="DG218" i="1" s="1"/>
  <c r="BW219" i="1"/>
  <c r="BY219" i="1" s="1"/>
  <c r="DG219" i="1" s="1"/>
  <c r="BW220" i="1"/>
  <c r="BX220" i="1" s="1"/>
  <c r="BZ220" i="1" s="1"/>
  <c r="DH220" i="1" s="1"/>
  <c r="BW221" i="1"/>
  <c r="BY221" i="1" s="1"/>
  <c r="DG221" i="1" s="1"/>
  <c r="BW222" i="1"/>
  <c r="BY222" i="1" s="1"/>
  <c r="DG222" i="1" s="1"/>
  <c r="BW223" i="1"/>
  <c r="BY223" i="1" s="1"/>
  <c r="DG223" i="1" s="1"/>
  <c r="BW224" i="1"/>
  <c r="BY224" i="1" s="1"/>
  <c r="DG224" i="1" s="1"/>
  <c r="BW225" i="1"/>
  <c r="BY225" i="1" s="1"/>
  <c r="DG225" i="1" s="1"/>
  <c r="BW226" i="1"/>
  <c r="BY226" i="1" s="1"/>
  <c r="DG226" i="1" s="1"/>
  <c r="BW227" i="1"/>
  <c r="BY227" i="1" s="1"/>
  <c r="DG227" i="1" s="1"/>
  <c r="BW228" i="1"/>
  <c r="BX228" i="1" s="1"/>
  <c r="BZ228" i="1" s="1"/>
  <c r="DH228" i="1" s="1"/>
  <c r="BU2" i="1"/>
  <c r="BX227" i="1" l="1"/>
  <c r="BZ227" i="1" s="1"/>
  <c r="BX219" i="1"/>
  <c r="BZ219" i="1" s="1"/>
  <c r="BX211" i="1"/>
  <c r="BZ211" i="1" s="1"/>
  <c r="BX187" i="1"/>
  <c r="BZ187" i="1" s="1"/>
  <c r="BX226" i="1"/>
  <c r="BZ226" i="1" s="1"/>
  <c r="BX218" i="1"/>
  <c r="BZ218" i="1" s="1"/>
  <c r="BX210" i="1"/>
  <c r="BZ210" i="1" s="1"/>
  <c r="BX186" i="1"/>
  <c r="BZ186" i="1" s="1"/>
  <c r="BX112" i="1"/>
  <c r="BZ112" i="1" s="1"/>
  <c r="BX225" i="1"/>
  <c r="BZ225" i="1" s="1"/>
  <c r="BX217" i="1"/>
  <c r="BZ217" i="1" s="1"/>
  <c r="BX193" i="1"/>
  <c r="BZ193" i="1" s="1"/>
  <c r="BX185" i="1"/>
  <c r="BZ185" i="1" s="1"/>
  <c r="BY234" i="1"/>
  <c r="DG234" i="1" s="1"/>
  <c r="BX3" i="1"/>
  <c r="C23" i="7"/>
  <c r="C26" i="7" s="1"/>
  <c r="BX224" i="1"/>
  <c r="BZ224" i="1" s="1"/>
  <c r="BX216" i="1"/>
  <c r="BZ216" i="1" s="1"/>
  <c r="BX192" i="1"/>
  <c r="BZ192" i="1" s="1"/>
  <c r="BY228" i="1"/>
  <c r="DG228" i="1" s="1"/>
  <c r="BX223" i="1"/>
  <c r="BZ223" i="1" s="1"/>
  <c r="BX215" i="1"/>
  <c r="BZ215" i="1" s="1"/>
  <c r="BX191" i="1"/>
  <c r="BZ191" i="1" s="1"/>
  <c r="BX222" i="1"/>
  <c r="BZ222" i="1" s="1"/>
  <c r="BX214" i="1"/>
  <c r="BZ214" i="1" s="1"/>
  <c r="BX190" i="1"/>
  <c r="BZ190" i="1" s="1"/>
  <c r="BY220" i="1"/>
  <c r="DG220" i="1" s="1"/>
  <c r="BY188" i="1"/>
  <c r="DG188" i="1" s="1"/>
  <c r="BX221" i="1"/>
  <c r="BZ221" i="1" s="1"/>
  <c r="BX213" i="1"/>
  <c r="BZ213" i="1" s="1"/>
  <c r="BX189" i="1"/>
  <c r="BZ189" i="1" s="1"/>
  <c r="BX212" i="1"/>
  <c r="BZ212" i="1" s="1"/>
  <c r="BX230" i="1"/>
  <c r="BY230" i="1"/>
  <c r="DG230" i="1" s="1"/>
  <c r="BY233" i="1"/>
  <c r="DG233" i="1" s="1"/>
  <c r="BY240" i="1"/>
  <c r="DG240" i="1" s="1"/>
  <c r="BY232" i="1"/>
  <c r="DG232" i="1" s="1"/>
  <c r="BX2" i="1"/>
  <c r="AB73" i="1"/>
  <c r="BD73" i="1" s="1"/>
  <c r="DI188" i="1"/>
  <c r="DI220" i="1"/>
  <c r="DI228" i="1"/>
  <c r="DI253" i="1"/>
  <c r="DI254" i="1"/>
  <c r="DI255" i="1"/>
  <c r="DI256" i="1"/>
  <c r="DI257" i="1"/>
  <c r="DI258" i="1"/>
  <c r="DI259" i="1"/>
  <c r="DI260" i="1"/>
  <c r="DI261" i="1"/>
  <c r="DI262" i="1"/>
  <c r="DI263" i="1"/>
  <c r="DI264" i="1"/>
  <c r="DI265" i="1"/>
  <c r="DI266" i="1"/>
  <c r="DI267" i="1"/>
  <c r="DI268" i="1"/>
  <c r="DI269" i="1"/>
  <c r="DI270" i="1"/>
  <c r="DI271" i="1"/>
  <c r="DI272" i="1"/>
  <c r="DI273" i="1"/>
  <c r="DI274" i="1"/>
  <c r="DI275" i="1"/>
  <c r="DI276" i="1"/>
  <c r="DI277" i="1"/>
  <c r="DI297" i="1"/>
  <c r="DI298" i="1"/>
  <c r="DI299" i="1"/>
  <c r="DI300" i="1"/>
  <c r="DI301" i="1"/>
  <c r="DI302" i="1"/>
  <c r="DI303" i="1"/>
  <c r="DI304" i="1"/>
  <c r="DI305" i="1"/>
  <c r="DI306" i="1"/>
  <c r="DI307" i="1"/>
  <c r="DI308" i="1"/>
  <c r="DI309" i="1"/>
  <c r="DI310" i="1"/>
  <c r="BT279" i="1"/>
  <c r="BZ279" i="1" s="1"/>
  <c r="DH279" i="1" s="1"/>
  <c r="BT280" i="1"/>
  <c r="BT281" i="1"/>
  <c r="BT282" i="1"/>
  <c r="BT283" i="1"/>
  <c r="BT284" i="1"/>
  <c r="BT285" i="1"/>
  <c r="BT286" i="1"/>
  <c r="BT287" i="1"/>
  <c r="BT288" i="1"/>
  <c r="BT289" i="1"/>
  <c r="BT290" i="1"/>
  <c r="BZ290" i="1" s="1"/>
  <c r="DH290" i="1" s="1"/>
  <c r="BT291" i="1"/>
  <c r="BT292" i="1"/>
  <c r="BZ292" i="1" s="1"/>
  <c r="DH292" i="1" s="1"/>
  <c r="BT293" i="1"/>
  <c r="BT294" i="1"/>
  <c r="BT295" i="1"/>
  <c r="BT296" i="1"/>
  <c r="BT278" i="1"/>
  <c r="BR279" i="1"/>
  <c r="BR280" i="1"/>
  <c r="BR281" i="1"/>
  <c r="BR282" i="1"/>
  <c r="BR283" i="1"/>
  <c r="BR284" i="1"/>
  <c r="BR285" i="1"/>
  <c r="BR286" i="1"/>
  <c r="BR287" i="1"/>
  <c r="BR288" i="1"/>
  <c r="BR289" i="1"/>
  <c r="BR290" i="1"/>
  <c r="BR291" i="1"/>
  <c r="BR292" i="1"/>
  <c r="BR293" i="1"/>
  <c r="BR294" i="1"/>
  <c r="BR295" i="1"/>
  <c r="BR296" i="1"/>
  <c r="BR278" i="1"/>
  <c r="AD167" i="1"/>
  <c r="BH167" i="1" s="1"/>
  <c r="F24" i="3"/>
  <c r="F25" i="3"/>
  <c r="F23" i="3"/>
  <c r="S3" i="4"/>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AJ297" i="1"/>
  <c r="AJ298" i="1"/>
  <c r="AJ299" i="1"/>
  <c r="AJ300" i="1"/>
  <c r="AJ301" i="1"/>
  <c r="AJ302" i="1"/>
  <c r="AJ303" i="1"/>
  <c r="AJ304" i="1"/>
  <c r="AJ305" i="1"/>
  <c r="AJ306" i="1"/>
  <c r="AJ307" i="1"/>
  <c r="AJ308" i="1"/>
  <c r="AJ309" i="1"/>
  <c r="AJ310" i="1"/>
  <c r="BR25" i="1"/>
  <c r="AB26" i="1"/>
  <c r="AN26" i="1" s="1"/>
  <c r="AC26" i="1"/>
  <c r="AX26" i="1" s="1"/>
  <c r="AD26" i="1"/>
  <c r="AZ26" i="1" s="1"/>
  <c r="AM31" i="1"/>
  <c r="AM32" i="1"/>
  <c r="AM33" i="1"/>
  <c r="AM34" i="1"/>
  <c r="AM35" i="1"/>
  <c r="AM36" i="1"/>
  <c r="AM37" i="1"/>
  <c r="AM39" i="1"/>
  <c r="AM40" i="1"/>
  <c r="AM41" i="1"/>
  <c r="AM42" i="1"/>
  <c r="AM43" i="1"/>
  <c r="AM44"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94" i="1"/>
  <c r="AM195" i="1"/>
  <c r="AM196" i="1"/>
  <c r="AM197" i="1"/>
  <c r="AM198" i="1"/>
  <c r="AM199" i="1"/>
  <c r="AM200" i="1"/>
  <c r="AM201" i="1"/>
  <c r="AM202" i="1"/>
  <c r="AM203" i="1"/>
  <c r="AM204" i="1"/>
  <c r="AM205" i="1"/>
  <c r="AM206" i="1"/>
  <c r="AM207" i="1"/>
  <c r="AM208" i="1"/>
  <c r="AM209"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O31" i="1"/>
  <c r="AO170" i="1"/>
  <c r="AQ170" i="1"/>
  <c r="AS170" i="1"/>
  <c r="AO171" i="1"/>
  <c r="AO172" i="1"/>
  <c r="AO173" i="1"/>
  <c r="AO174" i="1"/>
  <c r="AO175" i="1"/>
  <c r="AO176" i="1"/>
  <c r="AO177" i="1"/>
  <c r="AO178" i="1"/>
  <c r="AO179" i="1"/>
  <c r="AO180" i="1"/>
  <c r="AO181" i="1"/>
  <c r="AO182" i="1"/>
  <c r="AO183" i="1"/>
  <c r="AQ183" i="1"/>
  <c r="AS183" i="1"/>
  <c r="AO184" i="1"/>
  <c r="AO194" i="1"/>
  <c r="AO195" i="1"/>
  <c r="AO196" i="1"/>
  <c r="AO197" i="1"/>
  <c r="AO198" i="1"/>
  <c r="AO199" i="1"/>
  <c r="AO200" i="1"/>
  <c r="AO201" i="1"/>
  <c r="AO202" i="1"/>
  <c r="AO203" i="1"/>
  <c r="AO204" i="1"/>
  <c r="AO205" i="1"/>
  <c r="AO206" i="1"/>
  <c r="AO207" i="1"/>
  <c r="AO208" i="1"/>
  <c r="AO209"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Q171" i="1"/>
  <c r="AS171" i="1"/>
  <c r="BT171" i="1"/>
  <c r="BU171" i="1"/>
  <c r="BY171" i="1" s="1"/>
  <c r="DG171" i="1" s="1"/>
  <c r="AQ172" i="1"/>
  <c r="AQ173" i="1"/>
  <c r="AQ174" i="1"/>
  <c r="AQ175" i="1"/>
  <c r="AS175" i="1"/>
  <c r="AQ176" i="1"/>
  <c r="AQ177" i="1"/>
  <c r="AQ178" i="1"/>
  <c r="AQ179" i="1"/>
  <c r="AQ180" i="1"/>
  <c r="AQ181" i="1"/>
  <c r="AQ182" i="1"/>
  <c r="AQ184" i="1"/>
  <c r="AQ194" i="1"/>
  <c r="AQ195" i="1"/>
  <c r="AQ196" i="1"/>
  <c r="AQ197" i="1"/>
  <c r="AQ198" i="1"/>
  <c r="AQ199" i="1"/>
  <c r="AQ200" i="1"/>
  <c r="AQ201" i="1"/>
  <c r="AQ202" i="1"/>
  <c r="AQ203" i="1"/>
  <c r="AQ204" i="1"/>
  <c r="AQ205" i="1"/>
  <c r="AQ206" i="1"/>
  <c r="AQ207" i="1"/>
  <c r="AQ208" i="1"/>
  <c r="AQ209" i="1"/>
  <c r="AQ229" i="1"/>
  <c r="AQ230" i="1"/>
  <c r="AQ231" i="1"/>
  <c r="AS231" i="1"/>
  <c r="AQ232" i="1"/>
  <c r="AQ233" i="1"/>
  <c r="AQ234" i="1"/>
  <c r="AQ235" i="1"/>
  <c r="AS235" i="1"/>
  <c r="AQ236" i="1"/>
  <c r="AQ237" i="1"/>
  <c r="AQ238" i="1"/>
  <c r="AQ239" i="1"/>
  <c r="AQ240" i="1"/>
  <c r="AQ241" i="1"/>
  <c r="AQ242" i="1"/>
  <c r="AQ243" i="1"/>
  <c r="AS243" i="1"/>
  <c r="AQ244" i="1"/>
  <c r="AQ245" i="1"/>
  <c r="AS245" i="1"/>
  <c r="AQ246" i="1"/>
  <c r="AQ247" i="1"/>
  <c r="AQ248" i="1"/>
  <c r="AQ249" i="1"/>
  <c r="AQ250" i="1"/>
  <c r="AQ251" i="1"/>
  <c r="AQ252" i="1"/>
  <c r="AS172" i="1"/>
  <c r="AS173" i="1"/>
  <c r="AS174" i="1"/>
  <c r="AS176" i="1"/>
  <c r="AS177" i="1"/>
  <c r="AS178" i="1"/>
  <c r="AS179" i="1"/>
  <c r="AS180" i="1"/>
  <c r="AS181" i="1"/>
  <c r="AS182" i="1"/>
  <c r="AS184" i="1"/>
  <c r="AS194" i="1"/>
  <c r="AS195" i="1"/>
  <c r="AS196" i="1"/>
  <c r="AS197" i="1"/>
  <c r="AS198" i="1"/>
  <c r="AS199" i="1"/>
  <c r="AS200" i="1"/>
  <c r="AS201" i="1"/>
  <c r="AS202" i="1"/>
  <c r="AS203" i="1"/>
  <c r="AS204" i="1"/>
  <c r="AS205" i="1"/>
  <c r="AS206" i="1"/>
  <c r="AS207" i="1"/>
  <c r="AS208" i="1"/>
  <c r="AS209" i="1"/>
  <c r="AS229" i="1"/>
  <c r="AS230" i="1"/>
  <c r="AS232" i="1"/>
  <c r="AS233" i="1"/>
  <c r="AS234" i="1"/>
  <c r="AS236" i="1"/>
  <c r="AS237" i="1"/>
  <c r="AS238" i="1"/>
  <c r="AS239" i="1"/>
  <c r="AS240" i="1"/>
  <c r="AS241" i="1"/>
  <c r="AS242" i="1"/>
  <c r="AS244" i="1"/>
  <c r="BQ244" i="1"/>
  <c r="BT244" i="1" s="1"/>
  <c r="AS246" i="1"/>
  <c r="AS247" i="1"/>
  <c r="AS248" i="1"/>
  <c r="AS249" i="1"/>
  <c r="AS250" i="1"/>
  <c r="AS251" i="1"/>
  <c r="AS252" i="1"/>
  <c r="A14" i="7"/>
  <c r="B14" i="7"/>
  <c r="BV229" i="1"/>
  <c r="BU209" i="1"/>
  <c r="BY209" i="1" s="1"/>
  <c r="DG209" i="1" s="1"/>
  <c r="BU208" i="1"/>
  <c r="BY208" i="1" s="1"/>
  <c r="DG208" i="1" s="1"/>
  <c r="BU207" i="1"/>
  <c r="BY207" i="1" s="1"/>
  <c r="DG207" i="1" s="1"/>
  <c r="BU206" i="1"/>
  <c r="BY206" i="1" s="1"/>
  <c r="DG206" i="1" s="1"/>
  <c r="BU205" i="1"/>
  <c r="BV205" i="1" s="1"/>
  <c r="BU204" i="1"/>
  <c r="BU203" i="1"/>
  <c r="BY203" i="1" s="1"/>
  <c r="DG203" i="1" s="1"/>
  <c r="BU202" i="1"/>
  <c r="BY202" i="1" s="1"/>
  <c r="DG202" i="1" s="1"/>
  <c r="BU201" i="1"/>
  <c r="BV201" i="1" s="1"/>
  <c r="BU200" i="1"/>
  <c r="BY200" i="1" s="1"/>
  <c r="DG200" i="1" s="1"/>
  <c r="BU199" i="1"/>
  <c r="BY199" i="1" s="1"/>
  <c r="DG199" i="1" s="1"/>
  <c r="BU198" i="1"/>
  <c r="BV198" i="1" s="1"/>
  <c r="BU197" i="1"/>
  <c r="BV197" i="1" s="1"/>
  <c r="BU196" i="1"/>
  <c r="BY196" i="1" s="1"/>
  <c r="DG196" i="1" s="1"/>
  <c r="BU195" i="1"/>
  <c r="BY195" i="1" s="1"/>
  <c r="DG195" i="1" s="1"/>
  <c r="BU194" i="1"/>
  <c r="BT194" i="1"/>
  <c r="BU184" i="1"/>
  <c r="BY184" i="1" s="1"/>
  <c r="DG184" i="1" s="1"/>
  <c r="BU183" i="1"/>
  <c r="BY183" i="1" s="1"/>
  <c r="DG183" i="1" s="1"/>
  <c r="BU182" i="1"/>
  <c r="BT182" i="1"/>
  <c r="BU181" i="1"/>
  <c r="BV181" i="1" s="1"/>
  <c r="BU180" i="1"/>
  <c r="BU179" i="1"/>
  <c r="BV179" i="1" s="1"/>
  <c r="BU178" i="1"/>
  <c r="BY178" i="1" s="1"/>
  <c r="DG178" i="1" s="1"/>
  <c r="BU177" i="1"/>
  <c r="BU176" i="1"/>
  <c r="BV176" i="1" s="1"/>
  <c r="BU175" i="1"/>
  <c r="BV175" i="1" s="1"/>
  <c r="BU174" i="1"/>
  <c r="BV174" i="1" s="1"/>
  <c r="BU173" i="1"/>
  <c r="BU172" i="1"/>
  <c r="BV172" i="1" s="1"/>
  <c r="BU170" i="1"/>
  <c r="BV170" i="1" s="1"/>
  <c r="BS170" i="1"/>
  <c r="BU169" i="1"/>
  <c r="BV169" i="1" s="1"/>
  <c r="BU168" i="1"/>
  <c r="BV168" i="1" s="1"/>
  <c r="BU167" i="1"/>
  <c r="BV167" i="1" s="1"/>
  <c r="BU166" i="1"/>
  <c r="BV166" i="1" s="1"/>
  <c r="BS166" i="1"/>
  <c r="BT166" i="1" s="1"/>
  <c r="BU165" i="1"/>
  <c r="BV165" i="1" s="1"/>
  <c r="BU164" i="1"/>
  <c r="BU163" i="1"/>
  <c r="BV163" i="1" s="1"/>
  <c r="BU162" i="1"/>
  <c r="BV162" i="1" s="1"/>
  <c r="BU161" i="1"/>
  <c r="BV161" i="1" s="1"/>
  <c r="BU160" i="1"/>
  <c r="BV160" i="1" s="1"/>
  <c r="BU159" i="1"/>
  <c r="BV159" i="1" s="1"/>
  <c r="BU158" i="1"/>
  <c r="BU157" i="1"/>
  <c r="BV157" i="1" s="1"/>
  <c r="BU156" i="1"/>
  <c r="BV156" i="1" s="1"/>
  <c r="BU155" i="1"/>
  <c r="BV155" i="1" s="1"/>
  <c r="BU154" i="1"/>
  <c r="BV154" i="1" s="1"/>
  <c r="BU153" i="1"/>
  <c r="BV153" i="1" s="1"/>
  <c r="BU152" i="1"/>
  <c r="BV152" i="1" s="1"/>
  <c r="BU151" i="1"/>
  <c r="BV151" i="1" s="1"/>
  <c r="BU150" i="1"/>
  <c r="BV150" i="1" s="1"/>
  <c r="BU149" i="1"/>
  <c r="BV149" i="1" s="1"/>
  <c r="BU148" i="1"/>
  <c r="BV148" i="1" s="1"/>
  <c r="BU147" i="1"/>
  <c r="BV147" i="1" s="1"/>
  <c r="BS147" i="1"/>
  <c r="BU146" i="1"/>
  <c r="BV146" i="1" s="1"/>
  <c r="BU145" i="1"/>
  <c r="BV145" i="1" s="1"/>
  <c r="BU144" i="1"/>
  <c r="BV144" i="1" s="1"/>
  <c r="BU143" i="1"/>
  <c r="BV143" i="1" s="1"/>
  <c r="BU142" i="1"/>
  <c r="BV142" i="1" s="1"/>
  <c r="BU141" i="1"/>
  <c r="BU140" i="1"/>
  <c r="BV140" i="1" s="1"/>
  <c r="BS140" i="1"/>
  <c r="BU139" i="1"/>
  <c r="BV139" i="1" s="1"/>
  <c r="BU138" i="1"/>
  <c r="BV138" i="1" s="1"/>
  <c r="BU137" i="1"/>
  <c r="BV137" i="1" s="1"/>
  <c r="BU136" i="1"/>
  <c r="BV136" i="1" s="1"/>
  <c r="BU135" i="1"/>
  <c r="BV135" i="1" s="1"/>
  <c r="BU134" i="1"/>
  <c r="BV134" i="1" s="1"/>
  <c r="BU133" i="1"/>
  <c r="BV133" i="1" s="1"/>
  <c r="BU132" i="1"/>
  <c r="BV132" i="1" s="1"/>
  <c r="BS132" i="1"/>
  <c r="BU131" i="1"/>
  <c r="BV131" i="1" s="1"/>
  <c r="BU130" i="1"/>
  <c r="BV130" i="1" s="1"/>
  <c r="BU129" i="1"/>
  <c r="BV129" i="1" s="1"/>
  <c r="BU128" i="1"/>
  <c r="BV128" i="1" s="1"/>
  <c r="BU127" i="1"/>
  <c r="BV127" i="1" s="1"/>
  <c r="BU126" i="1"/>
  <c r="BV126" i="1" s="1"/>
  <c r="BU125" i="1"/>
  <c r="BV125" i="1" s="1"/>
  <c r="BU124" i="1"/>
  <c r="BV124" i="1" s="1"/>
  <c r="BU123" i="1"/>
  <c r="BV123" i="1" s="1"/>
  <c r="BU122" i="1"/>
  <c r="BU121" i="1"/>
  <c r="BV121" i="1" s="1"/>
  <c r="BU120" i="1"/>
  <c r="BV120" i="1" s="1"/>
  <c r="BU119" i="1"/>
  <c r="BV119" i="1" s="1"/>
  <c r="BU118" i="1"/>
  <c r="BV118" i="1" s="1"/>
  <c r="BS118" i="1"/>
  <c r="BU117" i="1"/>
  <c r="BU116" i="1"/>
  <c r="BV116" i="1" s="1"/>
  <c r="BU115" i="1"/>
  <c r="BV115" i="1" s="1"/>
  <c r="BU114" i="1"/>
  <c r="BV114" i="1" s="1"/>
  <c r="BU111" i="1"/>
  <c r="BV111" i="1" s="1"/>
  <c r="BU110" i="1"/>
  <c r="BU109" i="1"/>
  <c r="BU108" i="1"/>
  <c r="BV108" i="1" s="1"/>
  <c r="BU107" i="1"/>
  <c r="BV107" i="1" s="1"/>
  <c r="BU106" i="1"/>
  <c r="BV106" i="1" s="1"/>
  <c r="BU105" i="1"/>
  <c r="BV105" i="1" s="1"/>
  <c r="BU104" i="1"/>
  <c r="BV104" i="1" s="1"/>
  <c r="BS104" i="1"/>
  <c r="BU103" i="1"/>
  <c r="BV103" i="1" s="1"/>
  <c r="BU102" i="1"/>
  <c r="BV102" i="1" s="1"/>
  <c r="BU101" i="1"/>
  <c r="BV101" i="1" s="1"/>
  <c r="BU100" i="1"/>
  <c r="BV100" i="1" s="1"/>
  <c r="BU99" i="1"/>
  <c r="BV99" i="1" s="1"/>
  <c r="BU98" i="1"/>
  <c r="BV98" i="1" s="1"/>
  <c r="BU97" i="1"/>
  <c r="BV97" i="1" s="1"/>
  <c r="BU96" i="1"/>
  <c r="BU95" i="1"/>
  <c r="BV95" i="1" s="1"/>
  <c r="BU94" i="1"/>
  <c r="BV94" i="1" s="1"/>
  <c r="BU93" i="1"/>
  <c r="BV93" i="1" s="1"/>
  <c r="BU92" i="1"/>
  <c r="BV92" i="1" s="1"/>
  <c r="BU91" i="1"/>
  <c r="BV91" i="1" s="1"/>
  <c r="BU90" i="1"/>
  <c r="BV90" i="1" s="1"/>
  <c r="BU89" i="1"/>
  <c r="BV89" i="1" s="1"/>
  <c r="BU88" i="1"/>
  <c r="BV88" i="1" s="1"/>
  <c r="BU87" i="1"/>
  <c r="BV87" i="1" s="1"/>
  <c r="BU86" i="1"/>
  <c r="BV86" i="1" s="1"/>
  <c r="BU85" i="1"/>
  <c r="BV85" i="1" s="1"/>
  <c r="BU84" i="1"/>
  <c r="BV84" i="1" s="1"/>
  <c r="BU83" i="1"/>
  <c r="BV83" i="1" s="1"/>
  <c r="BU82" i="1"/>
  <c r="BV82" i="1" s="1"/>
  <c r="BU81" i="1"/>
  <c r="BV81" i="1" s="1"/>
  <c r="BU80" i="1"/>
  <c r="BV80" i="1" s="1"/>
  <c r="BU79" i="1"/>
  <c r="BV79" i="1" s="1"/>
  <c r="BU78" i="1"/>
  <c r="BV78" i="1" s="1"/>
  <c r="BU77" i="1"/>
  <c r="BS77" i="1"/>
  <c r="BT77" i="1" s="1"/>
  <c r="BU76" i="1"/>
  <c r="BV76" i="1" s="1"/>
  <c r="BU75" i="1"/>
  <c r="BV75" i="1" s="1"/>
  <c r="BU74" i="1"/>
  <c r="BV74" i="1" s="1"/>
  <c r="BS74" i="1"/>
  <c r="BT74" i="1" s="1"/>
  <c r="BU73" i="1"/>
  <c r="BV73" i="1" s="1"/>
  <c r="BU72" i="1"/>
  <c r="BV72" i="1" s="1"/>
  <c r="BU71" i="1"/>
  <c r="BV71" i="1" s="1"/>
  <c r="BU70" i="1"/>
  <c r="BV70" i="1" s="1"/>
  <c r="BU69" i="1"/>
  <c r="BV69" i="1" s="1"/>
  <c r="BU68" i="1"/>
  <c r="BS68" i="1"/>
  <c r="BU67" i="1"/>
  <c r="BV67" i="1" s="1"/>
  <c r="BU66" i="1"/>
  <c r="BV66" i="1" s="1"/>
  <c r="BU65" i="1"/>
  <c r="BV65" i="1" s="1"/>
  <c r="BU64" i="1"/>
  <c r="BV64" i="1" s="1"/>
  <c r="BU63" i="1"/>
  <c r="BV63" i="1" s="1"/>
  <c r="BU62" i="1"/>
  <c r="BU61" i="1"/>
  <c r="BV61" i="1" s="1"/>
  <c r="BU60" i="1"/>
  <c r="BV60" i="1" s="1"/>
  <c r="BU59" i="1"/>
  <c r="BV59" i="1" s="1"/>
  <c r="BU58" i="1"/>
  <c r="BV58" i="1" s="1"/>
  <c r="BU57" i="1"/>
  <c r="BV57" i="1" s="1"/>
  <c r="BU56" i="1"/>
  <c r="BV56" i="1" s="1"/>
  <c r="BU55" i="1"/>
  <c r="BU54" i="1"/>
  <c r="BV54" i="1" s="1"/>
  <c r="BS54" i="1"/>
  <c r="BU53" i="1"/>
  <c r="BV53" i="1" s="1"/>
  <c r="BU52" i="1"/>
  <c r="BV52" i="1" s="1"/>
  <c r="BU51" i="1"/>
  <c r="BV51" i="1" s="1"/>
  <c r="BU50" i="1"/>
  <c r="BV50" i="1" s="1"/>
  <c r="BU49" i="1"/>
  <c r="BV49" i="1" s="1"/>
  <c r="BU48" i="1"/>
  <c r="BV48" i="1" s="1"/>
  <c r="BU47" i="1"/>
  <c r="BV47" i="1" s="1"/>
  <c r="BU46" i="1"/>
  <c r="BV46" i="1" s="1"/>
  <c r="BU45" i="1"/>
  <c r="BV45" i="1" s="1"/>
  <c r="BU44" i="1"/>
  <c r="BU43" i="1"/>
  <c r="BV43" i="1" s="1"/>
  <c r="BU42" i="1"/>
  <c r="BV42" i="1" s="1"/>
  <c r="BU41" i="1"/>
  <c r="BV41" i="1" s="1"/>
  <c r="BU40" i="1"/>
  <c r="BV40" i="1" s="1"/>
  <c r="BU39" i="1"/>
  <c r="BV39" i="1" s="1"/>
  <c r="BU38" i="1"/>
  <c r="BV38" i="1" s="1"/>
  <c r="BS38" i="1"/>
  <c r="BU37" i="1"/>
  <c r="BV37" i="1" s="1"/>
  <c r="BU36" i="1"/>
  <c r="BV36" i="1" s="1"/>
  <c r="BU35" i="1"/>
  <c r="BV35" i="1" s="1"/>
  <c r="BU34" i="1"/>
  <c r="BV34" i="1" s="1"/>
  <c r="BU33" i="1"/>
  <c r="BU32" i="1"/>
  <c r="BV32" i="1" s="1"/>
  <c r="BU31" i="1"/>
  <c r="BV31" i="1" s="1"/>
  <c r="BU30" i="1"/>
  <c r="BV30" i="1" s="1"/>
  <c r="BS30" i="1"/>
  <c r="BU29" i="1"/>
  <c r="BV29" i="1" s="1"/>
  <c r="BS29" i="1"/>
  <c r="BU28" i="1"/>
  <c r="BV28" i="1" s="1"/>
  <c r="BU27" i="1"/>
  <c r="BU26" i="1"/>
  <c r="BV26" i="1" s="1"/>
  <c r="BU25" i="1"/>
  <c r="BV25" i="1" s="1"/>
  <c r="BS25" i="1"/>
  <c r="BU24" i="1"/>
  <c r="BV24" i="1" s="1"/>
  <c r="BU23" i="1"/>
  <c r="BU22" i="1"/>
  <c r="BV22" i="1" s="1"/>
  <c r="BS22" i="1"/>
  <c r="BU21" i="1"/>
  <c r="BV21" i="1" s="1"/>
  <c r="BS21" i="1"/>
  <c r="BU20" i="1"/>
  <c r="BV20" i="1" s="1"/>
  <c r="BU19" i="1"/>
  <c r="BV19" i="1" s="1"/>
  <c r="BU18" i="1"/>
  <c r="BS18" i="1"/>
  <c r="BU17" i="1"/>
  <c r="BV17" i="1" s="1"/>
  <c r="BU16" i="1"/>
  <c r="BV16" i="1" s="1"/>
  <c r="BU15" i="1"/>
  <c r="BV15" i="1" s="1"/>
  <c r="BU14" i="1"/>
  <c r="BV14" i="1" s="1"/>
  <c r="BS14" i="1"/>
  <c r="BU13" i="1"/>
  <c r="BV13" i="1" s="1"/>
  <c r="BS13" i="1"/>
  <c r="BU12" i="1"/>
  <c r="BV12" i="1" s="1"/>
  <c r="BU11" i="1"/>
  <c r="BV11" i="1" s="1"/>
  <c r="BU10" i="1"/>
  <c r="BV10" i="1" s="1"/>
  <c r="BU9" i="1"/>
  <c r="BV9" i="1" s="1"/>
  <c r="BU8" i="1"/>
  <c r="BV8" i="1" s="1"/>
  <c r="BU7" i="1"/>
  <c r="BV7" i="1" s="1"/>
  <c r="BU6" i="1"/>
  <c r="BV6" i="1" s="1"/>
  <c r="BS6" i="1"/>
  <c r="BT6" i="1" s="1"/>
  <c r="BU5" i="1"/>
  <c r="BV5" i="1" s="1"/>
  <c r="BU4" i="1"/>
  <c r="BV4" i="1" s="1"/>
  <c r="BU3" i="1"/>
  <c r="BV3" i="1" s="1"/>
  <c r="BS3" i="1"/>
  <c r="BT233" i="1"/>
  <c r="BZ233" i="1" s="1"/>
  <c r="BT232" i="1"/>
  <c r="BT231" i="1"/>
  <c r="BZ231" i="1" s="1"/>
  <c r="BT230" i="1"/>
  <c r="BT229" i="1"/>
  <c r="BT195" i="1"/>
  <c r="BT196" i="1"/>
  <c r="BT199" i="1"/>
  <c r="BT200" i="1"/>
  <c r="BT202" i="1"/>
  <c r="BT203" i="1"/>
  <c r="BT204" i="1"/>
  <c r="BT205" i="1"/>
  <c r="BT206" i="1"/>
  <c r="BT207" i="1"/>
  <c r="BT208" i="1"/>
  <c r="BT209" i="1"/>
  <c r="BT177" i="1"/>
  <c r="BT178" i="1"/>
  <c r="BT180" i="1"/>
  <c r="BT183" i="1"/>
  <c r="BT184" i="1"/>
  <c r="BV2" i="1"/>
  <c r="BR4" i="1"/>
  <c r="BR10" i="1"/>
  <c r="BR28" i="1"/>
  <c r="BR62" i="1"/>
  <c r="BR116" i="1"/>
  <c r="BS201" i="1"/>
  <c r="BS198" i="1"/>
  <c r="BS197" i="1"/>
  <c r="BS181" i="1"/>
  <c r="BS179" i="1"/>
  <c r="BS176" i="1"/>
  <c r="BS175" i="1"/>
  <c r="BS174" i="1"/>
  <c r="BS173" i="1"/>
  <c r="BS172" i="1"/>
  <c r="BS157" i="1"/>
  <c r="BT157" i="1" s="1"/>
  <c r="BS156" i="1"/>
  <c r="BS169" i="1"/>
  <c r="BS168" i="1"/>
  <c r="BS167" i="1"/>
  <c r="BS165" i="1"/>
  <c r="BT165" i="1" s="1"/>
  <c r="BS164" i="1"/>
  <c r="BT164" i="1" s="1"/>
  <c r="BS163" i="1"/>
  <c r="BS162" i="1"/>
  <c r="BT162" i="1" s="1"/>
  <c r="BZ162" i="1" s="1"/>
  <c r="BS161" i="1"/>
  <c r="BS160" i="1"/>
  <c r="BT160" i="1" s="1"/>
  <c r="BS159" i="1"/>
  <c r="BS158" i="1"/>
  <c r="BY158" i="1" s="1"/>
  <c r="BS155" i="1"/>
  <c r="BS154" i="1"/>
  <c r="BS153" i="1"/>
  <c r="BT153" i="1" s="1"/>
  <c r="BS152" i="1"/>
  <c r="BT152" i="1" s="1"/>
  <c r="BS151" i="1"/>
  <c r="BS150" i="1"/>
  <c r="BS149" i="1"/>
  <c r="BS148" i="1"/>
  <c r="BT148" i="1" s="1"/>
  <c r="BS146" i="1"/>
  <c r="BS145" i="1"/>
  <c r="BS144" i="1"/>
  <c r="BS143" i="1"/>
  <c r="BS142" i="1"/>
  <c r="BS141" i="1"/>
  <c r="BS139" i="1"/>
  <c r="BS138" i="1"/>
  <c r="BS137" i="1"/>
  <c r="BS136" i="1"/>
  <c r="BS135" i="1"/>
  <c r="BS134" i="1"/>
  <c r="BS133" i="1"/>
  <c r="BS131" i="1"/>
  <c r="BS130" i="1"/>
  <c r="BS129" i="1"/>
  <c r="BS128" i="1"/>
  <c r="BS127" i="1"/>
  <c r="BS126" i="1"/>
  <c r="BS125" i="1"/>
  <c r="BT125" i="1" s="1"/>
  <c r="BZ125" i="1" s="1"/>
  <c r="BS124" i="1"/>
  <c r="BT124" i="1" s="1"/>
  <c r="BS123" i="1"/>
  <c r="BS122" i="1"/>
  <c r="BS121" i="1"/>
  <c r="BT121" i="1" s="1"/>
  <c r="BZ121" i="1" s="1"/>
  <c r="BS120" i="1"/>
  <c r="BS119" i="1"/>
  <c r="BS117" i="1"/>
  <c r="BT117" i="1" s="1"/>
  <c r="BS116" i="1"/>
  <c r="BS115" i="1"/>
  <c r="BS114" i="1"/>
  <c r="BS113" i="1"/>
  <c r="BY113" i="1" s="1"/>
  <c r="BS111" i="1"/>
  <c r="BS110" i="1"/>
  <c r="BS109" i="1"/>
  <c r="BT109" i="1" s="1"/>
  <c r="BS108" i="1"/>
  <c r="BT108" i="1" s="1"/>
  <c r="BS107" i="1"/>
  <c r="BS106" i="1"/>
  <c r="BS105" i="1"/>
  <c r="BS103" i="1"/>
  <c r="BS102" i="1"/>
  <c r="BS101" i="1"/>
  <c r="BS100" i="1"/>
  <c r="BT100" i="1" s="1"/>
  <c r="BS99" i="1"/>
  <c r="BS98" i="1"/>
  <c r="BS97" i="1"/>
  <c r="BS96" i="1"/>
  <c r="BT96" i="1" s="1"/>
  <c r="BS95" i="1"/>
  <c r="BS94" i="1"/>
  <c r="BS93" i="1"/>
  <c r="BS92" i="1"/>
  <c r="BS91" i="1"/>
  <c r="BS90" i="1"/>
  <c r="BS89" i="1"/>
  <c r="BS88" i="1"/>
  <c r="BS87" i="1"/>
  <c r="BS86" i="1"/>
  <c r="BS85" i="1"/>
  <c r="BS84" i="1"/>
  <c r="BS83" i="1"/>
  <c r="BS82" i="1"/>
  <c r="BS81" i="1"/>
  <c r="BS80" i="1"/>
  <c r="BS79" i="1"/>
  <c r="BS78" i="1"/>
  <c r="BS76" i="1"/>
  <c r="BT76" i="1" s="1"/>
  <c r="BS75" i="1"/>
  <c r="BS73" i="1"/>
  <c r="BS72" i="1"/>
  <c r="BS71" i="1"/>
  <c r="BS70" i="1"/>
  <c r="BS69" i="1"/>
  <c r="BS67" i="1"/>
  <c r="BT67" i="1" s="1"/>
  <c r="BS66" i="1"/>
  <c r="BS65" i="1"/>
  <c r="BS64" i="1"/>
  <c r="BS63" i="1"/>
  <c r="BS62" i="1"/>
  <c r="BS61" i="1"/>
  <c r="BT61" i="1" s="1"/>
  <c r="BS60" i="1"/>
  <c r="BT60" i="1" s="1"/>
  <c r="BS59" i="1"/>
  <c r="BS58" i="1"/>
  <c r="BS57" i="1"/>
  <c r="BS56" i="1"/>
  <c r="BT56" i="1" s="1"/>
  <c r="BS55" i="1"/>
  <c r="BS53" i="1"/>
  <c r="BT53" i="1" s="1"/>
  <c r="BS52" i="1"/>
  <c r="BS51" i="1"/>
  <c r="BT51" i="1" s="1"/>
  <c r="BS50" i="1"/>
  <c r="BS49" i="1"/>
  <c r="BS48" i="1"/>
  <c r="BS47" i="1"/>
  <c r="BS46" i="1"/>
  <c r="BS45" i="1"/>
  <c r="BS44" i="1"/>
  <c r="BS43" i="1"/>
  <c r="BT43" i="1" s="1"/>
  <c r="BS42" i="1"/>
  <c r="BS41" i="1"/>
  <c r="BT41" i="1" s="1"/>
  <c r="BS40" i="1"/>
  <c r="BS39" i="1"/>
  <c r="BS37" i="1"/>
  <c r="BT37" i="1" s="1"/>
  <c r="BS36" i="1"/>
  <c r="BT36" i="1" s="1"/>
  <c r="BS35" i="1"/>
  <c r="BT35" i="1" s="1"/>
  <c r="BS34" i="1"/>
  <c r="BS33" i="1"/>
  <c r="BS32" i="1"/>
  <c r="BS31" i="1"/>
  <c r="BS28" i="1"/>
  <c r="BS27" i="1"/>
  <c r="BS26" i="1"/>
  <c r="BS24" i="1"/>
  <c r="BT24" i="1" s="1"/>
  <c r="BS23" i="1"/>
  <c r="BS20" i="1"/>
  <c r="BT20" i="1" s="1"/>
  <c r="BS19" i="1"/>
  <c r="BS17" i="1"/>
  <c r="BS16" i="1"/>
  <c r="BT16" i="1" s="1"/>
  <c r="BS15" i="1"/>
  <c r="BS12" i="1"/>
  <c r="BS11" i="1"/>
  <c r="BT11" i="1" s="1"/>
  <c r="BS10" i="1"/>
  <c r="BS9" i="1"/>
  <c r="BS8" i="1"/>
  <c r="BS7" i="1"/>
  <c r="BS5" i="1"/>
  <c r="BT5" i="1" s="1"/>
  <c r="BS4" i="1"/>
  <c r="BS2" i="1"/>
  <c r="BY2" i="1" s="1"/>
  <c r="BH131" i="1"/>
  <c r="BH93" i="1"/>
  <c r="BH87" i="1"/>
  <c r="BH83" i="1"/>
  <c r="AD73" i="1"/>
  <c r="BH73" i="1" s="1"/>
  <c r="AA73" i="1"/>
  <c r="BH66" i="1"/>
  <c r="BH53" i="1"/>
  <c r="BH47" i="1"/>
  <c r="BI47" i="1" s="1"/>
  <c r="BD47" i="1"/>
  <c r="BE47" i="1" s="1"/>
  <c r="BF47" i="1"/>
  <c r="BG47" i="1" s="1"/>
  <c r="BH33" i="1"/>
  <c r="BF93" i="1"/>
  <c r="BF87" i="1"/>
  <c r="AA87" i="1"/>
  <c r="AO87" i="1" s="1"/>
  <c r="BF83" i="1"/>
  <c r="AA83" i="1"/>
  <c r="AQ83" i="1" s="1"/>
  <c r="AC73" i="1"/>
  <c r="BF73" i="1" s="1"/>
  <c r="BF66" i="1"/>
  <c r="BF53" i="1"/>
  <c r="BF33" i="1"/>
  <c r="BD93" i="1"/>
  <c r="BD87" i="1"/>
  <c r="BD83" i="1"/>
  <c r="AV83" i="1"/>
  <c r="AX83" i="1"/>
  <c r="AZ83" i="1"/>
  <c r="BD66" i="1"/>
  <c r="BD53" i="1"/>
  <c r="BD33" i="1"/>
  <c r="AZ93" i="1"/>
  <c r="AZ87" i="1"/>
  <c r="AC87" i="1"/>
  <c r="AX87" i="1" s="1"/>
  <c r="AZ66" i="1"/>
  <c r="AZ53" i="1"/>
  <c r="AZ47" i="1"/>
  <c r="AZ33" i="1"/>
  <c r="AX93" i="1"/>
  <c r="AV93" i="1"/>
  <c r="AX66" i="1"/>
  <c r="AX53" i="1"/>
  <c r="AX47" i="1"/>
  <c r="AY47" i="1" s="1"/>
  <c r="AX33" i="1"/>
  <c r="AV66" i="1"/>
  <c r="AV53" i="1"/>
  <c r="AA53" i="1"/>
  <c r="AV47" i="1"/>
  <c r="AW47" i="1" s="1"/>
  <c r="AV33" i="1"/>
  <c r="AR66" i="1"/>
  <c r="AR53" i="1"/>
  <c r="AR33" i="1"/>
  <c r="AC33" i="1"/>
  <c r="AP33" i="1" s="1"/>
  <c r="BH181" i="1"/>
  <c r="BJ181" i="1" s="1"/>
  <c r="BH179" i="1"/>
  <c r="BJ179" i="1" s="1"/>
  <c r="BH175" i="1"/>
  <c r="BI175" i="1" s="1"/>
  <c r="BK175" i="1" s="1"/>
  <c r="BR113" i="1"/>
  <c r="BD3" i="1"/>
  <c r="BD6" i="1"/>
  <c r="BF6" i="1"/>
  <c r="BH6" i="1"/>
  <c r="BD8" i="1"/>
  <c r="AA8" i="1"/>
  <c r="BD27" i="1"/>
  <c r="AA27" i="1"/>
  <c r="BD28" i="1"/>
  <c r="BD29" i="1"/>
  <c r="BF3" i="1"/>
  <c r="BF8" i="1"/>
  <c r="BF27" i="1"/>
  <c r="BF28" i="1"/>
  <c r="BF29" i="1"/>
  <c r="BH29" i="1"/>
  <c r="BH3" i="1"/>
  <c r="BH8" i="1"/>
  <c r="BH27" i="1"/>
  <c r="BH28" i="1"/>
  <c r="AA28" i="1"/>
  <c r="AV3" i="1"/>
  <c r="AV6" i="1"/>
  <c r="AX6" i="1"/>
  <c r="AZ6" i="1"/>
  <c r="AV8" i="1"/>
  <c r="AV27" i="1"/>
  <c r="AV28" i="1"/>
  <c r="AV29" i="1"/>
  <c r="AX29" i="1"/>
  <c r="AZ29" i="1"/>
  <c r="AX3" i="1"/>
  <c r="AX8" i="1"/>
  <c r="AX27" i="1"/>
  <c r="AX28" i="1"/>
  <c r="AZ3" i="1"/>
  <c r="AZ8" i="1"/>
  <c r="AZ27" i="1"/>
  <c r="AZ28" i="1"/>
  <c r="AR3" i="1"/>
  <c r="AR6" i="1"/>
  <c r="AR8" i="1"/>
  <c r="AR27" i="1"/>
  <c r="AR28" i="1"/>
  <c r="AN28" i="1"/>
  <c r="AP28" i="1"/>
  <c r="AR29" i="1"/>
  <c r="AP3" i="1"/>
  <c r="AN3" i="1"/>
  <c r="AP6" i="1"/>
  <c r="AP8" i="1"/>
  <c r="AP27" i="1"/>
  <c r="AP29" i="1"/>
  <c r="AA29" i="1"/>
  <c r="AN6" i="1"/>
  <c r="AN8" i="1"/>
  <c r="AN27" i="1"/>
  <c r="AN29" i="1"/>
  <c r="BR109" i="1"/>
  <c r="BR106" i="1"/>
  <c r="BR12" i="1"/>
  <c r="BR87" i="1"/>
  <c r="BR18" i="1"/>
  <c r="BR37" i="1"/>
  <c r="BR40" i="1"/>
  <c r="BR60" i="1"/>
  <c r="BR63" i="1"/>
  <c r="BR111" i="1"/>
  <c r="BR119" i="1"/>
  <c r="BR129" i="1"/>
  <c r="BR131" i="1"/>
  <c r="BR134" i="1"/>
  <c r="BR155" i="1"/>
  <c r="BR161" i="1"/>
  <c r="BR180" i="1"/>
  <c r="BR7" i="1"/>
  <c r="BR14" i="1"/>
  <c r="BR2" i="1"/>
  <c r="BR3" i="1"/>
  <c r="BR5" i="1"/>
  <c r="BR6" i="1"/>
  <c r="BR8" i="1"/>
  <c r="BR9" i="1"/>
  <c r="BR11" i="1"/>
  <c r="BR13" i="1"/>
  <c r="BR15" i="1"/>
  <c r="BR16" i="1"/>
  <c r="BR17" i="1"/>
  <c r="BR19" i="1"/>
  <c r="BR20" i="1"/>
  <c r="BR21" i="1"/>
  <c r="BR22" i="1"/>
  <c r="BR23" i="1"/>
  <c r="BR24" i="1"/>
  <c r="BR26" i="1"/>
  <c r="BR27" i="1"/>
  <c r="BR29" i="1"/>
  <c r="BR30" i="1"/>
  <c r="BR31" i="1"/>
  <c r="BR32" i="1"/>
  <c r="BR33" i="1"/>
  <c r="BR34" i="1"/>
  <c r="BR35" i="1"/>
  <c r="BR36" i="1"/>
  <c r="BR38" i="1"/>
  <c r="BR39" i="1"/>
  <c r="BR41" i="1"/>
  <c r="BR42" i="1"/>
  <c r="BR43" i="1"/>
  <c r="BR44" i="1"/>
  <c r="BR45" i="1"/>
  <c r="BR46" i="1"/>
  <c r="BR47" i="1"/>
  <c r="BR48" i="1"/>
  <c r="BR49" i="1"/>
  <c r="BR50" i="1"/>
  <c r="BR51" i="1"/>
  <c r="BR52" i="1"/>
  <c r="BR53" i="1"/>
  <c r="BR54" i="1"/>
  <c r="BR55" i="1"/>
  <c r="BR56" i="1"/>
  <c r="BR57" i="1"/>
  <c r="BR58" i="1"/>
  <c r="BR59" i="1"/>
  <c r="BR61" i="1"/>
  <c r="BR64" i="1"/>
  <c r="BR65" i="1"/>
  <c r="BR66" i="1"/>
  <c r="BR67" i="1"/>
  <c r="BR68" i="1"/>
  <c r="BR69" i="1"/>
  <c r="BR70" i="1"/>
  <c r="BR71" i="1"/>
  <c r="BR72" i="1"/>
  <c r="BR73" i="1"/>
  <c r="BR74" i="1"/>
  <c r="BR75" i="1"/>
  <c r="BR76" i="1"/>
  <c r="BR77" i="1"/>
  <c r="BR78" i="1"/>
  <c r="BR79" i="1"/>
  <c r="BR80" i="1"/>
  <c r="BR81" i="1"/>
  <c r="BR82" i="1"/>
  <c r="BR83" i="1"/>
  <c r="BR84" i="1"/>
  <c r="BR85" i="1"/>
  <c r="BR86" i="1"/>
  <c r="BR88" i="1"/>
  <c r="BR89" i="1"/>
  <c r="BR90" i="1"/>
  <c r="BR91" i="1"/>
  <c r="BR92" i="1"/>
  <c r="BR93" i="1"/>
  <c r="BR94" i="1"/>
  <c r="BR95" i="1"/>
  <c r="BR96" i="1"/>
  <c r="BR97" i="1"/>
  <c r="BR98" i="1"/>
  <c r="BR99" i="1"/>
  <c r="BR100" i="1"/>
  <c r="BR101" i="1"/>
  <c r="BR102" i="1"/>
  <c r="BR103" i="1"/>
  <c r="BR104" i="1"/>
  <c r="BR105" i="1"/>
  <c r="BR107" i="1"/>
  <c r="BR108" i="1"/>
  <c r="BR110" i="1"/>
  <c r="BR114" i="1"/>
  <c r="BR115" i="1"/>
  <c r="BR117" i="1"/>
  <c r="BR118" i="1"/>
  <c r="BR120" i="1"/>
  <c r="BR121" i="1"/>
  <c r="BR122" i="1"/>
  <c r="BR123" i="1"/>
  <c r="BR124" i="1"/>
  <c r="BR125" i="1"/>
  <c r="BR126" i="1"/>
  <c r="BR127" i="1"/>
  <c r="BR128" i="1"/>
  <c r="BR130" i="1"/>
  <c r="BR132" i="1"/>
  <c r="BR133" i="1"/>
  <c r="BR135" i="1"/>
  <c r="BR136" i="1"/>
  <c r="BR137" i="1"/>
  <c r="BR138" i="1"/>
  <c r="BR139" i="1"/>
  <c r="BR140" i="1"/>
  <c r="BR141" i="1"/>
  <c r="BR142" i="1"/>
  <c r="BR143" i="1"/>
  <c r="BR144" i="1"/>
  <c r="BR145" i="1"/>
  <c r="BR146" i="1"/>
  <c r="BR147" i="1"/>
  <c r="BR148" i="1"/>
  <c r="BR149" i="1"/>
  <c r="BR150" i="1"/>
  <c r="BR151" i="1"/>
  <c r="BR152" i="1"/>
  <c r="BR153" i="1"/>
  <c r="BR154" i="1"/>
  <c r="BR156" i="1"/>
  <c r="BR157" i="1"/>
  <c r="BR158" i="1"/>
  <c r="BR159" i="1"/>
  <c r="BR160" i="1"/>
  <c r="BR162" i="1"/>
  <c r="BR163" i="1"/>
  <c r="BR164" i="1"/>
  <c r="BR165" i="1"/>
  <c r="BR166" i="1"/>
  <c r="BR167" i="1"/>
  <c r="BR168" i="1"/>
  <c r="BR169" i="1"/>
  <c r="BR170" i="1"/>
  <c r="BR171" i="1"/>
  <c r="BR172" i="1"/>
  <c r="BR173" i="1"/>
  <c r="BR174" i="1"/>
  <c r="BR175" i="1"/>
  <c r="BR176" i="1"/>
  <c r="BR177" i="1"/>
  <c r="BR178" i="1"/>
  <c r="BR179" i="1"/>
  <c r="BR181" i="1"/>
  <c r="BR182" i="1"/>
  <c r="BR183" i="1"/>
  <c r="BR184" i="1"/>
  <c r="BR194" i="1"/>
  <c r="BR195" i="1"/>
  <c r="BR196" i="1"/>
  <c r="BR197" i="1"/>
  <c r="BR198" i="1"/>
  <c r="BR199" i="1"/>
  <c r="BR200" i="1"/>
  <c r="BR201" i="1"/>
  <c r="BR202" i="1"/>
  <c r="BR203" i="1"/>
  <c r="BR204" i="1"/>
  <c r="BR205" i="1"/>
  <c r="BR206" i="1"/>
  <c r="BR207" i="1"/>
  <c r="BR208" i="1"/>
  <c r="BR209" i="1"/>
  <c r="BR229" i="1"/>
  <c r="BR230" i="1"/>
  <c r="BR231" i="1"/>
  <c r="BR232" i="1"/>
  <c r="BR233" i="1"/>
  <c r="BQ239" i="1"/>
  <c r="BQ243" i="1"/>
  <c r="BX243" i="1" s="1"/>
  <c r="BQ245" i="1"/>
  <c r="BQ246" i="1"/>
  <c r="BX246" i="1" s="1"/>
  <c r="BQ249" i="1"/>
  <c r="BR249" i="1" s="1"/>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N3" i="4"/>
  <c r="O3" i="4" s="1"/>
  <c r="N4" i="4"/>
  <c r="O4" i="4" s="1"/>
  <c r="N5" i="4"/>
  <c r="N6" i="4"/>
  <c r="O6" i="4" s="1"/>
  <c r="N7" i="4"/>
  <c r="O7" i="4" s="1"/>
  <c r="N8" i="4"/>
  <c r="O8" i="4" s="1"/>
  <c r="N9" i="4"/>
  <c r="O9" i="4" s="1"/>
  <c r="N10" i="4"/>
  <c r="N11" i="4"/>
  <c r="O11" i="4" s="1"/>
  <c r="N12" i="4"/>
  <c r="O12" i="4" s="1"/>
  <c r="N13" i="4"/>
  <c r="N14" i="4"/>
  <c r="O14" i="4" s="1"/>
  <c r="N15" i="4"/>
  <c r="O15" i="4" s="1"/>
  <c r="N16" i="4"/>
  <c r="O16" i="4" s="1"/>
  <c r="N17" i="4"/>
  <c r="O17" i="4" s="1"/>
  <c r="N18" i="4"/>
  <c r="O18" i="4" s="1"/>
  <c r="N19" i="4"/>
  <c r="O19" i="4" s="1"/>
  <c r="N20" i="4"/>
  <c r="O20" i="4" s="1"/>
  <c r="N21" i="4"/>
  <c r="N22" i="4"/>
  <c r="O22" i="4" s="1"/>
  <c r="N23" i="4"/>
  <c r="O23" i="4" s="1"/>
  <c r="N25" i="4"/>
  <c r="O25" i="4" s="1"/>
  <c r="N27" i="4"/>
  <c r="O27" i="4" s="1"/>
  <c r="N28" i="4"/>
  <c r="N29" i="4"/>
  <c r="O29" i="4" s="1"/>
  <c r="N30" i="4"/>
  <c r="O30" i="4" s="1"/>
  <c r="N31" i="4"/>
  <c r="O31" i="4" s="1"/>
  <c r="N32" i="4"/>
  <c r="O32" i="4" s="1"/>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BQ235" i="1"/>
  <c r="BR235" i="1" s="1"/>
  <c r="BQ236" i="1"/>
  <c r="BT236" i="1" s="1"/>
  <c r="BQ237" i="1"/>
  <c r="BQ238" i="1"/>
  <c r="BR238" i="1" s="1"/>
  <c r="BQ240" i="1"/>
  <c r="BT240" i="1" s="1"/>
  <c r="BQ241" i="1"/>
  <c r="BX241" i="1" s="1"/>
  <c r="BQ242" i="1"/>
  <c r="BR242" i="1" s="1"/>
  <c r="BQ247" i="1"/>
  <c r="BX247" i="1" s="1"/>
  <c r="BQ248" i="1"/>
  <c r="BX248" i="1" s="1"/>
  <c r="BQ250" i="1"/>
  <c r="BX250" i="1" s="1"/>
  <c r="BQ251" i="1"/>
  <c r="BQ252" i="1"/>
  <c r="BX252" i="1" s="1"/>
  <c r="BQ234" i="1"/>
  <c r="BX234" i="1" s="1"/>
  <c r="AB2" i="1"/>
  <c r="BD2" i="1" s="1"/>
  <c r="AC2" i="1"/>
  <c r="AP2" i="1" s="1"/>
  <c r="AB3" i="1"/>
  <c r="AC3" i="1"/>
  <c r="AB4" i="1"/>
  <c r="AC4" i="1"/>
  <c r="BF4" i="1" s="1"/>
  <c r="AB5" i="1"/>
  <c r="BD5" i="1" s="1"/>
  <c r="AC5" i="1"/>
  <c r="BF5" i="1" s="1"/>
  <c r="AA5" i="1"/>
  <c r="AB6" i="1"/>
  <c r="AC6" i="1"/>
  <c r="AB7" i="1"/>
  <c r="AN7" i="1" s="1"/>
  <c r="AC7" i="1"/>
  <c r="AX7" i="1" s="1"/>
  <c r="AB8" i="1"/>
  <c r="AC8" i="1"/>
  <c r="AB9" i="1"/>
  <c r="BD9" i="1" s="1"/>
  <c r="AC9" i="1"/>
  <c r="AX9" i="1" s="1"/>
  <c r="AA9" i="1"/>
  <c r="AB11" i="1"/>
  <c r="AV11" i="1" s="1"/>
  <c r="AC11" i="1"/>
  <c r="BF11" i="1" s="1"/>
  <c r="AB13" i="1"/>
  <c r="AV13" i="1" s="1"/>
  <c r="AC13" i="1"/>
  <c r="AB14" i="1"/>
  <c r="BD14" i="1" s="1"/>
  <c r="AA14" i="1"/>
  <c r="AC14" i="1"/>
  <c r="AX14" i="1" s="1"/>
  <c r="AB15" i="1"/>
  <c r="BD15" i="1" s="1"/>
  <c r="AC15" i="1"/>
  <c r="BF15" i="1" s="1"/>
  <c r="AB16" i="1"/>
  <c r="AV16" i="1" s="1"/>
  <c r="AC16" i="1"/>
  <c r="AX16" i="1" s="1"/>
  <c r="AD16" i="1"/>
  <c r="AA16" i="1"/>
  <c r="AB17" i="1"/>
  <c r="AV17" i="1" s="1"/>
  <c r="AC17" i="1"/>
  <c r="AP17" i="1" s="1"/>
  <c r="AB18" i="1"/>
  <c r="AV18" i="1" s="1"/>
  <c r="AC18" i="1"/>
  <c r="BF18" i="1" s="1"/>
  <c r="AB20" i="1"/>
  <c r="AV20" i="1" s="1"/>
  <c r="AC20" i="1"/>
  <c r="BF20" i="1" s="1"/>
  <c r="AB21" i="1"/>
  <c r="AC21" i="1"/>
  <c r="AP21" i="1" s="1"/>
  <c r="AB22" i="1"/>
  <c r="BD22" i="1" s="1"/>
  <c r="AC22" i="1"/>
  <c r="AX22" i="1" s="1"/>
  <c r="AB23" i="1"/>
  <c r="AV23" i="1" s="1"/>
  <c r="AC23" i="1"/>
  <c r="AX23" i="1" s="1"/>
  <c r="AB24" i="1"/>
  <c r="BD24" i="1" s="1"/>
  <c r="AC24" i="1"/>
  <c r="BF24" i="1" s="1"/>
  <c r="AA24" i="1"/>
  <c r="AB25" i="1"/>
  <c r="AN25" i="1" s="1"/>
  <c r="AC25" i="1"/>
  <c r="BF25" i="1" s="1"/>
  <c r="AB27" i="1"/>
  <c r="AC27" i="1"/>
  <c r="AB28" i="1"/>
  <c r="AC28" i="1"/>
  <c r="AB29" i="1"/>
  <c r="AC29" i="1"/>
  <c r="AB30" i="1"/>
  <c r="AN30" i="1" s="1"/>
  <c r="AC30" i="1"/>
  <c r="BF30" i="1" s="1"/>
  <c r="AB31" i="1"/>
  <c r="AV31" i="1" s="1"/>
  <c r="AW31" i="1" s="1"/>
  <c r="AC31" i="1"/>
  <c r="AX31" i="1" s="1"/>
  <c r="AY31" i="1" s="1"/>
  <c r="AB32" i="1"/>
  <c r="BD32" i="1" s="1"/>
  <c r="AC32" i="1"/>
  <c r="AB33" i="1"/>
  <c r="AB34" i="1"/>
  <c r="AC34" i="1"/>
  <c r="AP34" i="1" s="1"/>
  <c r="AB35" i="1"/>
  <c r="AV35" i="1" s="1"/>
  <c r="AC35" i="1"/>
  <c r="AX35" i="1" s="1"/>
  <c r="AB36" i="1"/>
  <c r="AV36" i="1" s="1"/>
  <c r="AC36" i="1"/>
  <c r="AP36" i="1" s="1"/>
  <c r="AB37" i="1"/>
  <c r="BD37" i="1" s="1"/>
  <c r="AC37" i="1"/>
  <c r="AX37" i="1" s="1"/>
  <c r="AD37" i="1"/>
  <c r="AR37" i="1" s="1"/>
  <c r="AA37" i="1"/>
  <c r="AO37" i="1" s="1"/>
  <c r="AB38" i="1"/>
  <c r="BD38" i="1" s="1"/>
  <c r="AC38" i="1"/>
  <c r="AP38" i="1" s="1"/>
  <c r="AB39" i="1"/>
  <c r="AV39" i="1" s="1"/>
  <c r="AC39" i="1"/>
  <c r="BF39" i="1" s="1"/>
  <c r="AB40" i="1"/>
  <c r="AV40" i="1" s="1"/>
  <c r="AC40" i="1"/>
  <c r="BF40" i="1" s="1"/>
  <c r="AB41" i="1"/>
  <c r="BD41" i="1" s="1"/>
  <c r="AA41" i="1"/>
  <c r="AQ41" i="1" s="1"/>
  <c r="AC41" i="1"/>
  <c r="AX41" i="1" s="1"/>
  <c r="AB42" i="1"/>
  <c r="BD42" i="1" s="1"/>
  <c r="AC42" i="1"/>
  <c r="AX42" i="1" s="1"/>
  <c r="AB43" i="1"/>
  <c r="AV43" i="1" s="1"/>
  <c r="AC43" i="1"/>
  <c r="BF43" i="1" s="1"/>
  <c r="AD43" i="1"/>
  <c r="AZ43" i="1" s="1"/>
  <c r="AB44" i="1"/>
  <c r="BD44" i="1" s="1"/>
  <c r="AC44" i="1"/>
  <c r="AP44" i="1" s="1"/>
  <c r="AB45" i="1"/>
  <c r="AN45" i="1" s="1"/>
  <c r="AA45" i="1"/>
  <c r="AC45" i="1"/>
  <c r="AP45" i="1" s="1"/>
  <c r="AB46" i="1"/>
  <c r="AV46" i="1" s="1"/>
  <c r="AC46" i="1"/>
  <c r="BF46" i="1" s="1"/>
  <c r="AB48" i="1"/>
  <c r="BD48" i="1" s="1"/>
  <c r="AC48" i="1"/>
  <c r="AB49" i="1"/>
  <c r="BD49" i="1" s="1"/>
  <c r="AC49" i="1"/>
  <c r="AP49" i="1" s="1"/>
  <c r="AB50" i="1"/>
  <c r="BD50" i="1" s="1"/>
  <c r="AA50" i="1"/>
  <c r="AQ50" i="1" s="1"/>
  <c r="AC50" i="1"/>
  <c r="BF50" i="1" s="1"/>
  <c r="AB51" i="1"/>
  <c r="BD51" i="1" s="1"/>
  <c r="AC51" i="1"/>
  <c r="AB52" i="1"/>
  <c r="AC52" i="1"/>
  <c r="BF52" i="1" s="1"/>
  <c r="AP53" i="1"/>
  <c r="AB54" i="1"/>
  <c r="BD54" i="1" s="1"/>
  <c r="AC54" i="1"/>
  <c r="BF54" i="1" s="1"/>
  <c r="AB56" i="1"/>
  <c r="AV56" i="1" s="1"/>
  <c r="AC56" i="1"/>
  <c r="BF56" i="1" s="1"/>
  <c r="AB57" i="1"/>
  <c r="AC57" i="1"/>
  <c r="BF57" i="1" s="1"/>
  <c r="AB58" i="1"/>
  <c r="BD58" i="1" s="1"/>
  <c r="AC58" i="1"/>
  <c r="BF58" i="1" s="1"/>
  <c r="AB59" i="1"/>
  <c r="BD59" i="1" s="1"/>
  <c r="AC59" i="1"/>
  <c r="AX59" i="1" s="1"/>
  <c r="AB60" i="1"/>
  <c r="BD60" i="1" s="1"/>
  <c r="AA60" i="1"/>
  <c r="AO60" i="1" s="1"/>
  <c r="AC60" i="1"/>
  <c r="AX60" i="1" s="1"/>
  <c r="AB61" i="1"/>
  <c r="AA61" i="1"/>
  <c r="AQ61" i="1" s="1"/>
  <c r="AC61" i="1"/>
  <c r="BF61" i="1" s="1"/>
  <c r="AB62" i="1"/>
  <c r="BD62" i="1" s="1"/>
  <c r="AC62" i="1"/>
  <c r="AX62" i="1" s="1"/>
  <c r="AB63" i="1"/>
  <c r="BD63" i="1" s="1"/>
  <c r="AC63" i="1"/>
  <c r="BF63" i="1" s="1"/>
  <c r="AB64" i="1"/>
  <c r="BD64" i="1" s="1"/>
  <c r="AA64" i="1"/>
  <c r="AO64" i="1" s="1"/>
  <c r="AC64" i="1"/>
  <c r="BF64" i="1" s="1"/>
  <c r="AB65" i="1"/>
  <c r="BD65" i="1" s="1"/>
  <c r="AC65" i="1"/>
  <c r="BF65" i="1" s="1"/>
  <c r="AB66" i="1"/>
  <c r="AC66" i="1"/>
  <c r="AP66" i="1" s="1"/>
  <c r="AB67" i="1"/>
  <c r="AC67" i="1"/>
  <c r="BF67" i="1" s="1"/>
  <c r="AB68" i="1"/>
  <c r="AC68" i="1"/>
  <c r="AX68" i="1" s="1"/>
  <c r="AB69" i="1"/>
  <c r="AV69" i="1" s="1"/>
  <c r="AC69" i="1"/>
  <c r="BF69" i="1" s="1"/>
  <c r="AB70" i="1"/>
  <c r="BD70" i="1" s="1"/>
  <c r="AC70" i="1"/>
  <c r="AP70" i="1" s="1"/>
  <c r="AB71" i="1"/>
  <c r="AV71" i="1" s="1"/>
  <c r="AC71" i="1"/>
  <c r="AB72" i="1"/>
  <c r="AC72" i="1"/>
  <c r="AX72" i="1" s="1"/>
  <c r="AB74" i="1"/>
  <c r="AV74" i="1" s="1"/>
  <c r="AC74" i="1"/>
  <c r="BF74" i="1" s="1"/>
  <c r="AA74" i="1"/>
  <c r="AO74" i="1" s="1"/>
  <c r="AB75" i="1"/>
  <c r="AC75" i="1"/>
  <c r="AB76" i="1"/>
  <c r="AC76" i="1"/>
  <c r="AA76" i="1"/>
  <c r="AO76" i="1" s="1"/>
  <c r="AB77" i="1"/>
  <c r="BD77" i="1" s="1"/>
  <c r="AC77" i="1"/>
  <c r="AX77" i="1" s="1"/>
  <c r="AB78" i="1"/>
  <c r="BD78" i="1" s="1"/>
  <c r="AC78" i="1"/>
  <c r="AA78" i="1"/>
  <c r="AS78" i="1" s="1"/>
  <c r="AB79" i="1"/>
  <c r="BD79" i="1" s="1"/>
  <c r="AC79" i="1"/>
  <c r="AX79" i="1" s="1"/>
  <c r="AB80" i="1"/>
  <c r="AV80" i="1" s="1"/>
  <c r="AC80" i="1"/>
  <c r="BF80" i="1" s="1"/>
  <c r="AB81" i="1"/>
  <c r="BD81" i="1" s="1"/>
  <c r="AC81" i="1"/>
  <c r="BF81" i="1" s="1"/>
  <c r="AB82" i="1"/>
  <c r="BD82" i="1" s="1"/>
  <c r="AC82" i="1"/>
  <c r="AB83" i="1"/>
  <c r="AC83" i="1"/>
  <c r="AB84" i="1"/>
  <c r="BD84" i="1" s="1"/>
  <c r="AC84" i="1"/>
  <c r="AX84" i="1" s="1"/>
  <c r="AB85" i="1"/>
  <c r="AV85" i="1" s="1"/>
  <c r="AC85" i="1"/>
  <c r="AX85" i="1" s="1"/>
  <c r="AB86" i="1"/>
  <c r="AC86" i="1"/>
  <c r="BF86" i="1" s="1"/>
  <c r="AB87" i="1"/>
  <c r="AB88" i="1"/>
  <c r="AV88" i="1" s="1"/>
  <c r="AC88" i="1"/>
  <c r="AX88" i="1" s="1"/>
  <c r="AB89" i="1"/>
  <c r="BD89" i="1" s="1"/>
  <c r="AC89" i="1"/>
  <c r="BF89" i="1" s="1"/>
  <c r="AB91" i="1"/>
  <c r="BD91" i="1" s="1"/>
  <c r="AC91" i="1"/>
  <c r="BF91" i="1" s="1"/>
  <c r="AB92" i="1"/>
  <c r="BD92" i="1" s="1"/>
  <c r="AA92" i="1"/>
  <c r="AS92" i="1" s="1"/>
  <c r="AC92" i="1"/>
  <c r="BF92" i="1" s="1"/>
  <c r="AB93" i="1"/>
  <c r="AC93" i="1"/>
  <c r="AB94" i="1"/>
  <c r="AC94" i="1"/>
  <c r="AX94" i="1" s="1"/>
  <c r="AB95" i="1"/>
  <c r="BD95" i="1" s="1"/>
  <c r="AC95" i="1"/>
  <c r="AX95" i="1" s="1"/>
  <c r="AB96" i="1"/>
  <c r="AA96" i="1"/>
  <c r="AO96" i="1" s="1"/>
  <c r="AC96" i="1"/>
  <c r="BF96" i="1" s="1"/>
  <c r="AB97" i="1"/>
  <c r="BD97" i="1" s="1"/>
  <c r="AC97" i="1"/>
  <c r="AB98" i="1"/>
  <c r="BD98" i="1" s="1"/>
  <c r="AA98" i="1"/>
  <c r="AS98" i="1" s="1"/>
  <c r="AC98" i="1"/>
  <c r="BF98" i="1" s="1"/>
  <c r="AB99" i="1"/>
  <c r="AC99" i="1"/>
  <c r="BF99" i="1" s="1"/>
  <c r="AB100" i="1"/>
  <c r="BD100" i="1" s="1"/>
  <c r="AC100" i="1"/>
  <c r="AX100" i="1" s="1"/>
  <c r="AB101" i="1"/>
  <c r="BD101" i="1" s="1"/>
  <c r="AC101" i="1"/>
  <c r="BF101" i="1" s="1"/>
  <c r="AA101" i="1"/>
  <c r="AS101" i="1" s="1"/>
  <c r="AB102" i="1"/>
  <c r="AV102" i="1" s="1"/>
  <c r="AC102" i="1"/>
  <c r="AX102" i="1" s="1"/>
  <c r="AB103" i="1"/>
  <c r="BD103" i="1" s="1"/>
  <c r="AA103" i="1"/>
  <c r="AQ103" i="1" s="1"/>
  <c r="AC103" i="1"/>
  <c r="BF103" i="1" s="1"/>
  <c r="AB104" i="1"/>
  <c r="BD104" i="1" s="1"/>
  <c r="AA104" i="1"/>
  <c r="AS104" i="1" s="1"/>
  <c r="AC104" i="1"/>
  <c r="BF104" i="1" s="1"/>
  <c r="AD104" i="1"/>
  <c r="AZ104" i="1" s="1"/>
  <c r="AB105" i="1"/>
  <c r="BD105" i="1" s="1"/>
  <c r="AC105" i="1"/>
  <c r="BF105" i="1" s="1"/>
  <c r="AB106" i="1"/>
  <c r="BD106" i="1" s="1"/>
  <c r="AC106" i="1"/>
  <c r="BF106" i="1" s="1"/>
  <c r="AD106" i="1"/>
  <c r="BH106" i="1" s="1"/>
  <c r="AA106" i="1"/>
  <c r="AQ106" i="1" s="1"/>
  <c r="AB107" i="1"/>
  <c r="BD107" i="1" s="1"/>
  <c r="AA107" i="1"/>
  <c r="AQ107" i="1" s="1"/>
  <c r="AC107" i="1"/>
  <c r="AX107" i="1" s="1"/>
  <c r="AB108" i="1"/>
  <c r="BD108" i="1" s="1"/>
  <c r="AC108" i="1"/>
  <c r="BF108" i="1" s="1"/>
  <c r="AB109" i="1"/>
  <c r="BD109" i="1" s="1"/>
  <c r="AC109" i="1"/>
  <c r="BF109" i="1" s="1"/>
  <c r="AB110" i="1"/>
  <c r="BD110" i="1" s="1"/>
  <c r="AC110" i="1"/>
  <c r="AA110" i="1"/>
  <c r="AO110" i="1" s="1"/>
  <c r="AB111" i="1"/>
  <c r="BD111" i="1" s="1"/>
  <c r="AC111" i="1"/>
  <c r="AB113" i="1"/>
  <c r="BD113" i="1" s="1"/>
  <c r="AC113" i="1"/>
  <c r="AX113" i="1" s="1"/>
  <c r="AB114" i="1"/>
  <c r="BD114" i="1" s="1"/>
  <c r="AC114" i="1"/>
  <c r="BF114" i="1" s="1"/>
  <c r="AB115" i="1"/>
  <c r="BD115" i="1" s="1"/>
  <c r="AC115" i="1"/>
  <c r="BF115" i="1" s="1"/>
  <c r="AB116" i="1"/>
  <c r="BD116" i="1" s="1"/>
  <c r="AC116" i="1"/>
  <c r="AB117" i="1"/>
  <c r="BD117" i="1" s="1"/>
  <c r="AC117" i="1"/>
  <c r="BF117" i="1" s="1"/>
  <c r="AB118" i="1"/>
  <c r="AC118" i="1"/>
  <c r="BF118" i="1" s="1"/>
  <c r="AB119" i="1"/>
  <c r="BD119" i="1" s="1"/>
  <c r="AC119" i="1"/>
  <c r="BF119" i="1" s="1"/>
  <c r="AB120" i="1"/>
  <c r="AC120" i="1"/>
  <c r="BF120" i="1" s="1"/>
  <c r="AB121" i="1"/>
  <c r="BD121" i="1" s="1"/>
  <c r="AA121" i="1"/>
  <c r="AO121" i="1" s="1"/>
  <c r="AC121" i="1"/>
  <c r="BF121" i="1" s="1"/>
  <c r="AB122" i="1"/>
  <c r="BD122" i="1" s="1"/>
  <c r="AC122" i="1"/>
  <c r="BF122" i="1" s="1"/>
  <c r="AB123" i="1"/>
  <c r="BD123" i="1" s="1"/>
  <c r="AC123" i="1"/>
  <c r="BF123" i="1" s="1"/>
  <c r="AA123" i="1"/>
  <c r="AS123" i="1" s="1"/>
  <c r="AB124" i="1"/>
  <c r="AC124" i="1"/>
  <c r="BF124" i="1" s="1"/>
  <c r="AB125" i="1"/>
  <c r="AC125" i="1"/>
  <c r="BF125" i="1" s="1"/>
  <c r="AB126" i="1"/>
  <c r="AC126" i="1"/>
  <c r="BF126" i="1" s="1"/>
  <c r="AA126" i="1"/>
  <c r="AO126" i="1" s="1"/>
  <c r="AB127" i="1"/>
  <c r="BD127" i="1" s="1"/>
  <c r="AC127" i="1"/>
  <c r="BF127" i="1" s="1"/>
  <c r="AA127" i="1"/>
  <c r="AQ127" i="1" s="1"/>
  <c r="AB128" i="1"/>
  <c r="BD128" i="1" s="1"/>
  <c r="AC128" i="1"/>
  <c r="BF128" i="1" s="1"/>
  <c r="AB129" i="1"/>
  <c r="AC129" i="1"/>
  <c r="BF129" i="1" s="1"/>
  <c r="AB130" i="1"/>
  <c r="AC130" i="1"/>
  <c r="BF130" i="1" s="1"/>
  <c r="AB131" i="1"/>
  <c r="AC131" i="1"/>
  <c r="BF131" i="1" s="1"/>
  <c r="AB132" i="1"/>
  <c r="AC132" i="1"/>
  <c r="BF132" i="1" s="1"/>
  <c r="AB133" i="1"/>
  <c r="BD133" i="1" s="1"/>
  <c r="AC133" i="1"/>
  <c r="BF133" i="1" s="1"/>
  <c r="AB134" i="1"/>
  <c r="AC134" i="1"/>
  <c r="BF134" i="1" s="1"/>
  <c r="AB135" i="1"/>
  <c r="BD135" i="1" s="1"/>
  <c r="AC135" i="1"/>
  <c r="BF135" i="1" s="1"/>
  <c r="AB136" i="1"/>
  <c r="AC136" i="1"/>
  <c r="BF136" i="1" s="1"/>
  <c r="AA136" i="1"/>
  <c r="AO136" i="1" s="1"/>
  <c r="AB137" i="1"/>
  <c r="BD137" i="1" s="1"/>
  <c r="AC137" i="1"/>
  <c r="BF137" i="1" s="1"/>
  <c r="AB138" i="1"/>
  <c r="AC138" i="1"/>
  <c r="BF138" i="1" s="1"/>
  <c r="AB139" i="1"/>
  <c r="AC139" i="1"/>
  <c r="BF139" i="1" s="1"/>
  <c r="AB140" i="1"/>
  <c r="AC140" i="1"/>
  <c r="BF140" i="1" s="1"/>
  <c r="AD140" i="1"/>
  <c r="BH140" i="1" s="1"/>
  <c r="AB141" i="1"/>
  <c r="AC141" i="1"/>
  <c r="BF141" i="1" s="1"/>
  <c r="AA141" i="1"/>
  <c r="AO141" i="1" s="1"/>
  <c r="AB142" i="1"/>
  <c r="AC142" i="1"/>
  <c r="BF142" i="1" s="1"/>
  <c r="AD142" i="1"/>
  <c r="BH142" i="1" s="1"/>
  <c r="AB143" i="1"/>
  <c r="AC143" i="1"/>
  <c r="BF143" i="1" s="1"/>
  <c r="AD143" i="1"/>
  <c r="BH143" i="1" s="1"/>
  <c r="AB144" i="1"/>
  <c r="BD144" i="1" s="1"/>
  <c r="AA144" i="1"/>
  <c r="AO144" i="1" s="1"/>
  <c r="AC144" i="1"/>
  <c r="BF144" i="1" s="1"/>
  <c r="AD144" i="1"/>
  <c r="BH144" i="1" s="1"/>
  <c r="AB145" i="1"/>
  <c r="AC145" i="1"/>
  <c r="BF145" i="1" s="1"/>
  <c r="AB146" i="1"/>
  <c r="AC146" i="1"/>
  <c r="BF146" i="1" s="1"/>
  <c r="AB147" i="1"/>
  <c r="BD147" i="1" s="1"/>
  <c r="AC147" i="1"/>
  <c r="BF147" i="1" s="1"/>
  <c r="AD147" i="1"/>
  <c r="BH147" i="1" s="1"/>
  <c r="AB148" i="1"/>
  <c r="AC148" i="1"/>
  <c r="BF148" i="1" s="1"/>
  <c r="AB149" i="1"/>
  <c r="AC149" i="1"/>
  <c r="BF149" i="1" s="1"/>
  <c r="AB150" i="1"/>
  <c r="BD150" i="1" s="1"/>
  <c r="AA150" i="1"/>
  <c r="AO150" i="1" s="1"/>
  <c r="AC150" i="1"/>
  <c r="BF150" i="1" s="1"/>
  <c r="AB151" i="1"/>
  <c r="AC151" i="1"/>
  <c r="BF151" i="1" s="1"/>
  <c r="AB152" i="1"/>
  <c r="AC152" i="1"/>
  <c r="BF152" i="1" s="1"/>
  <c r="AB153" i="1"/>
  <c r="AC153" i="1"/>
  <c r="BF153" i="1" s="1"/>
  <c r="AB154" i="1"/>
  <c r="AC154" i="1"/>
  <c r="BF154" i="1" s="1"/>
  <c r="AD154" i="1"/>
  <c r="BH154" i="1" s="1"/>
  <c r="AA154" i="1"/>
  <c r="AS154" i="1" s="1"/>
  <c r="AB155" i="1"/>
  <c r="AC155" i="1"/>
  <c r="AB156" i="1"/>
  <c r="AC156" i="1"/>
  <c r="BF156" i="1" s="1"/>
  <c r="AB157" i="1"/>
  <c r="AC157" i="1"/>
  <c r="BF157" i="1" s="1"/>
  <c r="AB158" i="1"/>
  <c r="AC158" i="1"/>
  <c r="AB159" i="1"/>
  <c r="AC159" i="1"/>
  <c r="AB160" i="1"/>
  <c r="AC160" i="1"/>
  <c r="BF160" i="1" s="1"/>
  <c r="AB161" i="1"/>
  <c r="AC161" i="1"/>
  <c r="AB162" i="1"/>
  <c r="AC162" i="1"/>
  <c r="BF162" i="1" s="1"/>
  <c r="AB163" i="1"/>
  <c r="AC163" i="1"/>
  <c r="AB164" i="1"/>
  <c r="AC164" i="1"/>
  <c r="AB165" i="1"/>
  <c r="AC165" i="1"/>
  <c r="AB166" i="1"/>
  <c r="AC166" i="1"/>
  <c r="BF166" i="1" s="1"/>
  <c r="AB167" i="1"/>
  <c r="AC167" i="1"/>
  <c r="BF167" i="1" s="1"/>
  <c r="AB168" i="1"/>
  <c r="AC168" i="1"/>
  <c r="AB169" i="1"/>
  <c r="AC169" i="1"/>
  <c r="BF169" i="1" s="1"/>
  <c r="AD4" i="1"/>
  <c r="AZ4" i="1" s="1"/>
  <c r="AD5" i="1"/>
  <c r="AR5" i="1" s="1"/>
  <c r="AD6" i="1"/>
  <c r="AJ6" i="1" s="1"/>
  <c r="AL6" i="1" s="1"/>
  <c r="AD7" i="1"/>
  <c r="AR7" i="1" s="1"/>
  <c r="AD8" i="1"/>
  <c r="AJ8" i="1" s="1"/>
  <c r="AL8" i="1" s="1"/>
  <c r="AD9" i="1"/>
  <c r="BH9" i="1" s="1"/>
  <c r="AB10" i="1"/>
  <c r="AN10" i="1" s="1"/>
  <c r="AC10" i="1"/>
  <c r="AP10" i="1" s="1"/>
  <c r="AD10" i="1"/>
  <c r="AJ10" i="1" s="1"/>
  <c r="AL10" i="1" s="1"/>
  <c r="AD11" i="1"/>
  <c r="AJ11" i="1" s="1"/>
  <c r="AB12" i="1"/>
  <c r="AN12" i="1" s="1"/>
  <c r="AC12" i="1"/>
  <c r="AD12" i="1"/>
  <c r="AJ12" i="1" s="1"/>
  <c r="AL12" i="1" s="1"/>
  <c r="AD13" i="1"/>
  <c r="AR13" i="1" s="1"/>
  <c r="AD14" i="1"/>
  <c r="AJ14" i="1" s="1"/>
  <c r="AD15" i="1"/>
  <c r="AJ15" i="1" s="1"/>
  <c r="AD17" i="1"/>
  <c r="AR17" i="1" s="1"/>
  <c r="AD18" i="1"/>
  <c r="AZ18" i="1" s="1"/>
  <c r="AB19" i="1"/>
  <c r="AN19" i="1" s="1"/>
  <c r="AC19" i="1"/>
  <c r="AD19" i="1"/>
  <c r="AJ19" i="1" s="1"/>
  <c r="AL19" i="1" s="1"/>
  <c r="AA19" i="1"/>
  <c r="AQ19" i="1" s="1"/>
  <c r="AD20" i="1"/>
  <c r="AA20" i="1"/>
  <c r="AD21" i="1"/>
  <c r="AR21" i="1" s="1"/>
  <c r="AD22" i="1"/>
  <c r="BH22" i="1" s="1"/>
  <c r="AD23" i="1"/>
  <c r="AJ23" i="1" s="1"/>
  <c r="AD24" i="1"/>
  <c r="AZ24" i="1" s="1"/>
  <c r="AD25" i="1"/>
  <c r="BH25" i="1" s="1"/>
  <c r="AD27" i="1"/>
  <c r="AJ27" i="1" s="1"/>
  <c r="AL27" i="1" s="1"/>
  <c r="AD28" i="1"/>
  <c r="AJ28" i="1" s="1"/>
  <c r="AD29" i="1"/>
  <c r="AJ29" i="1" s="1"/>
  <c r="AL29" i="1" s="1"/>
  <c r="AD30" i="1"/>
  <c r="AJ30" i="1" s="1"/>
  <c r="AL30" i="1" s="1"/>
  <c r="AD31" i="1"/>
  <c r="AZ31" i="1" s="1"/>
  <c r="BA31" i="1" s="1"/>
  <c r="AD32" i="1"/>
  <c r="BH32" i="1" s="1"/>
  <c r="AD33" i="1"/>
  <c r="AD34" i="1"/>
  <c r="AR34" i="1" s="1"/>
  <c r="AA34" i="1"/>
  <c r="AD35" i="1"/>
  <c r="BH35" i="1" s="1"/>
  <c r="AD36" i="1"/>
  <c r="BH36" i="1" s="1"/>
  <c r="AD38" i="1"/>
  <c r="AZ38" i="1" s="1"/>
  <c r="AD39" i="1"/>
  <c r="BH39" i="1" s="1"/>
  <c r="AD40" i="1"/>
  <c r="AR40" i="1" s="1"/>
  <c r="AD41" i="1"/>
  <c r="AZ41" i="1" s="1"/>
  <c r="AD42" i="1"/>
  <c r="AZ42" i="1" s="1"/>
  <c r="AA42" i="1"/>
  <c r="AO42" i="1" s="1"/>
  <c r="AA43" i="1"/>
  <c r="AO43" i="1" s="1"/>
  <c r="AD44" i="1"/>
  <c r="AZ44" i="1" s="1"/>
  <c r="AD45" i="1"/>
  <c r="AZ45" i="1" s="1"/>
  <c r="AD46" i="1"/>
  <c r="AR47" i="1"/>
  <c r="AS47" i="1" s="1"/>
  <c r="AO47" i="1"/>
  <c r="AQ47" i="1"/>
  <c r="AD48" i="1"/>
  <c r="AZ48" i="1" s="1"/>
  <c r="AD49" i="1"/>
  <c r="BH49" i="1" s="1"/>
  <c r="AA49" i="1"/>
  <c r="AO49" i="1" s="1"/>
  <c r="AD50" i="1"/>
  <c r="AZ50" i="1" s="1"/>
  <c r="AD51" i="1"/>
  <c r="BH51" i="1" s="1"/>
  <c r="AD52" i="1"/>
  <c r="AZ52" i="1" s="1"/>
  <c r="AD54" i="1"/>
  <c r="AD56" i="1"/>
  <c r="AZ56" i="1" s="1"/>
  <c r="AD57" i="1"/>
  <c r="AZ57" i="1" s="1"/>
  <c r="AD58" i="1"/>
  <c r="AZ58" i="1" s="1"/>
  <c r="AD59" i="1"/>
  <c r="AR59" i="1" s="1"/>
  <c r="AD60" i="1"/>
  <c r="AR60" i="1" s="1"/>
  <c r="AD61" i="1"/>
  <c r="AD62" i="1"/>
  <c r="BH62" i="1" s="1"/>
  <c r="AD63" i="1"/>
  <c r="AR63" i="1" s="1"/>
  <c r="AD64" i="1"/>
  <c r="AZ64" i="1" s="1"/>
  <c r="AD65" i="1"/>
  <c r="BH65" i="1" s="1"/>
  <c r="AA65" i="1"/>
  <c r="AO65" i="1" s="1"/>
  <c r="AD66" i="1"/>
  <c r="AD67" i="1"/>
  <c r="AR67" i="1" s="1"/>
  <c r="AT67" i="1" s="1"/>
  <c r="AD68" i="1"/>
  <c r="AD69" i="1"/>
  <c r="AD70" i="1"/>
  <c r="BH70" i="1" s="1"/>
  <c r="AD71" i="1"/>
  <c r="BH71" i="1" s="1"/>
  <c r="AD72" i="1"/>
  <c r="AZ72" i="1" s="1"/>
  <c r="AD74" i="1"/>
  <c r="BH74" i="1" s="1"/>
  <c r="AD75" i="1"/>
  <c r="AZ75" i="1" s="1"/>
  <c r="AD76" i="1"/>
  <c r="AR76" i="1" s="1"/>
  <c r="AD77" i="1"/>
  <c r="AD78" i="1"/>
  <c r="BH78" i="1" s="1"/>
  <c r="AD79" i="1"/>
  <c r="BH79" i="1" s="1"/>
  <c r="AD80" i="1"/>
  <c r="BH80" i="1" s="1"/>
  <c r="AD81" i="1"/>
  <c r="AZ81" i="1" s="1"/>
  <c r="AD82" i="1"/>
  <c r="BH82" i="1" s="1"/>
  <c r="AD83" i="1"/>
  <c r="AD84" i="1"/>
  <c r="BH84" i="1" s="1"/>
  <c r="AA84" i="1"/>
  <c r="AQ84" i="1" s="1"/>
  <c r="AD85" i="1"/>
  <c r="AZ85" i="1" s="1"/>
  <c r="AD86" i="1"/>
  <c r="AR86" i="1" s="1"/>
  <c r="AT86" i="1" s="1"/>
  <c r="AD87" i="1"/>
  <c r="AD88" i="1"/>
  <c r="AZ88" i="1" s="1"/>
  <c r="AD89" i="1"/>
  <c r="BH89" i="1" s="1"/>
  <c r="AB90" i="1"/>
  <c r="BD90" i="1" s="1"/>
  <c r="AC90" i="1"/>
  <c r="AX90" i="1" s="1"/>
  <c r="AD90" i="1"/>
  <c r="AZ90" i="1" s="1"/>
  <c r="AD91" i="1"/>
  <c r="AD92" i="1"/>
  <c r="AZ92" i="1" s="1"/>
  <c r="AD93" i="1"/>
  <c r="AR93" i="1" s="1"/>
  <c r="AD94" i="1"/>
  <c r="AR94" i="1" s="1"/>
  <c r="AD95" i="1"/>
  <c r="BH95" i="1" s="1"/>
  <c r="AA95" i="1"/>
  <c r="AQ95" i="1" s="1"/>
  <c r="AD96" i="1"/>
  <c r="AR96" i="1" s="1"/>
  <c r="AT96" i="1" s="1"/>
  <c r="AD97" i="1"/>
  <c r="AR97" i="1" s="1"/>
  <c r="AT97" i="1" s="1"/>
  <c r="AD98" i="1"/>
  <c r="BH98" i="1" s="1"/>
  <c r="AD99" i="1"/>
  <c r="AZ99" i="1" s="1"/>
  <c r="AD100" i="1"/>
  <c r="AZ100" i="1" s="1"/>
  <c r="AD101" i="1"/>
  <c r="BH101" i="1" s="1"/>
  <c r="AD102" i="1"/>
  <c r="AR102" i="1" s="1"/>
  <c r="AT102" i="1" s="1"/>
  <c r="AD103" i="1"/>
  <c r="AD105" i="1"/>
  <c r="BH105" i="1" s="1"/>
  <c r="AD107" i="1"/>
  <c r="AZ107" i="1" s="1"/>
  <c r="AD108" i="1"/>
  <c r="BH108" i="1" s="1"/>
  <c r="AD109" i="1"/>
  <c r="BH109" i="1" s="1"/>
  <c r="AD110" i="1"/>
  <c r="BH110" i="1" s="1"/>
  <c r="AD111" i="1"/>
  <c r="AZ111" i="1" s="1"/>
  <c r="AB112" i="1"/>
  <c r="AC112" i="1"/>
  <c r="AD112" i="1"/>
  <c r="AD113" i="1"/>
  <c r="AZ113" i="1" s="1"/>
  <c r="AA113" i="1"/>
  <c r="AQ113" i="1" s="1"/>
  <c r="AD114" i="1"/>
  <c r="AZ114" i="1" s="1"/>
  <c r="AD115" i="1"/>
  <c r="AD116" i="1"/>
  <c r="BH116" i="1" s="1"/>
  <c r="AD117" i="1"/>
  <c r="AA117" i="1"/>
  <c r="AQ117" i="1" s="1"/>
  <c r="AD118" i="1"/>
  <c r="BH118" i="1" s="1"/>
  <c r="AD119" i="1"/>
  <c r="BH119" i="1" s="1"/>
  <c r="AD120" i="1"/>
  <c r="BH120" i="1" s="1"/>
  <c r="AD121" i="1"/>
  <c r="AD122" i="1"/>
  <c r="AZ122" i="1" s="1"/>
  <c r="BB122" i="1" s="1"/>
  <c r="AD123" i="1"/>
  <c r="BH123" i="1" s="1"/>
  <c r="AD124" i="1"/>
  <c r="BH124" i="1" s="1"/>
  <c r="AD125" i="1"/>
  <c r="BH125" i="1" s="1"/>
  <c r="AO125" i="1"/>
  <c r="AD126" i="1"/>
  <c r="BH126" i="1" s="1"/>
  <c r="AD127" i="1"/>
  <c r="AD128" i="1"/>
  <c r="AD129" i="1"/>
  <c r="BH129" i="1" s="1"/>
  <c r="AD130" i="1"/>
  <c r="BH130" i="1" s="1"/>
  <c r="AD131" i="1"/>
  <c r="AD132" i="1"/>
  <c r="BH132" i="1" s="1"/>
  <c r="AD133" i="1"/>
  <c r="AZ133" i="1" s="1"/>
  <c r="AD134" i="1"/>
  <c r="BH134" i="1" s="1"/>
  <c r="AD135" i="1"/>
  <c r="BH135" i="1" s="1"/>
  <c r="AA135" i="1"/>
  <c r="AQ135" i="1" s="1"/>
  <c r="AD136" i="1"/>
  <c r="BH136" i="1" s="1"/>
  <c r="AD137" i="1"/>
  <c r="BH137" i="1" s="1"/>
  <c r="AD138" i="1"/>
  <c r="BH138" i="1" s="1"/>
  <c r="AD139" i="1"/>
  <c r="BH139" i="1" s="1"/>
  <c r="AA140" i="1"/>
  <c r="AQ140" i="1" s="1"/>
  <c r="AD141" i="1"/>
  <c r="BH141" i="1" s="1"/>
  <c r="AD145" i="1"/>
  <c r="BH145" i="1" s="1"/>
  <c r="AD146" i="1"/>
  <c r="BH146" i="1" s="1"/>
  <c r="AA146" i="1"/>
  <c r="AQ146" i="1" s="1"/>
  <c r="AA147" i="1"/>
  <c r="AS147" i="1" s="1"/>
  <c r="AD148" i="1"/>
  <c r="BH148" i="1" s="1"/>
  <c r="AD149" i="1"/>
  <c r="BH149" i="1" s="1"/>
  <c r="AD150" i="1"/>
  <c r="BH150" i="1" s="1"/>
  <c r="AD151" i="1"/>
  <c r="BH151" i="1" s="1"/>
  <c r="AD152" i="1"/>
  <c r="BH152" i="1" s="1"/>
  <c r="AD153" i="1"/>
  <c r="BH153" i="1" s="1"/>
  <c r="AA153" i="1"/>
  <c r="AO153" i="1" s="1"/>
  <c r="AD155" i="1"/>
  <c r="BH155" i="1" s="1"/>
  <c r="BJ155" i="1" s="1"/>
  <c r="AD156" i="1"/>
  <c r="BH156" i="1" s="1"/>
  <c r="AA156" i="1"/>
  <c r="AQ156" i="1" s="1"/>
  <c r="AD157" i="1"/>
  <c r="BH157" i="1" s="1"/>
  <c r="AD158" i="1"/>
  <c r="BH158" i="1" s="1"/>
  <c r="BJ158" i="1" s="1"/>
  <c r="DG158" i="1" s="1"/>
  <c r="AD159" i="1"/>
  <c r="BH159" i="1" s="1"/>
  <c r="BJ159" i="1" s="1"/>
  <c r="AD160" i="1"/>
  <c r="BH160" i="1" s="1"/>
  <c r="AD161" i="1"/>
  <c r="BH161" i="1" s="1"/>
  <c r="BJ161" i="1" s="1"/>
  <c r="AD162" i="1"/>
  <c r="BH162" i="1" s="1"/>
  <c r="AA162" i="1"/>
  <c r="AD163" i="1"/>
  <c r="BH163" i="1" s="1"/>
  <c r="AD164" i="1"/>
  <c r="BH164" i="1" s="1"/>
  <c r="AD165" i="1"/>
  <c r="BH165" i="1" s="1"/>
  <c r="AA165" i="1"/>
  <c r="AO165" i="1" s="1"/>
  <c r="AD166" i="1"/>
  <c r="BH166" i="1" s="1"/>
  <c r="AD168" i="1"/>
  <c r="BH168" i="1" s="1"/>
  <c r="AD169" i="1"/>
  <c r="BH169" i="1" s="1"/>
  <c r="AA169" i="1"/>
  <c r="AS169" i="1" s="1"/>
  <c r="AD3" i="1"/>
  <c r="AJ3" i="1" s="1"/>
  <c r="AL3" i="1" s="1"/>
  <c r="AD2" i="1"/>
  <c r="AZ2" i="1" s="1"/>
  <c r="AA3" i="1"/>
  <c r="AA4" i="1"/>
  <c r="AA6" i="1"/>
  <c r="AA7" i="1"/>
  <c r="AA10" i="1"/>
  <c r="AS10" i="1" s="1"/>
  <c r="AA11" i="1"/>
  <c r="AA12" i="1"/>
  <c r="AQ12" i="1" s="1"/>
  <c r="AA13" i="1"/>
  <c r="AA15" i="1"/>
  <c r="AA17" i="1"/>
  <c r="AA18" i="1"/>
  <c r="AA21" i="1"/>
  <c r="AA22" i="1"/>
  <c r="AA23" i="1"/>
  <c r="BI23" i="1" s="1"/>
  <c r="AA25" i="1"/>
  <c r="AA26" i="1"/>
  <c r="AA30" i="1"/>
  <c r="AA32" i="1"/>
  <c r="AO32" i="1" s="1"/>
  <c r="AA33" i="1"/>
  <c r="AO33" i="1" s="1"/>
  <c r="AA35" i="1"/>
  <c r="AA36" i="1"/>
  <c r="AO36" i="1" s="1"/>
  <c r="AA38" i="1"/>
  <c r="AA39" i="1"/>
  <c r="AA40" i="1"/>
  <c r="AA44" i="1"/>
  <c r="AO44" i="1" s="1"/>
  <c r="AA46" i="1"/>
  <c r="AO46" i="1" s="1"/>
  <c r="AA48" i="1"/>
  <c r="AO48" i="1" s="1"/>
  <c r="AA51" i="1"/>
  <c r="AQ51" i="1" s="1"/>
  <c r="AA52" i="1"/>
  <c r="AO52" i="1" s="1"/>
  <c r="AA54" i="1"/>
  <c r="AA55" i="1"/>
  <c r="AO55" i="1" s="1"/>
  <c r="AA56" i="1"/>
  <c r="AO56" i="1" s="1"/>
  <c r="AA57" i="1"/>
  <c r="AO57" i="1" s="1"/>
  <c r="AA58" i="1"/>
  <c r="AA59" i="1"/>
  <c r="AO59" i="1" s="1"/>
  <c r="AA62" i="1"/>
  <c r="AO62" i="1" s="1"/>
  <c r="AA63" i="1"/>
  <c r="AO63" i="1" s="1"/>
  <c r="AA66" i="1"/>
  <c r="AO66" i="1" s="1"/>
  <c r="AA67" i="1"/>
  <c r="AQ67" i="1" s="1"/>
  <c r="AA68" i="1"/>
  <c r="AO68" i="1" s="1"/>
  <c r="AA69" i="1"/>
  <c r="AA70" i="1"/>
  <c r="AO70" i="1" s="1"/>
  <c r="AA71" i="1"/>
  <c r="AO71" i="1" s="1"/>
  <c r="AA72" i="1"/>
  <c r="AO72" i="1" s="1"/>
  <c r="AA75" i="1"/>
  <c r="AA77" i="1"/>
  <c r="AS77" i="1" s="1"/>
  <c r="AA79" i="1"/>
  <c r="AS79" i="1" s="1"/>
  <c r="AA80" i="1"/>
  <c r="AA81" i="1"/>
  <c r="AS81" i="1" s="1"/>
  <c r="AA82" i="1"/>
  <c r="AO82" i="1" s="1"/>
  <c r="AA85" i="1"/>
  <c r="AA86" i="1"/>
  <c r="AQ86" i="1" s="1"/>
  <c r="AA88" i="1"/>
  <c r="AQ88" i="1" s="1"/>
  <c r="AA89" i="1"/>
  <c r="AS89" i="1" s="1"/>
  <c r="AA90" i="1"/>
  <c r="AA91" i="1"/>
  <c r="AQ91" i="1" s="1"/>
  <c r="AA93" i="1"/>
  <c r="AO93" i="1" s="1"/>
  <c r="AA94" i="1"/>
  <c r="AQ94" i="1" s="1"/>
  <c r="AA97" i="1"/>
  <c r="AO97" i="1" s="1"/>
  <c r="AA99" i="1"/>
  <c r="AQ99" i="1" s="1"/>
  <c r="AA100" i="1"/>
  <c r="AA102" i="1"/>
  <c r="AQ102" i="1" s="1"/>
  <c r="AA105" i="1"/>
  <c r="AS105" i="1" s="1"/>
  <c r="AA108" i="1"/>
  <c r="AS108" i="1" s="1"/>
  <c r="AA109" i="1"/>
  <c r="AQ109" i="1" s="1"/>
  <c r="AA111" i="1"/>
  <c r="AA114" i="1"/>
  <c r="AS114" i="1" s="1"/>
  <c r="AA115" i="1"/>
  <c r="AO115" i="1" s="1"/>
  <c r="AA116" i="1"/>
  <c r="AO116" i="1" s="1"/>
  <c r="AA118" i="1"/>
  <c r="AQ118" i="1" s="1"/>
  <c r="AA119" i="1"/>
  <c r="AQ119" i="1" s="1"/>
  <c r="AA120" i="1"/>
  <c r="AS120" i="1" s="1"/>
  <c r="AA122" i="1"/>
  <c r="AQ122" i="1" s="1"/>
  <c r="AA124" i="1"/>
  <c r="AA128" i="1"/>
  <c r="AO128" i="1" s="1"/>
  <c r="AA129" i="1"/>
  <c r="AO129" i="1" s="1"/>
  <c r="AA130" i="1"/>
  <c r="AS130" i="1" s="1"/>
  <c r="AA131" i="1"/>
  <c r="AS131" i="1" s="1"/>
  <c r="AA132" i="1"/>
  <c r="AS132" i="1" s="1"/>
  <c r="AA133" i="1"/>
  <c r="AA134" i="1"/>
  <c r="AQ134" i="1" s="1"/>
  <c r="AA137" i="1"/>
  <c r="AS137" i="1" s="1"/>
  <c r="AA138" i="1"/>
  <c r="AS138" i="1" s="1"/>
  <c r="AA139" i="1"/>
  <c r="AQ139" i="1" s="1"/>
  <c r="AA142" i="1"/>
  <c r="AS142" i="1" s="1"/>
  <c r="AA143" i="1"/>
  <c r="AS143" i="1" s="1"/>
  <c r="AA145" i="1"/>
  <c r="AQ145" i="1" s="1"/>
  <c r="AA148" i="1"/>
  <c r="AQ148" i="1" s="1"/>
  <c r="AA149" i="1"/>
  <c r="AO149" i="1" s="1"/>
  <c r="AA151" i="1"/>
  <c r="AA152" i="1"/>
  <c r="AS152" i="1" s="1"/>
  <c r="AA155" i="1"/>
  <c r="AQ155" i="1" s="1"/>
  <c r="AA157" i="1"/>
  <c r="AS157" i="1" s="1"/>
  <c r="AA158" i="1"/>
  <c r="AQ158" i="1" s="1"/>
  <c r="AA159" i="1"/>
  <c r="AQ159" i="1" s="1"/>
  <c r="AA160" i="1"/>
  <c r="AO160" i="1" s="1"/>
  <c r="AA161" i="1"/>
  <c r="AA163" i="1"/>
  <c r="AS163" i="1" s="1"/>
  <c r="AA164" i="1"/>
  <c r="AO164" i="1" s="1"/>
  <c r="AA166" i="1"/>
  <c r="AS166" i="1" s="1"/>
  <c r="AA167" i="1"/>
  <c r="AQ167" i="1" s="1"/>
  <c r="AA168" i="1"/>
  <c r="AS168" i="1" s="1"/>
  <c r="AA2" i="1"/>
  <c r="AB233" i="1"/>
  <c r="AC233" i="1"/>
  <c r="AD233" i="1"/>
  <c r="BH55" i="1"/>
  <c r="AZ55" i="1"/>
  <c r="AR55" i="1"/>
  <c r="BF55" i="1"/>
  <c r="AX55" i="1"/>
  <c r="AP55" i="1"/>
  <c r="BD55" i="1"/>
  <c r="AV55" i="1"/>
  <c r="AJ26" i="1"/>
  <c r="AR26" i="1"/>
  <c r="AQ125" i="1"/>
  <c r="AS125" i="1"/>
  <c r="DH212" i="1" l="1"/>
  <c r="DI212" i="1" s="1"/>
  <c r="DI222" i="1"/>
  <c r="DH222" i="1"/>
  <c r="DH186" i="1"/>
  <c r="DI186" i="1" s="1"/>
  <c r="DH189" i="1"/>
  <c r="DI189" i="1" s="1"/>
  <c r="DH191" i="1"/>
  <c r="DI191" i="1" s="1"/>
  <c r="DH210" i="1"/>
  <c r="DI210" i="1" s="1"/>
  <c r="DH213" i="1"/>
  <c r="DI213" i="1" s="1"/>
  <c r="DH215" i="1"/>
  <c r="DI215" i="1" s="1"/>
  <c r="DH218" i="1"/>
  <c r="DI218" i="1" s="1"/>
  <c r="DH221" i="1"/>
  <c r="DI221" i="1" s="1"/>
  <c r="DH223" i="1"/>
  <c r="DI223" i="1" s="1"/>
  <c r="DH185" i="1"/>
  <c r="DI185" i="1" s="1"/>
  <c r="DH226" i="1"/>
  <c r="DI226" i="1" s="1"/>
  <c r="DH193" i="1"/>
  <c r="DI193" i="1" s="1"/>
  <c r="DH187" i="1"/>
  <c r="DI187" i="1" s="1"/>
  <c r="DI192" i="1"/>
  <c r="DH192" i="1"/>
  <c r="DH217" i="1"/>
  <c r="DI217" i="1" s="1"/>
  <c r="DH211" i="1"/>
  <c r="DI211" i="1" s="1"/>
  <c r="DH190" i="1"/>
  <c r="DI190" i="1" s="1"/>
  <c r="DH216" i="1"/>
  <c r="DI216" i="1" s="1"/>
  <c r="DH225" i="1"/>
  <c r="DI225" i="1" s="1"/>
  <c r="DI219" i="1"/>
  <c r="DH219" i="1"/>
  <c r="DH214" i="1"/>
  <c r="DI214" i="1" s="1"/>
  <c r="DI224" i="1"/>
  <c r="DH224" i="1"/>
  <c r="DH112" i="1"/>
  <c r="DI112" i="1" s="1"/>
  <c r="DH227" i="1"/>
  <c r="DI227" i="1" s="1"/>
  <c r="BI110" i="1"/>
  <c r="AO83" i="1"/>
  <c r="BE87" i="1"/>
  <c r="BV209" i="1"/>
  <c r="BH26" i="1"/>
  <c r="BV208" i="1"/>
  <c r="BZ208" i="1" s="1"/>
  <c r="BV200" i="1"/>
  <c r="BZ200" i="1" s="1"/>
  <c r="AW83" i="1"/>
  <c r="F34" i="4"/>
  <c r="S34" i="4"/>
  <c r="DI292" i="1"/>
  <c r="DI290" i="1"/>
  <c r="DI279" i="1"/>
  <c r="AU206" i="1"/>
  <c r="AU198" i="1"/>
  <c r="AR15" i="1"/>
  <c r="AS15" i="1" s="1"/>
  <c r="BR244" i="1"/>
  <c r="AU230" i="1"/>
  <c r="AS83" i="1"/>
  <c r="AO92" i="1"/>
  <c r="BA92" i="1"/>
  <c r="AP60" i="1"/>
  <c r="AQ60" i="1" s="1"/>
  <c r="BH111" i="1"/>
  <c r="BI111" i="1" s="1"/>
  <c r="BH15" i="1"/>
  <c r="BJ15" i="1" s="1"/>
  <c r="AP72" i="1"/>
  <c r="AQ72" i="1" s="1"/>
  <c r="AQ144" i="1"/>
  <c r="AO61" i="1"/>
  <c r="AZ63" i="1"/>
  <c r="BA63" i="1" s="1"/>
  <c r="BF77" i="1"/>
  <c r="BG77" i="1" s="1"/>
  <c r="AJ24" i="1"/>
  <c r="AL24" i="1" s="1"/>
  <c r="AP39" i="1"/>
  <c r="AQ39" i="1" s="1"/>
  <c r="BE15" i="1"/>
  <c r="AV32" i="1"/>
  <c r="AW32" i="1" s="1"/>
  <c r="BH7" i="1"/>
  <c r="BI7" i="1" s="1"/>
  <c r="AX70" i="1"/>
  <c r="AY70" i="1" s="1"/>
  <c r="AR24" i="1"/>
  <c r="AS24" i="1" s="1"/>
  <c r="AQ166" i="1"/>
  <c r="AP15" i="1"/>
  <c r="AQ15" i="1" s="1"/>
  <c r="BF70" i="1"/>
  <c r="BJ70" i="1" s="1"/>
  <c r="BD43" i="1"/>
  <c r="BE43" i="1" s="1"/>
  <c r="AX39" i="1"/>
  <c r="AY39" i="1" s="1"/>
  <c r="AX15" i="1"/>
  <c r="AY15" i="1" s="1"/>
  <c r="AZ109" i="1"/>
  <c r="BA109" i="1" s="1"/>
  <c r="BH114" i="1"/>
  <c r="BJ114" i="1" s="1"/>
  <c r="BI136" i="1"/>
  <c r="AX38" i="1"/>
  <c r="AY38" i="1" s="1"/>
  <c r="BV196" i="1"/>
  <c r="BZ196" i="1" s="1"/>
  <c r="AU243" i="1"/>
  <c r="AX45" i="1"/>
  <c r="AY45" i="1" s="1"/>
  <c r="AP30" i="1"/>
  <c r="AQ30" i="1" s="1"/>
  <c r="AN23" i="1"/>
  <c r="AO23" i="1" s="1"/>
  <c r="AV9" i="1"/>
  <c r="BF42" i="1"/>
  <c r="BG42" i="1" s="1"/>
  <c r="AP59" i="1"/>
  <c r="AQ59" i="1" s="1"/>
  <c r="AV70" i="1"/>
  <c r="AW70" i="1" s="1"/>
  <c r="AN22" i="1"/>
  <c r="AO22" i="1" s="1"/>
  <c r="AZ40" i="1"/>
  <c r="BA40" i="1" s="1"/>
  <c r="AN18" i="1"/>
  <c r="AO18" i="1" s="1"/>
  <c r="BI32" i="1"/>
  <c r="AO109" i="1"/>
  <c r="BH52" i="1"/>
  <c r="BI52" i="1" s="1"/>
  <c r="AO132" i="1"/>
  <c r="BG74" i="1"/>
  <c r="AS159" i="1"/>
  <c r="BF45" i="1"/>
  <c r="BG45" i="1" s="1"/>
  <c r="BF31" i="1"/>
  <c r="BG31" i="1" s="1"/>
  <c r="AZ106" i="1"/>
  <c r="BA106" i="1" s="1"/>
  <c r="AZ51" i="1"/>
  <c r="BA51" i="1" s="1"/>
  <c r="BD36" i="1"/>
  <c r="BE36" i="1" s="1"/>
  <c r="AX81" i="1"/>
  <c r="AT47" i="1"/>
  <c r="BH40" i="1"/>
  <c r="BI40" i="1" s="1"/>
  <c r="BT241" i="1"/>
  <c r="BZ241" i="1" s="1"/>
  <c r="BF62" i="1"/>
  <c r="BG62" i="1" s="1"/>
  <c r="BA90" i="1"/>
  <c r="BI105" i="1"/>
  <c r="BI84" i="1"/>
  <c r="AW74" i="1"/>
  <c r="BE9" i="1"/>
  <c r="AO81" i="1"/>
  <c r="BD18" i="1"/>
  <c r="AO159" i="1"/>
  <c r="AZ11" i="1"/>
  <c r="BA11" i="1" s="1"/>
  <c r="AP31" i="1"/>
  <c r="AQ31" i="1" s="1"/>
  <c r="AO106" i="1"/>
  <c r="AO84" i="1"/>
  <c r="AO145" i="1"/>
  <c r="AS106" i="1"/>
  <c r="AN39" i="1"/>
  <c r="AO39" i="1" s="1"/>
  <c r="AQ74" i="1"/>
  <c r="AK15" i="1"/>
  <c r="AM15" i="1" s="1"/>
  <c r="BD23" i="1"/>
  <c r="BE23" i="1" s="1"/>
  <c r="BD85" i="1"/>
  <c r="BE85" i="1" s="1"/>
  <c r="BD39" i="1"/>
  <c r="BJ39" i="1" s="1"/>
  <c r="AN15" i="1"/>
  <c r="AO15" i="1" s="1"/>
  <c r="BF85" i="1"/>
  <c r="BG85" i="1" s="1"/>
  <c r="BI9" i="1"/>
  <c r="BE50" i="1"/>
  <c r="AO113" i="1"/>
  <c r="BF94" i="1"/>
  <c r="BG94" i="1" s="1"/>
  <c r="AZ119" i="1"/>
  <c r="BB119" i="1" s="1"/>
  <c r="AX99" i="1"/>
  <c r="AY99" i="1" s="1"/>
  <c r="AQ105" i="1"/>
  <c r="AQ132" i="1"/>
  <c r="AX74" i="1"/>
  <c r="AY74" i="1" s="1"/>
  <c r="AS74" i="1"/>
  <c r="AV81" i="1"/>
  <c r="AW81" i="1" s="1"/>
  <c r="AP62" i="1"/>
  <c r="AQ62" i="1" s="1"/>
  <c r="AR52" i="1"/>
  <c r="AT52" i="1" s="1"/>
  <c r="AV15" i="1"/>
  <c r="AW15" i="1" s="1"/>
  <c r="AP42" i="1"/>
  <c r="AQ42" i="1" s="1"/>
  <c r="AX54" i="1"/>
  <c r="AY54" i="1" s="1"/>
  <c r="AZ108" i="1"/>
  <c r="BA108" i="1" s="1"/>
  <c r="BF2" i="1"/>
  <c r="BG2" i="1" s="1"/>
  <c r="BH75" i="1"/>
  <c r="BI75" i="1" s="1"/>
  <c r="AQ96" i="1"/>
  <c r="BF59" i="1"/>
  <c r="BG59" i="1" s="1"/>
  <c r="AX89" i="1"/>
  <c r="AY89" i="1" s="1"/>
  <c r="AV104" i="1"/>
  <c r="AW104" i="1" s="1"/>
  <c r="AZ98" i="1"/>
  <c r="BA98" i="1" s="1"/>
  <c r="AO91" i="1"/>
  <c r="AX2" i="1"/>
  <c r="AY2" i="1" s="1"/>
  <c r="BG50" i="1"/>
  <c r="AW43" i="1"/>
  <c r="BG18" i="1"/>
  <c r="AZ15" i="1"/>
  <c r="BA15" i="1" s="1"/>
  <c r="AP23" i="1"/>
  <c r="AQ23" i="1" s="1"/>
  <c r="AO79" i="1"/>
  <c r="BH24" i="1"/>
  <c r="BI24" i="1" s="1"/>
  <c r="AZ79" i="1"/>
  <c r="BB79" i="1" s="1"/>
  <c r="AQ79" i="1"/>
  <c r="BD46" i="1"/>
  <c r="BE46" i="1" s="1"/>
  <c r="AS141" i="1"/>
  <c r="AQ141" i="1"/>
  <c r="BH92" i="1"/>
  <c r="BJ92" i="1" s="1"/>
  <c r="AN11" i="1"/>
  <c r="AO11" i="1" s="1"/>
  <c r="BA83" i="1"/>
  <c r="BF36" i="1"/>
  <c r="BG36" i="1" s="1"/>
  <c r="BF23" i="1"/>
  <c r="AV63" i="1"/>
  <c r="AW63" i="1" s="1"/>
  <c r="AX50" i="1"/>
  <c r="AY50" i="1" s="1"/>
  <c r="AX36" i="1"/>
  <c r="AY36" i="1" s="1"/>
  <c r="BT247" i="1"/>
  <c r="BZ247" i="1" s="1"/>
  <c r="BD11" i="1"/>
  <c r="BE11" i="1" s="1"/>
  <c r="AR70" i="1"/>
  <c r="AS70" i="1" s="1"/>
  <c r="AX18" i="1"/>
  <c r="AY18" i="1" s="1"/>
  <c r="AY83" i="1"/>
  <c r="BF95" i="1"/>
  <c r="BG95" i="1" s="1"/>
  <c r="O28" i="4"/>
  <c r="O10" i="4"/>
  <c r="BH86" i="1"/>
  <c r="BI86" i="1" s="1"/>
  <c r="AO167" i="1"/>
  <c r="AS136" i="1"/>
  <c r="AZ7" i="1"/>
  <c r="BA7" i="1" s="1"/>
  <c r="BG167" i="1"/>
  <c r="AS144" i="1"/>
  <c r="AP18" i="1"/>
  <c r="AQ18" i="1" s="1"/>
  <c r="AV60" i="1"/>
  <c r="AW60" i="1" s="1"/>
  <c r="AR99" i="1"/>
  <c r="AS99" i="1" s="1"/>
  <c r="AQ136" i="1"/>
  <c r="AJ7" i="1"/>
  <c r="AL7" i="1" s="1"/>
  <c r="AS110" i="1"/>
  <c r="BD56" i="1"/>
  <c r="BE56" i="1" s="1"/>
  <c r="BH99" i="1"/>
  <c r="BI99" i="1" s="1"/>
  <c r="AZ70" i="1"/>
  <c r="BA70" i="1" s="1"/>
  <c r="AU250" i="1"/>
  <c r="AU181" i="1"/>
  <c r="AU173" i="1"/>
  <c r="AN9" i="1"/>
  <c r="AO9" i="1" s="1"/>
  <c r="AV38" i="1"/>
  <c r="AW38" i="1" s="1"/>
  <c r="AN58" i="1"/>
  <c r="AO58" i="1" s="1"/>
  <c r="AV22" i="1"/>
  <c r="AW22" i="1" s="1"/>
  <c r="AO168" i="1"/>
  <c r="AX58" i="1"/>
  <c r="BD17" i="1"/>
  <c r="BE17" i="1" s="1"/>
  <c r="AX117" i="1"/>
  <c r="AY117" i="1" s="1"/>
  <c r="BE84" i="1"/>
  <c r="AN17" i="1"/>
  <c r="AT17" i="1" s="1"/>
  <c r="AO67" i="1"/>
  <c r="BF41" i="1"/>
  <c r="BG41" i="1" s="1"/>
  <c r="BD45" i="1"/>
  <c r="BE45" i="1" s="1"/>
  <c r="AY79" i="1"/>
  <c r="BG57" i="1"/>
  <c r="AQ121" i="1"/>
  <c r="AZ135" i="1"/>
  <c r="BA135" i="1" s="1"/>
  <c r="BC135" i="1" s="1"/>
  <c r="AX5" i="1"/>
  <c r="AY5" i="1" s="1"/>
  <c r="BY45" i="1"/>
  <c r="BZ53" i="1"/>
  <c r="BY89" i="1"/>
  <c r="BY97" i="1"/>
  <c r="BY181" i="1"/>
  <c r="DG181" i="1" s="1"/>
  <c r="BF113" i="1"/>
  <c r="BG113" i="1" s="1"/>
  <c r="AX49" i="1"/>
  <c r="AS118" i="1"/>
  <c r="BD74" i="1"/>
  <c r="BE74" i="1" s="1"/>
  <c r="AQ165" i="1"/>
  <c r="AX25" i="1"/>
  <c r="AY25" i="1" s="1"/>
  <c r="BY143" i="1"/>
  <c r="AO118" i="1"/>
  <c r="AW46" i="1"/>
  <c r="AV45" i="1"/>
  <c r="AW45" i="1" s="1"/>
  <c r="AP4" i="1"/>
  <c r="AQ4" i="1" s="1"/>
  <c r="AR49" i="1"/>
  <c r="AT49" i="1" s="1"/>
  <c r="BA64" i="1"/>
  <c r="AX4" i="1"/>
  <c r="AY4" i="1" s="1"/>
  <c r="AQ64" i="1"/>
  <c r="BD88" i="1"/>
  <c r="BE88" i="1" s="1"/>
  <c r="BG126" i="1"/>
  <c r="BE123" i="1"/>
  <c r="AR35" i="1"/>
  <c r="AS35" i="1" s="1"/>
  <c r="BF107" i="1"/>
  <c r="BG107" i="1" s="1"/>
  <c r="AU241" i="1"/>
  <c r="AU208" i="1"/>
  <c r="DH208" i="1" s="1"/>
  <c r="AU200" i="1"/>
  <c r="DH200" i="1" s="1"/>
  <c r="AR57" i="1"/>
  <c r="AS57" i="1" s="1"/>
  <c r="AX52" i="1"/>
  <c r="AY52" i="1" s="1"/>
  <c r="AX92" i="1"/>
  <c r="AY92" i="1" s="1"/>
  <c r="AZ35" i="1"/>
  <c r="BA35" i="1" s="1"/>
  <c r="AJ25" i="1"/>
  <c r="AL25" i="1" s="1"/>
  <c r="AP20" i="1"/>
  <c r="AQ20" i="1" s="1"/>
  <c r="BH58" i="1"/>
  <c r="BJ58" i="1" s="1"/>
  <c r="AZ89" i="1"/>
  <c r="BA89" i="1" s="1"/>
  <c r="BD30" i="1"/>
  <c r="BE30" i="1" s="1"/>
  <c r="AQ110" i="1"/>
  <c r="BV203" i="1"/>
  <c r="BZ203" i="1" s="1"/>
  <c r="BV195" i="1"/>
  <c r="BZ195" i="1" s="1"/>
  <c r="AV41" i="1"/>
  <c r="AW41" i="1" s="1"/>
  <c r="AX115" i="1"/>
  <c r="AY115" i="1" s="1"/>
  <c r="AS64" i="1"/>
  <c r="AR9" i="1"/>
  <c r="AS9" i="1" s="1"/>
  <c r="BF79" i="1"/>
  <c r="BJ79" i="1" s="1"/>
  <c r="AY94" i="1"/>
  <c r="AZ110" i="1"/>
  <c r="BA110" i="1" s="1"/>
  <c r="BH34" i="1"/>
  <c r="BI34" i="1" s="1"/>
  <c r="BE108" i="1"/>
  <c r="BE58" i="1"/>
  <c r="H34" i="4"/>
  <c r="BE6" i="1"/>
  <c r="AU238" i="1"/>
  <c r="AU234" i="1"/>
  <c r="AU175" i="1"/>
  <c r="DH175" i="1" s="1"/>
  <c r="AU252" i="1"/>
  <c r="AU236" i="1"/>
  <c r="AU201" i="1"/>
  <c r="AU170" i="1"/>
  <c r="AR56" i="1"/>
  <c r="AS56" i="1" s="1"/>
  <c r="AQ92" i="1"/>
  <c r="AZ49" i="1"/>
  <c r="BA49" i="1" s="1"/>
  <c r="J34" i="4"/>
  <c r="N34" i="4"/>
  <c r="BZ157" i="1"/>
  <c r="AU179" i="1"/>
  <c r="AQ152" i="1"/>
  <c r="AO105" i="1"/>
  <c r="AX67" i="1"/>
  <c r="AY67" i="1" s="1"/>
  <c r="BF72" i="1"/>
  <c r="BG72" i="1" s="1"/>
  <c r="BH42" i="1"/>
  <c r="BH56" i="1"/>
  <c r="AQ129" i="1"/>
  <c r="BG15" i="1"/>
  <c r="AS167" i="1"/>
  <c r="AR58" i="1"/>
  <c r="AS58" i="1" s="1"/>
  <c r="BD80" i="1"/>
  <c r="BJ80" i="1" s="1"/>
  <c r="AV49" i="1"/>
  <c r="AW49" i="1" s="1"/>
  <c r="AU209" i="1"/>
  <c r="DH209" i="1" s="1"/>
  <c r="BH64" i="1"/>
  <c r="BI64" i="1" s="1"/>
  <c r="AR42" i="1"/>
  <c r="AS42" i="1" s="1"/>
  <c r="BI109" i="1"/>
  <c r="AR71" i="1"/>
  <c r="AT71" i="1" s="1"/>
  <c r="AZ80" i="1"/>
  <c r="BA80" i="1" s="1"/>
  <c r="AO102" i="1"/>
  <c r="AQ160" i="1"/>
  <c r="BH13" i="1"/>
  <c r="BI13" i="1" s="1"/>
  <c r="AR80" i="1"/>
  <c r="AS80" i="1" s="1"/>
  <c r="AS126" i="1"/>
  <c r="BF68" i="1"/>
  <c r="BG68" i="1" s="1"/>
  <c r="O21" i="4"/>
  <c r="O13" i="4"/>
  <c r="O5" i="4"/>
  <c r="AJ13" i="1"/>
  <c r="AL13" i="1" s="1"/>
  <c r="BR252" i="1"/>
  <c r="BF88" i="1"/>
  <c r="BG88" i="1" s="1"/>
  <c r="AS76" i="1"/>
  <c r="AU233" i="1"/>
  <c r="DH233" i="1" s="1"/>
  <c r="AU237" i="1"/>
  <c r="AU204" i="1"/>
  <c r="AU196" i="1"/>
  <c r="DH196" i="1" s="1"/>
  <c r="AU248" i="1"/>
  <c r="AU184" i="1"/>
  <c r="AX64" i="1"/>
  <c r="AY64" i="1" s="1"/>
  <c r="AV58" i="1"/>
  <c r="AW58" i="1" s="1"/>
  <c r="AJ9" i="1"/>
  <c r="AL9" i="1" s="1"/>
  <c r="AO157" i="1"/>
  <c r="AZ13" i="1"/>
  <c r="BA13" i="1" s="1"/>
  <c r="BG144" i="1"/>
  <c r="BG121" i="1"/>
  <c r="AS61" i="1"/>
  <c r="AZ9" i="1"/>
  <c r="BA9" i="1" s="1"/>
  <c r="AO103" i="1"/>
  <c r="BH100" i="1"/>
  <c r="BI100" i="1" s="1"/>
  <c r="AX34" i="1"/>
  <c r="AY34" i="1" s="1"/>
  <c r="AQ126" i="1"/>
  <c r="AS19" i="1"/>
  <c r="BH122" i="1"/>
  <c r="BJ122" i="1" s="1"/>
  <c r="AQ123" i="1"/>
  <c r="AO123" i="1"/>
  <c r="AO41" i="1"/>
  <c r="AV30" i="1"/>
  <c r="AW30" i="1" s="1"/>
  <c r="BF34" i="1"/>
  <c r="BG34" i="1" s="1"/>
  <c r="BA81" i="1"/>
  <c r="BA57" i="1"/>
  <c r="AY84" i="1"/>
  <c r="AZ105" i="1"/>
  <c r="BA105" i="1" s="1"/>
  <c r="BC105" i="1" s="1"/>
  <c r="BI139" i="1"/>
  <c r="BI132" i="1"/>
  <c r="BG135" i="1"/>
  <c r="BA66" i="1"/>
  <c r="AO77" i="1"/>
  <c r="AO139" i="1"/>
  <c r="AO143" i="1"/>
  <c r="BR243" i="1"/>
  <c r="AS139" i="1"/>
  <c r="AV37" i="1"/>
  <c r="AW37" i="1" s="1"/>
  <c r="AP73" i="1"/>
  <c r="AQ73" i="1" s="1"/>
  <c r="AY93" i="1"/>
  <c r="AU244" i="1"/>
  <c r="AU178" i="1"/>
  <c r="AU232" i="1"/>
  <c r="AU182" i="1"/>
  <c r="DH182" i="1" s="1"/>
  <c r="AU174" i="1"/>
  <c r="AZ5" i="1"/>
  <c r="BA5" i="1" s="1"/>
  <c r="BH45" i="1"/>
  <c r="AS140" i="1"/>
  <c r="AQ77" i="1"/>
  <c r="AR18" i="1"/>
  <c r="AS18" i="1" s="1"/>
  <c r="BH94" i="1"/>
  <c r="BI94" i="1" s="1"/>
  <c r="BR246" i="1"/>
  <c r="BH18" i="1"/>
  <c r="BI18" i="1" s="1"/>
  <c r="AO166" i="1"/>
  <c r="AS146" i="1"/>
  <c r="AS129" i="1"/>
  <c r="AJ22" i="1"/>
  <c r="AL22" i="1" s="1"/>
  <c r="AR72" i="1"/>
  <c r="AS72" i="1" s="1"/>
  <c r="AO19" i="1"/>
  <c r="AY37" i="1"/>
  <c r="AZ14" i="1"/>
  <c r="BA14" i="1" s="1"/>
  <c r="AQ147" i="1"/>
  <c r="AX108" i="1"/>
  <c r="BH72" i="1"/>
  <c r="BI72" i="1" s="1"/>
  <c r="AZ94" i="1"/>
  <c r="BA94" i="1" s="1"/>
  <c r="AP22" i="1"/>
  <c r="AQ22" i="1" s="1"/>
  <c r="BE106" i="1"/>
  <c r="AX65" i="1"/>
  <c r="AY65" i="1" s="1"/>
  <c r="AV42" i="1"/>
  <c r="BB42" i="1" s="1"/>
  <c r="BH57" i="1"/>
  <c r="BI57" i="1" s="1"/>
  <c r="AR14" i="1"/>
  <c r="AS14" i="1" s="1"/>
  <c r="AW36" i="1"/>
  <c r="AN2" i="1"/>
  <c r="AO2" i="1" s="1"/>
  <c r="BF22" i="1"/>
  <c r="BG22" i="1" s="1"/>
  <c r="AV62" i="1"/>
  <c r="AW62" i="1" s="1"/>
  <c r="BI70" i="1"/>
  <c r="AS34" i="1"/>
  <c r="BG123" i="1"/>
  <c r="BF38" i="1"/>
  <c r="BG38" i="1" s="1"/>
  <c r="AZ116" i="1"/>
  <c r="BA116" i="1" s="1"/>
  <c r="AP65" i="1"/>
  <c r="AQ65" i="1" s="1"/>
  <c r="BA52" i="1"/>
  <c r="BH14" i="1"/>
  <c r="BI14" i="1" s="1"/>
  <c r="AR65" i="1"/>
  <c r="AS65" i="1" s="1"/>
  <c r="AQ52" i="1"/>
  <c r="AR48" i="1"/>
  <c r="AS48" i="1" s="1"/>
  <c r="AO147" i="1"/>
  <c r="AP14" i="1"/>
  <c r="AQ14" i="1" s="1"/>
  <c r="BE41" i="1"/>
  <c r="AZ65" i="1"/>
  <c r="BA65" i="1" s="1"/>
  <c r="AV59" i="1"/>
  <c r="AW59" i="1" s="1"/>
  <c r="BH81" i="1"/>
  <c r="BJ81" i="1" s="1"/>
  <c r="AQ150" i="1"/>
  <c r="AW102" i="1"/>
  <c r="BG20" i="1"/>
  <c r="AS53" i="1"/>
  <c r="AZ137" i="1"/>
  <c r="BB137" i="1" s="1"/>
  <c r="AX69" i="1"/>
  <c r="AY69" i="1" s="1"/>
  <c r="AV2" i="1"/>
  <c r="AW2" i="1" s="1"/>
  <c r="AS164" i="1"/>
  <c r="AS150" i="1"/>
  <c r="AV54" i="1"/>
  <c r="AW54" i="1" s="1"/>
  <c r="BF14" i="1"/>
  <c r="BG14" i="1" s="1"/>
  <c r="BI118" i="1"/>
  <c r="BA45" i="1"/>
  <c r="BI22" i="1"/>
  <c r="AS5" i="1"/>
  <c r="AW40" i="1"/>
  <c r="BR248" i="1"/>
  <c r="BR236" i="1"/>
  <c r="AY8" i="1"/>
  <c r="AV50" i="1"/>
  <c r="AW50" i="1" s="1"/>
  <c r="AZ101" i="1"/>
  <c r="BB101" i="1" s="1"/>
  <c r="BF100" i="1"/>
  <c r="BG100" i="1" s="1"/>
  <c r="BF84" i="1"/>
  <c r="BG84" i="1" s="1"/>
  <c r="AQ45" i="1"/>
  <c r="AY62" i="1"/>
  <c r="BD31" i="1"/>
  <c r="BE31" i="1" s="1"/>
  <c r="BE22" i="1"/>
  <c r="BH88" i="1"/>
  <c r="BI88" i="1" s="1"/>
  <c r="BF35" i="1"/>
  <c r="BG35" i="1" s="1"/>
  <c r="AV97" i="1"/>
  <c r="AW97" i="1" s="1"/>
  <c r="AX106" i="1"/>
  <c r="AY106" i="1" s="1"/>
  <c r="AQ36" i="1"/>
  <c r="AO152" i="1"/>
  <c r="BH48" i="1"/>
  <c r="BI48" i="1" s="1"/>
  <c r="AP35" i="1"/>
  <c r="AQ35" i="1" s="1"/>
  <c r="AX17" i="1"/>
  <c r="AY17" i="1" s="1"/>
  <c r="BI74" i="1"/>
  <c r="AT33" i="1"/>
  <c r="AU251" i="1"/>
  <c r="AU205" i="1"/>
  <c r="DH205" i="1" s="1"/>
  <c r="AP26" i="1"/>
  <c r="AT26" i="1" s="1"/>
  <c r="AZ59" i="1"/>
  <c r="BA59" i="1" s="1"/>
  <c r="AY68" i="1"/>
  <c r="AR95" i="1"/>
  <c r="AT95" i="1" s="1"/>
  <c r="AP11" i="1"/>
  <c r="AQ11" i="1" s="1"/>
  <c r="AQ164" i="1"/>
  <c r="AS165" i="1"/>
  <c r="AZ86" i="1"/>
  <c r="BA86" i="1" s="1"/>
  <c r="BE54" i="1"/>
  <c r="BE32" i="1"/>
  <c r="BH50" i="1"/>
  <c r="BI50" i="1" s="1"/>
  <c r="AP25" i="1"/>
  <c r="AQ25" i="1" s="1"/>
  <c r="AQ44" i="1"/>
  <c r="BD69" i="1"/>
  <c r="BE69" i="1" s="1"/>
  <c r="BI123" i="1"/>
  <c r="AU197" i="1"/>
  <c r="BH59" i="1"/>
  <c r="BI59" i="1" s="1"/>
  <c r="AO86" i="1"/>
  <c r="AS156" i="1"/>
  <c r="BG119" i="1"/>
  <c r="AS128" i="1"/>
  <c r="BG152" i="1"/>
  <c r="AZ30" i="1"/>
  <c r="BI101" i="1"/>
  <c r="AQ98" i="1"/>
  <c r="AQ114" i="1"/>
  <c r="AY100" i="1"/>
  <c r="AR41" i="1"/>
  <c r="AS41" i="1" s="1"/>
  <c r="BA72" i="1"/>
  <c r="AX96" i="1"/>
  <c r="AY96" i="1" s="1"/>
  <c r="AX109" i="1"/>
  <c r="AY109" i="1" s="1"/>
  <c r="AP43" i="1"/>
  <c r="AQ43" i="1" s="1"/>
  <c r="AQ34" i="1"/>
  <c r="AK28" i="1"/>
  <c r="AM28" i="1" s="1"/>
  <c r="AK14" i="1"/>
  <c r="AM14" i="1" s="1"/>
  <c r="AS97" i="1"/>
  <c r="AO127" i="1"/>
  <c r="AQ97" i="1"/>
  <c r="AO114" i="1"/>
  <c r="BD7" i="1"/>
  <c r="AQ38" i="1"/>
  <c r="AY22" i="1"/>
  <c r="AQ6" i="1"/>
  <c r="BT250" i="1"/>
  <c r="BZ250" i="1" s="1"/>
  <c r="BI98" i="1"/>
  <c r="AR36" i="1"/>
  <c r="AS36" i="1" s="1"/>
  <c r="AX46" i="1"/>
  <c r="AY46" i="1" s="1"/>
  <c r="BH41" i="1"/>
  <c r="BI41" i="1" s="1"/>
  <c r="BH133" i="1"/>
  <c r="BJ133" i="1" s="1"/>
  <c r="AO98" i="1"/>
  <c r="BH4" i="1"/>
  <c r="BI4" i="1" s="1"/>
  <c r="AS113" i="1"/>
  <c r="BI126" i="1"/>
  <c r="AO8" i="1"/>
  <c r="BA87" i="1"/>
  <c r="BE63" i="1"/>
  <c r="AV95" i="1"/>
  <c r="AW95" i="1" s="1"/>
  <c r="AP46" i="1"/>
  <c r="AQ46" i="1" s="1"/>
  <c r="AW11" i="1"/>
  <c r="AY72" i="1"/>
  <c r="BE114" i="1"/>
  <c r="AO101" i="1"/>
  <c r="AZ82" i="1"/>
  <c r="BA82" i="1" s="1"/>
  <c r="BA18" i="1"/>
  <c r="AY95" i="1"/>
  <c r="BR237" i="1"/>
  <c r="BY66" i="1"/>
  <c r="BY174" i="1"/>
  <c r="DG174" i="1" s="1"/>
  <c r="BZ67" i="1"/>
  <c r="BY111" i="1"/>
  <c r="BY61" i="1"/>
  <c r="AK30" i="1"/>
  <c r="AM30" i="1" s="1"/>
  <c r="AK10" i="1"/>
  <c r="AM10" i="1" s="1"/>
  <c r="BG114" i="1"/>
  <c r="AR11" i="1"/>
  <c r="AS11" i="1" s="1"/>
  <c r="BF26" i="1"/>
  <c r="BG26" i="1" s="1"/>
  <c r="BE78" i="1"/>
  <c r="BD102" i="1"/>
  <c r="BE102" i="1" s="1"/>
  <c r="BH31" i="1"/>
  <c r="BI31" i="1" s="1"/>
  <c r="AN13" i="1"/>
  <c r="AO13" i="1" s="1"/>
  <c r="AJ18" i="1"/>
  <c r="AL18" i="1" s="1"/>
  <c r="AJ5" i="1"/>
  <c r="AL5" i="1" s="1"/>
  <c r="AO88" i="1"/>
  <c r="AR45" i="1"/>
  <c r="AS45" i="1" s="1"/>
  <c r="AO25" i="1"/>
  <c r="AX98" i="1"/>
  <c r="AY98" i="1" s="1"/>
  <c r="BI95" i="1"/>
  <c r="BI89" i="1"/>
  <c r="BI82" i="1"/>
  <c r="BI36" i="1"/>
  <c r="BI147" i="1"/>
  <c r="BG109" i="1"/>
  <c r="BE107" i="1"/>
  <c r="BE95" i="1"/>
  <c r="BG91" i="1"/>
  <c r="BG63" i="1"/>
  <c r="BG46" i="1"/>
  <c r="BG43" i="1"/>
  <c r="BE37" i="1"/>
  <c r="AW16" i="1"/>
  <c r="AR38" i="1"/>
  <c r="AS38" i="1" s="1"/>
  <c r="AY88" i="1"/>
  <c r="AK3" i="1"/>
  <c r="AM3" i="1" s="1"/>
  <c r="BD13" i="1"/>
  <c r="BE13" i="1" s="1"/>
  <c r="AQ78" i="1"/>
  <c r="AX20" i="1"/>
  <c r="AY20" i="1" s="1"/>
  <c r="AO119" i="1"/>
  <c r="AQ142" i="1"/>
  <c r="BI116" i="1"/>
  <c r="AQ10" i="1"/>
  <c r="BG138" i="1"/>
  <c r="AU249" i="1"/>
  <c r="AU235" i="1"/>
  <c r="AU229" i="1"/>
  <c r="AU176" i="1"/>
  <c r="AU246" i="1"/>
  <c r="AU203" i="1"/>
  <c r="AU195" i="1"/>
  <c r="DH195" i="1" s="1"/>
  <c r="AU180" i="1"/>
  <c r="AU172" i="1"/>
  <c r="DH172" i="1" s="1"/>
  <c r="BH43" i="1"/>
  <c r="BI43" i="1" s="1"/>
  <c r="AO95" i="1"/>
  <c r="AP24" i="1"/>
  <c r="BG39" i="1"/>
  <c r="AX86" i="1"/>
  <c r="AY86" i="1" s="1"/>
  <c r="AX114" i="1"/>
  <c r="BB114" i="1" s="1"/>
  <c r="BA100" i="1"/>
  <c r="BI3" i="1"/>
  <c r="BE3" i="1"/>
  <c r="BY141" i="1"/>
  <c r="AR31" i="1"/>
  <c r="AS31" i="1" s="1"/>
  <c r="AJ38" i="1"/>
  <c r="AL38" i="1" s="1"/>
  <c r="AR43" i="1"/>
  <c r="AS43" i="1" s="1"/>
  <c r="BH38" i="1"/>
  <c r="BI38" i="1" s="1"/>
  <c r="BH60" i="1"/>
  <c r="BI60" i="1" s="1"/>
  <c r="AX24" i="1"/>
  <c r="AY24" i="1" s="1"/>
  <c r="AO117" i="1"/>
  <c r="AP7" i="1"/>
  <c r="AT7" i="1" s="1"/>
  <c r="AO107" i="1"/>
  <c r="AR22" i="1"/>
  <c r="AS22" i="1" s="1"/>
  <c r="AW39" i="1"/>
  <c r="BE83" i="1"/>
  <c r="BG83" i="1"/>
  <c r="BE55" i="1"/>
  <c r="AS107" i="1"/>
  <c r="AZ60" i="1"/>
  <c r="AS117" i="1"/>
  <c r="AO78" i="1"/>
  <c r="AV48" i="1"/>
  <c r="AW48" i="1" s="1"/>
  <c r="AZ22" i="1"/>
  <c r="BA22" i="1" s="1"/>
  <c r="AR50" i="1"/>
  <c r="AT50" i="1" s="1"/>
  <c r="AS12" i="1"/>
  <c r="AY55" i="1"/>
  <c r="AS55" i="1"/>
  <c r="BI78" i="1"/>
  <c r="BG129" i="1"/>
  <c r="BG30" i="1"/>
  <c r="BV202" i="1"/>
  <c r="BZ202" i="1" s="1"/>
  <c r="BH5" i="1"/>
  <c r="BI5" i="1" s="1"/>
  <c r="AV64" i="1"/>
  <c r="AW64" i="1" s="1"/>
  <c r="BI39" i="1"/>
  <c r="AS109" i="1"/>
  <c r="BG55" i="1"/>
  <c r="BA55" i="1"/>
  <c r="BI119" i="1"/>
  <c r="BA113" i="1"/>
  <c r="BH11" i="1"/>
  <c r="BI11" i="1" s="1"/>
  <c r="AO156" i="1"/>
  <c r="BF60" i="1"/>
  <c r="BG60" i="1" s="1"/>
  <c r="AJ45" i="1"/>
  <c r="AL45" i="1" s="1"/>
  <c r="BF7" i="1"/>
  <c r="BG7" i="1" s="1"/>
  <c r="AP16" i="1"/>
  <c r="AQ16" i="1" s="1"/>
  <c r="BI157" i="1"/>
  <c r="AO12" i="1"/>
  <c r="AY107" i="1"/>
  <c r="BY43" i="1"/>
  <c r="BY51" i="1"/>
  <c r="BA6" i="1"/>
  <c r="BZ36" i="1"/>
  <c r="BY151" i="1"/>
  <c r="BT66" i="1"/>
  <c r="BZ66" i="1" s="1"/>
  <c r="BZ43" i="1"/>
  <c r="BZ51" i="1"/>
  <c r="AO29" i="1"/>
  <c r="AK8" i="1"/>
  <c r="AM8" i="1" s="1"/>
  <c r="BZ5" i="1"/>
  <c r="BY73" i="1"/>
  <c r="BY75" i="1"/>
  <c r="AS148" i="1"/>
  <c r="AO148" i="1"/>
  <c r="AQ133" i="1"/>
  <c r="BE133" i="1"/>
  <c r="BG133" i="1"/>
  <c r="AO111" i="1"/>
  <c r="AS111" i="1"/>
  <c r="AQ111" i="1"/>
  <c r="AQ85" i="1"/>
  <c r="AO85" i="1"/>
  <c r="BE38" i="1"/>
  <c r="BX239" i="1"/>
  <c r="BT239" i="1"/>
  <c r="AN5" i="1"/>
  <c r="AO5" i="1" s="1"/>
  <c r="AV5" i="1"/>
  <c r="AW5" i="1" s="1"/>
  <c r="BH2" i="1"/>
  <c r="AR2" i="1"/>
  <c r="AS2" i="1" s="1"/>
  <c r="AJ2" i="1"/>
  <c r="AK2" i="1" s="1"/>
  <c r="AM2" i="1" s="1"/>
  <c r="AZ84" i="1"/>
  <c r="BA84" i="1" s="1"/>
  <c r="AR84" i="1"/>
  <c r="AT84" i="1" s="1"/>
  <c r="BH76" i="1"/>
  <c r="BI76" i="1" s="1"/>
  <c r="AZ76" i="1"/>
  <c r="BA76" i="1" s="1"/>
  <c r="AZ67" i="1"/>
  <c r="BA67" i="1" s="1"/>
  <c r="BH67" i="1"/>
  <c r="BI67" i="1" s="1"/>
  <c r="AZ61" i="1"/>
  <c r="BA61" i="1" s="1"/>
  <c r="BH61" i="1"/>
  <c r="BI61" i="1" s="1"/>
  <c r="AZ46" i="1"/>
  <c r="BA46" i="1" s="1"/>
  <c r="AR46" i="1"/>
  <c r="AS46" i="1" s="1"/>
  <c r="BH46" i="1"/>
  <c r="BI46" i="1" s="1"/>
  <c r="AR39" i="1"/>
  <c r="AS39" i="1" s="1"/>
  <c r="AZ39" i="1"/>
  <c r="BA39" i="1" s="1"/>
  <c r="AZ32" i="1"/>
  <c r="BA32" i="1" s="1"/>
  <c r="AR32" i="1"/>
  <c r="AS32" i="1" s="1"/>
  <c r="AR23" i="1"/>
  <c r="AS23" i="1" s="1"/>
  <c r="AZ23" i="1"/>
  <c r="BA23" i="1" s="1"/>
  <c r="BG148" i="1"/>
  <c r="BF110" i="1"/>
  <c r="BJ110" i="1" s="1"/>
  <c r="AX110" i="1"/>
  <c r="AY110" i="1" s="1"/>
  <c r="AV99" i="1"/>
  <c r="AW99" i="1" s="1"/>
  <c r="BD99" i="1"/>
  <c r="BE99" i="1" s="1"/>
  <c r="AV96" i="1"/>
  <c r="AW96" i="1" s="1"/>
  <c r="BD96" i="1"/>
  <c r="BE96" i="1" s="1"/>
  <c r="BD76" i="1"/>
  <c r="BE76" i="1" s="1"/>
  <c r="AV76" i="1"/>
  <c r="AW76" i="1" s="1"/>
  <c r="AV72" i="1"/>
  <c r="AW72" i="1" s="1"/>
  <c r="BD72" i="1"/>
  <c r="BE72" i="1" s="1"/>
  <c r="BD68" i="1"/>
  <c r="BE68" i="1" s="1"/>
  <c r="AV68" i="1"/>
  <c r="AW68" i="1" s="1"/>
  <c r="BD61" i="1"/>
  <c r="BE61" i="1" s="1"/>
  <c r="AV61" i="1"/>
  <c r="AW61" i="1" s="1"/>
  <c r="AX57" i="1"/>
  <c r="AY57" i="1" s="1"/>
  <c r="AP57" i="1"/>
  <c r="AQ57" i="1" s="1"/>
  <c r="AV52" i="1"/>
  <c r="AW52" i="1" s="1"/>
  <c r="BD52" i="1"/>
  <c r="BE52" i="1" s="1"/>
  <c r="BF48" i="1"/>
  <c r="BG48" i="1" s="1"/>
  <c r="AP48" i="1"/>
  <c r="AQ48" i="1" s="1"/>
  <c r="AX48" i="1"/>
  <c r="AY48" i="1" s="1"/>
  <c r="BH37" i="1"/>
  <c r="BI37" i="1" s="1"/>
  <c r="AZ37" i="1"/>
  <c r="BA37" i="1" s="1"/>
  <c r="BD34" i="1"/>
  <c r="AV34" i="1"/>
  <c r="AW34" i="1" s="1"/>
  <c r="BD21" i="1"/>
  <c r="BE21" i="1" s="1"/>
  <c r="AV21" i="1"/>
  <c r="AW21" i="1" s="1"/>
  <c r="AN21" i="1"/>
  <c r="AT21" i="1" s="1"/>
  <c r="AZ16" i="1"/>
  <c r="BB16" i="1" s="1"/>
  <c r="AJ16" i="1"/>
  <c r="AL16" i="1" s="1"/>
  <c r="AR16" i="1"/>
  <c r="AS16" i="1" s="1"/>
  <c r="BH16" i="1"/>
  <c r="BI16" i="1" s="1"/>
  <c r="AX13" i="1"/>
  <c r="AY13" i="1" s="1"/>
  <c r="AP13" i="1"/>
  <c r="AQ13" i="1" s="1"/>
  <c r="BF13" i="1"/>
  <c r="AO163" i="1"/>
  <c r="AQ163" i="1"/>
  <c r="AO151" i="1"/>
  <c r="AS151" i="1"/>
  <c r="AQ151" i="1"/>
  <c r="AO137" i="1"/>
  <c r="AQ137" i="1"/>
  <c r="BH103" i="1"/>
  <c r="BI103" i="1" s="1"/>
  <c r="AZ103" i="1"/>
  <c r="BA103" i="1" s="1"/>
  <c r="BC103" i="1" s="1"/>
  <c r="BA27" i="1"/>
  <c r="AY27" i="1"/>
  <c r="AO54" i="1"/>
  <c r="AQ54" i="1"/>
  <c r="AQ169" i="1"/>
  <c r="AO169" i="1"/>
  <c r="AS162" i="1"/>
  <c r="AQ162" i="1"/>
  <c r="AZ36" i="1"/>
  <c r="BA36" i="1" s="1"/>
  <c r="BE81" i="1"/>
  <c r="BH85" i="1"/>
  <c r="BD40" i="1"/>
  <c r="AV51" i="1"/>
  <c r="AW51" i="1" s="1"/>
  <c r="AZ95" i="1"/>
  <c r="BA95" i="1" s="1"/>
  <c r="AZ123" i="1"/>
  <c r="BA123" i="1" s="1"/>
  <c r="BC123" i="1" s="1"/>
  <c r="AQ81" i="1"/>
  <c r="AX30" i="1"/>
  <c r="AY30" i="1" s="1"/>
  <c r="BI62" i="1"/>
  <c r="AX104" i="1"/>
  <c r="AY104" i="1" s="1"/>
  <c r="BA56" i="1"/>
  <c r="AS103" i="1"/>
  <c r="AP58" i="1"/>
  <c r="AQ58" i="1" s="1"/>
  <c r="BI162" i="1"/>
  <c r="BH102" i="1"/>
  <c r="BI102" i="1" s="1"/>
  <c r="BG142" i="1"/>
  <c r="BJ139" i="1"/>
  <c r="BJ118" i="1"/>
  <c r="BA104" i="1"/>
  <c r="BG98" i="1"/>
  <c r="BG86" i="1"/>
  <c r="AY60" i="1"/>
  <c r="BA43" i="1"/>
  <c r="BG4" i="1"/>
  <c r="AO6" i="1"/>
  <c r="AS29" i="1"/>
  <c r="BA28" i="1"/>
  <c r="BE27" i="1"/>
  <c r="AW93" i="1"/>
  <c r="BA93" i="1"/>
  <c r="BJ66" i="1"/>
  <c r="BY82" i="1"/>
  <c r="BY197" i="1"/>
  <c r="DG197" i="1" s="1"/>
  <c r="AU239" i="1"/>
  <c r="BG11" i="1"/>
  <c r="AZ102" i="1"/>
  <c r="BA102" i="1" s="1"/>
  <c r="AN38" i="1"/>
  <c r="AO38" i="1" s="1"/>
  <c r="BA24" i="1"/>
  <c r="AZ74" i="1"/>
  <c r="BA74" i="1" s="1"/>
  <c r="AN24" i="1"/>
  <c r="AO24" i="1" s="1"/>
  <c r="AV24" i="1"/>
  <c r="AW24" i="1" s="1"/>
  <c r="BG92" i="1"/>
  <c r="BF49" i="1"/>
  <c r="BG49" i="1" s="1"/>
  <c r="BG81" i="1"/>
  <c r="BG24" i="1"/>
  <c r="AO140" i="1"/>
  <c r="AZ21" i="1"/>
  <c r="BA21" i="1" s="1"/>
  <c r="BG54" i="1"/>
  <c r="AZ25" i="1"/>
  <c r="BA25" i="1" s="1"/>
  <c r="BI8" i="1"/>
  <c r="BD20" i="1"/>
  <c r="BE20" i="1" s="1"/>
  <c r="AO131" i="1"/>
  <c r="BD16" i="1"/>
  <c r="BE16" i="1" s="1"/>
  <c r="BG103" i="1"/>
  <c r="BE29" i="1"/>
  <c r="BG127" i="1"/>
  <c r="BG117" i="1"/>
  <c r="BA8" i="1"/>
  <c r="BG27" i="1"/>
  <c r="AP56" i="1"/>
  <c r="AQ56" i="1" s="1"/>
  <c r="BH113" i="1"/>
  <c r="BI113" i="1" s="1"/>
  <c r="AX56" i="1"/>
  <c r="AY56" i="1" s="1"/>
  <c r="AK19" i="1"/>
  <c r="AM19" i="1" s="1"/>
  <c r="BG143" i="1"/>
  <c r="AQ101" i="1"/>
  <c r="AQ93" i="1"/>
  <c r="AJ21" i="1"/>
  <c r="AL21" i="1" s="1"/>
  <c r="AR25" i="1"/>
  <c r="AQ131" i="1"/>
  <c r="AQ143" i="1"/>
  <c r="BD35" i="1"/>
  <c r="BI179" i="1"/>
  <c r="BK179" i="1" s="1"/>
  <c r="AX61" i="1"/>
  <c r="AY61" i="1" s="1"/>
  <c r="AX91" i="1"/>
  <c r="AY91" i="1" s="1"/>
  <c r="BI71" i="1"/>
  <c r="BI65" i="1"/>
  <c r="BA48" i="1"/>
  <c r="BG130" i="1"/>
  <c r="BE127" i="1"/>
  <c r="BE117" i="1"/>
  <c r="BE113" i="1"/>
  <c r="BE101" i="1"/>
  <c r="AQ27" i="1"/>
  <c r="AS28" i="1"/>
  <c r="AW28" i="1"/>
  <c r="BG8" i="1"/>
  <c r="BI6" i="1"/>
  <c r="AW66" i="1"/>
  <c r="AO108" i="1"/>
  <c r="AY26" i="1"/>
  <c r="BH107" i="1"/>
  <c r="BI107" i="1" s="1"/>
  <c r="AN20" i="1"/>
  <c r="AO20" i="1" s="1"/>
  <c r="AS127" i="1"/>
  <c r="AW85" i="1"/>
  <c r="AQ168" i="1"/>
  <c r="AS40" i="1"/>
  <c r="AV7" i="1"/>
  <c r="AN16" i="1"/>
  <c r="AO16" i="1" s="1"/>
  <c r="BE97" i="1"/>
  <c r="AQ108" i="1"/>
  <c r="AY23" i="1"/>
  <c r="AV106" i="1"/>
  <c r="AW106" i="1" s="1"/>
  <c r="AW18" i="1"/>
  <c r="BI141" i="1"/>
  <c r="BI134" i="1"/>
  <c r="BI108" i="1"/>
  <c r="BG156" i="1"/>
  <c r="BG153" i="1"/>
  <c r="BE150" i="1"/>
  <c r="BI143" i="1"/>
  <c r="BG137" i="1"/>
  <c r="BG120" i="1"/>
  <c r="BG106" i="1"/>
  <c r="BE77" i="1"/>
  <c r="AQ17" i="1"/>
  <c r="AQ8" i="1"/>
  <c r="AS27" i="1"/>
  <c r="AY28" i="1"/>
  <c r="BI27" i="1"/>
  <c r="AS33" i="1"/>
  <c r="BG66" i="1"/>
  <c r="AP5" i="1"/>
  <c r="AQ5" i="1" s="1"/>
  <c r="AS8" i="1"/>
  <c r="AW8" i="1"/>
  <c r="BI140" i="1"/>
  <c r="BE111" i="1"/>
  <c r="BG99" i="1"/>
  <c r="BA38" i="1"/>
  <c r="BE65" i="1"/>
  <c r="AX11" i="1"/>
  <c r="AY11" i="1" s="1"/>
  <c r="AZ34" i="1"/>
  <c r="BA34" i="1" s="1"/>
  <c r="AO146" i="1"/>
  <c r="BD71" i="1"/>
  <c r="BE71" i="1" s="1"/>
  <c r="AV65" i="1"/>
  <c r="AO27" i="1"/>
  <c r="BZ20" i="1"/>
  <c r="BJ152" i="1"/>
  <c r="BJ145" i="1"/>
  <c r="BJ157" i="1"/>
  <c r="BY136" i="1"/>
  <c r="BB113" i="1"/>
  <c r="BZ35" i="1"/>
  <c r="BV178" i="1"/>
  <c r="BZ178" i="1" s="1"/>
  <c r="BY19" i="1"/>
  <c r="DG19" i="1" s="1"/>
  <c r="BB8" i="1"/>
  <c r="BJ6" i="1"/>
  <c r="BB83" i="1"/>
  <c r="BY121" i="1"/>
  <c r="BZ74" i="1"/>
  <c r="BZ11" i="1"/>
  <c r="BJ123" i="1"/>
  <c r="BJ28" i="1"/>
  <c r="BT158" i="1"/>
  <c r="BA122" i="1"/>
  <c r="BC122" i="1" s="1"/>
  <c r="BB107" i="1"/>
  <c r="BT2" i="1"/>
  <c r="BZ2" i="1" s="1"/>
  <c r="BI66" i="1"/>
  <c r="BY91" i="1"/>
  <c r="BY99" i="1"/>
  <c r="BT181" i="1"/>
  <c r="BZ181" i="1" s="1"/>
  <c r="BB93" i="1"/>
  <c r="BT82" i="1"/>
  <c r="BZ82" i="1" s="1"/>
  <c r="BJ134" i="1"/>
  <c r="BJ108" i="1"/>
  <c r="BJ83" i="1"/>
  <c r="BT89" i="1"/>
  <c r="BZ89" i="1" s="1"/>
  <c r="BJ151" i="1"/>
  <c r="DG151" i="1" s="1"/>
  <c r="BY69" i="1"/>
  <c r="BB28" i="1"/>
  <c r="BI83" i="1"/>
  <c r="BY138" i="1"/>
  <c r="BI158" i="1"/>
  <c r="BK158" i="1" s="1"/>
  <c r="BZ76" i="1"/>
  <c r="BZ16" i="1"/>
  <c r="BI152" i="1"/>
  <c r="BJ153" i="1"/>
  <c r="BG108" i="1"/>
  <c r="BT99" i="1"/>
  <c r="BZ99" i="1" s="1"/>
  <c r="BG160" i="1"/>
  <c r="BJ29" i="1"/>
  <c r="BY36" i="1"/>
  <c r="AL28" i="1"/>
  <c r="BI151" i="1"/>
  <c r="AK27" i="1"/>
  <c r="AM27" i="1" s="1"/>
  <c r="BT75" i="1"/>
  <c r="BZ75" i="1" s="1"/>
  <c r="BJ130" i="1"/>
  <c r="BY70" i="1"/>
  <c r="BY33" i="1"/>
  <c r="BY145" i="1"/>
  <c r="BI159" i="1"/>
  <c r="BK159" i="1" s="1"/>
  <c r="BZ160" i="1"/>
  <c r="AL14" i="1"/>
  <c r="BT33" i="1"/>
  <c r="AW35" i="1"/>
  <c r="BY5" i="1"/>
  <c r="BZ124" i="1"/>
  <c r="BY160" i="1"/>
  <c r="BI33" i="1"/>
  <c r="BJ160" i="1"/>
  <c r="AT66" i="1"/>
  <c r="BG28" i="1"/>
  <c r="BY17" i="1"/>
  <c r="BZ56" i="1"/>
  <c r="BY63" i="1"/>
  <c r="BY116" i="1"/>
  <c r="BI156" i="1"/>
  <c r="BI146" i="1"/>
  <c r="BI145" i="1"/>
  <c r="BI135" i="1"/>
  <c r="BA88" i="1"/>
  <c r="BG65" i="1"/>
  <c r="BI49" i="1"/>
  <c r="BG166" i="1"/>
  <c r="BG154" i="1"/>
  <c r="BI142" i="1"/>
  <c r="BG139" i="1"/>
  <c r="BJ138" i="1"/>
  <c r="BG136" i="1"/>
  <c r="BJ135" i="1"/>
  <c r="BJ119" i="1"/>
  <c r="BE109" i="1"/>
  <c r="BE105" i="1"/>
  <c r="AY102" i="1"/>
  <c r="BE98" i="1"/>
  <c r="BE92" i="1"/>
  <c r="BE91" i="1"/>
  <c r="BE79" i="1"/>
  <c r="BE60" i="1"/>
  <c r="AW56" i="1"/>
  <c r="BE48" i="1"/>
  <c r="BE44" i="1"/>
  <c r="AQ29" i="1"/>
  <c r="AQ3" i="1"/>
  <c r="AT28" i="1"/>
  <c r="BA3" i="1"/>
  <c r="AY3" i="1"/>
  <c r="AW29" i="1"/>
  <c r="AY6" i="1"/>
  <c r="BJ8" i="1"/>
  <c r="AQ33" i="1"/>
  <c r="AW53" i="1"/>
  <c r="BA33" i="1"/>
  <c r="BB87" i="1"/>
  <c r="BE66" i="1"/>
  <c r="BG33" i="1"/>
  <c r="BG93" i="1"/>
  <c r="BI73" i="1"/>
  <c r="BI167" i="1"/>
  <c r="BE73" i="1"/>
  <c r="BJ109" i="1"/>
  <c r="BB29" i="1"/>
  <c r="BY37" i="1"/>
  <c r="BY148" i="1"/>
  <c r="BY164" i="1"/>
  <c r="BZ229" i="1"/>
  <c r="BB31" i="1"/>
  <c r="BE135" i="1"/>
  <c r="AQ66" i="1"/>
  <c r="AT8" i="1"/>
  <c r="DG8" i="1" s="1"/>
  <c r="BJ156" i="1"/>
  <c r="BB6" i="1"/>
  <c r="BZ37" i="1"/>
  <c r="AK6" i="1"/>
  <c r="AM6" i="1" s="1"/>
  <c r="AK29" i="1"/>
  <c r="AM29" i="1" s="1"/>
  <c r="BT141" i="1"/>
  <c r="AO28" i="1"/>
  <c r="BY16" i="1"/>
  <c r="BY28" i="1"/>
  <c r="BY80" i="1"/>
  <c r="BY149" i="1"/>
  <c r="BY165" i="1"/>
  <c r="BT45" i="1"/>
  <c r="BZ45" i="1" s="1"/>
  <c r="AS3" i="1"/>
  <c r="BY42" i="1"/>
  <c r="BY107" i="1"/>
  <c r="BY56" i="1"/>
  <c r="BJ136" i="1"/>
  <c r="DG136" i="1" s="1"/>
  <c r="AT29" i="1"/>
  <c r="BJ175" i="1"/>
  <c r="BZ100" i="1"/>
  <c r="BI181" i="1"/>
  <c r="BK181" i="1" s="1"/>
  <c r="BY10" i="1"/>
  <c r="DG10" i="1" s="1"/>
  <c r="BY84" i="1"/>
  <c r="BY117" i="1"/>
  <c r="BJ53" i="1"/>
  <c r="BJ55" i="1"/>
  <c r="BJ98" i="1"/>
  <c r="BJ167" i="1"/>
  <c r="BY11" i="1"/>
  <c r="BY24" i="1"/>
  <c r="BY35" i="1"/>
  <c r="BY157" i="1"/>
  <c r="BI168" i="1"/>
  <c r="BK168" i="1" s="1"/>
  <c r="BA85" i="1"/>
  <c r="AS63" i="1"/>
  <c r="BG131" i="1"/>
  <c r="BI106" i="1"/>
  <c r="AO30" i="1"/>
  <c r="BR250" i="1"/>
  <c r="AU242" i="1"/>
  <c r="BJ166" i="1"/>
  <c r="BI166" i="1"/>
  <c r="BE144" i="1"/>
  <c r="BJ144" i="1"/>
  <c r="AO122" i="1"/>
  <c r="BT246" i="1"/>
  <c r="BZ246" i="1" s="1"/>
  <c r="BY90" i="1"/>
  <c r="BT107" i="1"/>
  <c r="BZ107" i="1" s="1"/>
  <c r="BY124" i="1"/>
  <c r="BY74" i="1"/>
  <c r="BJ73" i="1"/>
  <c r="BC31" i="1"/>
  <c r="BR241" i="1"/>
  <c r="BR234" i="1"/>
  <c r="AO3" i="1"/>
  <c r="AS6" i="1"/>
  <c r="BZ152" i="1"/>
  <c r="AS17" i="1"/>
  <c r="AO142" i="1"/>
  <c r="AS119" i="1"/>
  <c r="AQ55" i="1"/>
  <c r="BI150" i="1"/>
  <c r="AV44" i="1"/>
  <c r="AW44" i="1" s="1"/>
  <c r="BT252" i="1"/>
  <c r="BZ252" i="1" s="1"/>
  <c r="BR240" i="1"/>
  <c r="BY52" i="1"/>
  <c r="BY76" i="1"/>
  <c r="BY100" i="1"/>
  <c r="BY152" i="1"/>
  <c r="BA4" i="1"/>
  <c r="BG122" i="1"/>
  <c r="BA26" i="1"/>
  <c r="BE122" i="1"/>
  <c r="AS145" i="1"/>
  <c r="BG147" i="1"/>
  <c r="BY120" i="1"/>
  <c r="BY198" i="1"/>
  <c r="DG198" i="1" s="1"/>
  <c r="AU47" i="1"/>
  <c r="AO26" i="1"/>
  <c r="BI79" i="1"/>
  <c r="BG157" i="1"/>
  <c r="AS122" i="1"/>
  <c r="AZ71" i="1"/>
  <c r="BA71" i="1" s="1"/>
  <c r="BG58" i="1"/>
  <c r="BA111" i="1"/>
  <c r="BF102" i="1"/>
  <c r="BG102" i="1" s="1"/>
  <c r="BG67" i="1"/>
  <c r="BG40" i="1"/>
  <c r="BF16" i="1"/>
  <c r="BT63" i="1"/>
  <c r="BZ63" i="1" s="1"/>
  <c r="BY96" i="1"/>
  <c r="BY139" i="1"/>
  <c r="BY118" i="1"/>
  <c r="AU240" i="1"/>
  <c r="AU177" i="1"/>
  <c r="DH177" i="1" s="1"/>
  <c r="AW71" i="1"/>
  <c r="BG56" i="1"/>
  <c r="BG3" i="1"/>
  <c r="BB53" i="1"/>
  <c r="AO69" i="1"/>
  <c r="AQ69" i="1"/>
  <c r="AJ20" i="1"/>
  <c r="BH20" i="1"/>
  <c r="BI20" i="1" s="1"/>
  <c r="BX251" i="1"/>
  <c r="BT251" i="1"/>
  <c r="BY83" i="1"/>
  <c r="BT83" i="1"/>
  <c r="BZ83" i="1" s="1"/>
  <c r="BA42" i="1"/>
  <c r="BH63" i="1"/>
  <c r="BI63" i="1" s="1"/>
  <c r="BI51" i="1"/>
  <c r="AQ21" i="1"/>
  <c r="BZ24" i="1"/>
  <c r="BI35" i="1"/>
  <c r="AW80" i="1"/>
  <c r="AZ20" i="1"/>
  <c r="BA20" i="1" s="1"/>
  <c r="AT55" i="1"/>
  <c r="AQ90" i="1"/>
  <c r="AO90" i="1"/>
  <c r="AS90" i="1"/>
  <c r="BH77" i="1"/>
  <c r="BI77" i="1" s="1"/>
  <c r="AZ77" i="1"/>
  <c r="BA77" i="1" s="1"/>
  <c r="BH68" i="1"/>
  <c r="BI68" i="1" s="1"/>
  <c r="AZ68" i="1"/>
  <c r="BA68" i="1" s="1"/>
  <c r="AZ62" i="1"/>
  <c r="AR62" i="1"/>
  <c r="AS62" i="1" s="1"/>
  <c r="AO80" i="1"/>
  <c r="AZ91" i="1"/>
  <c r="BA91" i="1" s="1"/>
  <c r="BH91" i="1"/>
  <c r="BJ91" i="1" s="1"/>
  <c r="AZ69" i="1"/>
  <c r="BH69" i="1"/>
  <c r="AR69" i="1"/>
  <c r="AT69" i="1" s="1"/>
  <c r="BY64" i="1"/>
  <c r="BT64" i="1"/>
  <c r="BZ64" i="1" s="1"/>
  <c r="BA107" i="1"/>
  <c r="AS51" i="1"/>
  <c r="AS21" i="1"/>
  <c r="BE42" i="1"/>
  <c r="AT3" i="1"/>
  <c r="AO162" i="1"/>
  <c r="AQ157" i="1"/>
  <c r="BB88" i="1"/>
  <c r="AT27" i="1"/>
  <c r="AR20" i="1"/>
  <c r="AS20" i="1" s="1"/>
  <c r="AQ100" i="1"/>
  <c r="AS100" i="1"/>
  <c r="AO100" i="1"/>
  <c r="AO89" i="1"/>
  <c r="AQ89" i="1"/>
  <c r="AO135" i="1"/>
  <c r="AS135" i="1"/>
  <c r="BH128" i="1"/>
  <c r="BI128" i="1" s="1"/>
  <c r="AZ128" i="1"/>
  <c r="BA128" i="1" s="1"/>
  <c r="BC128" i="1" s="1"/>
  <c r="BH115" i="1"/>
  <c r="BI115" i="1" s="1"/>
  <c r="AZ115" i="1"/>
  <c r="BH96" i="1"/>
  <c r="BI96" i="1" s="1"/>
  <c r="AZ96" i="1"/>
  <c r="BA96" i="1" s="1"/>
  <c r="AX82" i="1"/>
  <c r="BF82" i="1"/>
  <c r="BG82" i="1" s="1"/>
  <c r="BF75" i="1"/>
  <c r="BG75" i="1" s="1"/>
  <c r="AX75" i="1"/>
  <c r="AY75" i="1" s="1"/>
  <c r="BF71" i="1"/>
  <c r="AX71" i="1"/>
  <c r="AY71" i="1" s="1"/>
  <c r="BD57" i="1"/>
  <c r="BE57" i="1" s="1"/>
  <c r="AV57" i="1"/>
  <c r="AW57" i="1" s="1"/>
  <c r="BF51" i="1"/>
  <c r="BG51" i="1" s="1"/>
  <c r="AX51" i="1"/>
  <c r="AY51" i="1" s="1"/>
  <c r="BF37" i="1"/>
  <c r="AP37" i="1"/>
  <c r="AQ37" i="1" s="1"/>
  <c r="BD25" i="1"/>
  <c r="BE25" i="1" s="1"/>
  <c r="AV25" i="1"/>
  <c r="BF21" i="1"/>
  <c r="AX21" i="1"/>
  <c r="BE14" i="1"/>
  <c r="AR54" i="1"/>
  <c r="AZ54" i="1"/>
  <c r="BH54" i="1"/>
  <c r="BI54" i="1" s="1"/>
  <c r="AS59" i="1"/>
  <c r="AY7" i="1"/>
  <c r="BT73" i="1"/>
  <c r="BZ73" i="1" s="1"/>
  <c r="AT34" i="1"/>
  <c r="AY42" i="1"/>
  <c r="AT6" i="1"/>
  <c r="AS115" i="1"/>
  <c r="AQ115" i="1"/>
  <c r="AO99" i="1"/>
  <c r="BA99" i="1"/>
  <c r="BH127" i="1"/>
  <c r="AZ127" i="1"/>
  <c r="BD86" i="1"/>
  <c r="AV86" i="1"/>
  <c r="AW86" i="1" s="1"/>
  <c r="BD75" i="1"/>
  <c r="AV75" i="1"/>
  <c r="AW75" i="1" s="1"/>
  <c r="BD67" i="1"/>
  <c r="AV67" i="1"/>
  <c r="AP63" i="1"/>
  <c r="AX63" i="1"/>
  <c r="AY63" i="1" s="1"/>
  <c r="AX32" i="1"/>
  <c r="AY32" i="1" s="1"/>
  <c r="AP32" i="1"/>
  <c r="AQ32" i="1" s="1"/>
  <c r="BF32" i="1"/>
  <c r="AV14" i="1"/>
  <c r="AW14" i="1" s="1"/>
  <c r="AN14" i="1"/>
  <c r="AO14" i="1" s="1"/>
  <c r="BG87" i="1"/>
  <c r="BI87" i="1"/>
  <c r="AS87" i="1"/>
  <c r="AY87" i="1"/>
  <c r="AQ87" i="1"/>
  <c r="BY162" i="1"/>
  <c r="BG80" i="1"/>
  <c r="AQ149" i="1"/>
  <c r="AS149" i="1"/>
  <c r="AS134" i="1"/>
  <c r="AO134" i="1"/>
  <c r="AS124" i="1"/>
  <c r="BG124" i="1"/>
  <c r="AO124" i="1"/>
  <c r="AQ104" i="1"/>
  <c r="AO104" i="1"/>
  <c r="AO73" i="1"/>
  <c r="BG73" i="1"/>
  <c r="BY153" i="1"/>
  <c r="BY163" i="1"/>
  <c r="BT163" i="1"/>
  <c r="BZ163" i="1" s="1"/>
  <c r="BY172" i="1"/>
  <c r="DG172" i="1" s="1"/>
  <c r="BT172" i="1"/>
  <c r="BZ172" i="1" s="1"/>
  <c r="AO51" i="1"/>
  <c r="BE51" i="1"/>
  <c r="AY35" i="1"/>
  <c r="BE59" i="1"/>
  <c r="AW13" i="1"/>
  <c r="BG69" i="1"/>
  <c r="AO35" i="1"/>
  <c r="BJ168" i="1"/>
  <c r="AS158" i="1"/>
  <c r="AO158" i="1"/>
  <c r="AO133" i="1"/>
  <c r="AS133" i="1"/>
  <c r="BF111" i="1"/>
  <c r="BG111" i="1" s="1"/>
  <c r="AX111" i="1"/>
  <c r="BF97" i="1"/>
  <c r="BG97" i="1" s="1"/>
  <c r="AX97" i="1"/>
  <c r="AY97" i="1" s="1"/>
  <c r="BD94" i="1"/>
  <c r="BE94" i="1" s="1"/>
  <c r="AV94" i="1"/>
  <c r="AR85" i="1"/>
  <c r="BI155" i="1"/>
  <c r="BK155" i="1" s="1"/>
  <c r="AS7" i="1"/>
  <c r="AZ78" i="1"/>
  <c r="BA78" i="1" s="1"/>
  <c r="BH17" i="1"/>
  <c r="BI17" i="1" s="1"/>
  <c r="AZ17" i="1"/>
  <c r="BA17" i="1" s="1"/>
  <c r="AJ17" i="1"/>
  <c r="AJ4" i="1"/>
  <c r="AR4" i="1"/>
  <c r="AS4" i="1" s="1"/>
  <c r="AW27" i="1"/>
  <c r="BB27" i="1"/>
  <c r="AV73" i="1"/>
  <c r="AW73" i="1" s="1"/>
  <c r="BY140" i="1"/>
  <c r="BT140" i="1"/>
  <c r="BZ140" i="1" s="1"/>
  <c r="AV26" i="1"/>
  <c r="BD26" i="1"/>
  <c r="AW69" i="1"/>
  <c r="AS67" i="1"/>
  <c r="BR251" i="1"/>
  <c r="BX245" i="1"/>
  <c r="BT245" i="1"/>
  <c r="BY72" i="1"/>
  <c r="BT72" i="1"/>
  <c r="BZ72" i="1" s="1"/>
  <c r="BY123" i="1"/>
  <c r="BT123" i="1"/>
  <c r="BZ123" i="1" s="1"/>
  <c r="BY131" i="1"/>
  <c r="BT131" i="1"/>
  <c r="BZ131" i="1" s="1"/>
  <c r="AU202" i="1"/>
  <c r="DH202" i="1" s="1"/>
  <c r="AQ82" i="1"/>
  <c r="AS160" i="1"/>
  <c r="AS82" i="1"/>
  <c r="BI55" i="1"/>
  <c r="BA41" i="1"/>
  <c r="BT17" i="1"/>
  <c r="BZ17" i="1" s="1"/>
  <c r="BY39" i="1"/>
  <c r="BY46" i="1"/>
  <c r="BY53" i="1"/>
  <c r="BY60" i="1"/>
  <c r="BY133" i="1"/>
  <c r="BE116" i="1"/>
  <c r="BA133" i="1"/>
  <c r="BC133" i="1" s="1"/>
  <c r="AQ128" i="1"/>
  <c r="BH21" i="1"/>
  <c r="BI21" i="1" s="1"/>
  <c r="AO138" i="1"/>
  <c r="BH30" i="1"/>
  <c r="AR44" i="1"/>
  <c r="BY31" i="1"/>
  <c r="BY67" i="1"/>
  <c r="BY85" i="1"/>
  <c r="BY108" i="1"/>
  <c r="BY125" i="1"/>
  <c r="BY104" i="1"/>
  <c r="AS91" i="1"/>
  <c r="AQ71" i="1"/>
  <c r="BI160" i="1"/>
  <c r="AR30" i="1"/>
  <c r="AS30" i="1" s="1"/>
  <c r="BG115" i="1"/>
  <c r="BH44" i="1"/>
  <c r="BI44" i="1" s="1"/>
  <c r="BT234" i="1"/>
  <c r="BZ234" i="1" s="1"/>
  <c r="BT243" i="1"/>
  <c r="BZ243" i="1" s="1"/>
  <c r="AQ28" i="1"/>
  <c r="BY9" i="1"/>
  <c r="BY78" i="1"/>
  <c r="BY109" i="1"/>
  <c r="BY126" i="1"/>
  <c r="AU245" i="1"/>
  <c r="BI25" i="1"/>
  <c r="AT53" i="1"/>
  <c r="BE8" i="1"/>
  <c r="BY20" i="1"/>
  <c r="BT42" i="1"/>
  <c r="BZ42" i="1" s="1"/>
  <c r="BT120" i="1"/>
  <c r="BZ120" i="1" s="1"/>
  <c r="BT136" i="1"/>
  <c r="BZ136" i="1" s="1"/>
  <c r="BT143" i="1"/>
  <c r="BZ143" i="1" s="1"/>
  <c r="BY6" i="1"/>
  <c r="BY18" i="1"/>
  <c r="AS60" i="1"/>
  <c r="AS116" i="1"/>
  <c r="AY59" i="1"/>
  <c r="BF17" i="1"/>
  <c r="BG104" i="1"/>
  <c r="AY14" i="1"/>
  <c r="BJ87" i="1"/>
  <c r="BZ230" i="1"/>
  <c r="BZ61" i="1"/>
  <c r="BI148" i="1"/>
  <c r="BI138" i="1"/>
  <c r="BI125" i="1"/>
  <c r="BB100" i="1"/>
  <c r="BA58" i="1"/>
  <c r="BA44" i="1"/>
  <c r="AK12" i="1"/>
  <c r="AM12" i="1" s="1"/>
  <c r="BG169" i="1"/>
  <c r="BG149" i="1"/>
  <c r="BI144" i="1"/>
  <c r="BE137" i="1"/>
  <c r="BG128" i="1"/>
  <c r="BJ126" i="1"/>
  <c r="DG126" i="1" s="1"/>
  <c r="BG105" i="1"/>
  <c r="BE104" i="1"/>
  <c r="AY85" i="1"/>
  <c r="BE64" i="1"/>
  <c r="BE24" i="1"/>
  <c r="AY16" i="1"/>
  <c r="BG5" i="1"/>
  <c r="BR245" i="1"/>
  <c r="BR239" i="1"/>
  <c r="AY29" i="1"/>
  <c r="BG29" i="1"/>
  <c r="BE28" i="1"/>
  <c r="AU231" i="1"/>
  <c r="DH231" i="1" s="1"/>
  <c r="AU171" i="1"/>
  <c r="AU207" i="1"/>
  <c r="AU183" i="1"/>
  <c r="BE128" i="1"/>
  <c r="BG64" i="1"/>
  <c r="BA114" i="1"/>
  <c r="AY90" i="1"/>
  <c r="BB90" i="1"/>
  <c r="BG150" i="1"/>
  <c r="BJ150" i="1"/>
  <c r="BG140" i="1"/>
  <c r="BJ140" i="1"/>
  <c r="BJ137" i="1"/>
  <c r="BI137" i="1"/>
  <c r="BJ120" i="1"/>
  <c r="DG120" i="1" s="1"/>
  <c r="BI120" i="1"/>
  <c r="BJ90" i="1"/>
  <c r="BE90" i="1"/>
  <c r="BK90" i="1" s="1"/>
  <c r="AS94" i="1"/>
  <c r="AT94" i="1"/>
  <c r="BE147" i="1"/>
  <c r="BJ147" i="1"/>
  <c r="BE110" i="1"/>
  <c r="AY41" i="1"/>
  <c r="BI124" i="1"/>
  <c r="BJ124" i="1"/>
  <c r="DG124" i="1" s="1"/>
  <c r="BI80" i="1"/>
  <c r="BE49" i="1"/>
  <c r="BI129" i="1"/>
  <c r="BJ129" i="1"/>
  <c r="AL11" i="1"/>
  <c r="AK11" i="1"/>
  <c r="AM11" i="1" s="1"/>
  <c r="BJ162" i="1"/>
  <c r="BG162" i="1"/>
  <c r="BJ141" i="1"/>
  <c r="DG141" i="1" s="1"/>
  <c r="BG141" i="1"/>
  <c r="BI163" i="1"/>
  <c r="BK163" i="1" s="1"/>
  <c r="BJ163" i="1"/>
  <c r="DG163" i="1" s="1"/>
  <c r="BG101" i="1"/>
  <c r="BJ101" i="1"/>
  <c r="AS86" i="1"/>
  <c r="AS155" i="1"/>
  <c r="AO155" i="1"/>
  <c r="BI161" i="1"/>
  <c r="BK161" i="1" s="1"/>
  <c r="BG61" i="1"/>
  <c r="BA29" i="1"/>
  <c r="BI29" i="1"/>
  <c r="BJ3" i="1"/>
  <c r="AS66" i="1"/>
  <c r="BT26" i="1"/>
  <c r="BZ26" i="1" s="1"/>
  <c r="BY26" i="1"/>
  <c r="BT44" i="1"/>
  <c r="BY44" i="1"/>
  <c r="BT59" i="1"/>
  <c r="BZ59" i="1" s="1"/>
  <c r="BY59" i="1"/>
  <c r="BT106" i="1"/>
  <c r="BZ106" i="1" s="1"/>
  <c r="BY106" i="1"/>
  <c r="BT114" i="1"/>
  <c r="BZ114" i="1" s="1"/>
  <c r="BY114" i="1"/>
  <c r="BT129" i="1"/>
  <c r="BZ129" i="1" s="1"/>
  <c r="BY129" i="1"/>
  <c r="BT137" i="1"/>
  <c r="BZ137" i="1" s="1"/>
  <c r="BY137" i="1"/>
  <c r="BT144" i="1"/>
  <c r="BZ144" i="1" s="1"/>
  <c r="BY144" i="1"/>
  <c r="BT161" i="1"/>
  <c r="BZ161" i="1" s="1"/>
  <c r="BY161" i="1"/>
  <c r="DG161" i="1" s="1"/>
  <c r="BT156" i="1"/>
  <c r="BZ156" i="1" s="1"/>
  <c r="BY156" i="1"/>
  <c r="BT13" i="1"/>
  <c r="BZ13" i="1" s="1"/>
  <c r="BY13" i="1"/>
  <c r="BT30" i="1"/>
  <c r="BZ30" i="1" s="1"/>
  <c r="BY30" i="1"/>
  <c r="BT104" i="1"/>
  <c r="BZ104" i="1" s="1"/>
  <c r="BT147" i="1"/>
  <c r="BZ147" i="1" s="1"/>
  <c r="BY147" i="1"/>
  <c r="BY205" i="1"/>
  <c r="DG205" i="1" s="1"/>
  <c r="AU199" i="1"/>
  <c r="DH199" i="1" s="1"/>
  <c r="BB133" i="1"/>
  <c r="DG133" i="1" s="1"/>
  <c r="AQ120" i="1"/>
  <c r="BE119" i="1"/>
  <c r="BJ27" i="1"/>
  <c r="BT7" i="1"/>
  <c r="BZ7" i="1" s="1"/>
  <c r="BY7" i="1"/>
  <c r="BT27" i="1"/>
  <c r="BY27" i="1"/>
  <c r="BZ60" i="1"/>
  <c r="BT65" i="1"/>
  <c r="BZ65" i="1" s="1"/>
  <c r="BY65" i="1"/>
  <c r="BT98" i="1"/>
  <c r="BZ98" i="1" s="1"/>
  <c r="BY98" i="1"/>
  <c r="BT115" i="1"/>
  <c r="BZ115" i="1" s="1"/>
  <c r="BY115" i="1"/>
  <c r="BT122" i="1"/>
  <c r="BY122" i="1"/>
  <c r="BT130" i="1"/>
  <c r="BZ130" i="1" s="1"/>
  <c r="BY130" i="1"/>
  <c r="BZ153" i="1"/>
  <c r="BT3" i="1"/>
  <c r="BZ3" i="1" s="1"/>
  <c r="BY3" i="1"/>
  <c r="BT25" i="1"/>
  <c r="BZ25" i="1" s="1"/>
  <c r="BY25" i="1"/>
  <c r="BT38" i="1"/>
  <c r="BZ38" i="1" s="1"/>
  <c r="BY38" i="1"/>
  <c r="BV182" i="1"/>
  <c r="BZ182" i="1" s="1"/>
  <c r="BY182" i="1"/>
  <c r="DG182" i="1" s="1"/>
  <c r="BZ295" i="1"/>
  <c r="DH295" i="1" s="1"/>
  <c r="BZ288" i="1"/>
  <c r="DH288" i="1" s="1"/>
  <c r="BZ284" i="1"/>
  <c r="DH284" i="1" s="1"/>
  <c r="BZ280" i="1"/>
  <c r="DH280" i="1" s="1"/>
  <c r="BX244" i="1"/>
  <c r="BZ244" i="1" s="1"/>
  <c r="AQ138" i="1"/>
  <c r="BG118" i="1"/>
  <c r="AO45" i="1"/>
  <c r="BE2" i="1"/>
  <c r="BT248" i="1"/>
  <c r="BZ248" i="1" s="1"/>
  <c r="BT238" i="1"/>
  <c r="BX238" i="1"/>
  <c r="BI28" i="1"/>
  <c r="BT8" i="1"/>
  <c r="BZ8" i="1" s="1"/>
  <c r="BY8" i="1"/>
  <c r="BT116" i="1"/>
  <c r="BZ116" i="1" s="1"/>
  <c r="BT146" i="1"/>
  <c r="BZ146" i="1" s="1"/>
  <c r="BY146" i="1"/>
  <c r="BT14" i="1"/>
  <c r="BZ14" i="1" s="1"/>
  <c r="BY14" i="1"/>
  <c r="BY170" i="1"/>
  <c r="DG170" i="1" s="1"/>
  <c r="BV207" i="1"/>
  <c r="BZ207" i="1" s="1"/>
  <c r="BZ291" i="1"/>
  <c r="DH291" i="1" s="1"/>
  <c r="BZ166" i="1"/>
  <c r="AL15" i="1"/>
  <c r="BZ108" i="1"/>
  <c r="AS153" i="1"/>
  <c r="AS88" i="1"/>
  <c r="AQ153" i="1"/>
  <c r="BG134" i="1"/>
  <c r="BG89" i="1"/>
  <c r="BT237" i="1"/>
  <c r="BX237" i="1"/>
  <c r="BT249" i="1"/>
  <c r="BX249" i="1"/>
  <c r="BT19" i="1"/>
  <c r="BZ19" i="1" s="1"/>
  <c r="BT40" i="1"/>
  <c r="BZ40" i="1" s="1"/>
  <c r="BY40" i="1"/>
  <c r="BT47" i="1"/>
  <c r="BZ47" i="1" s="1"/>
  <c r="BY47" i="1"/>
  <c r="BT55" i="1"/>
  <c r="BY55" i="1"/>
  <c r="BT92" i="1"/>
  <c r="BZ92" i="1" s="1"/>
  <c r="BY92" i="1"/>
  <c r="BT154" i="1"/>
  <c r="BZ154" i="1" s="1"/>
  <c r="BY154" i="1"/>
  <c r="BT173" i="1"/>
  <c r="BY173" i="1"/>
  <c r="DG173" i="1" s="1"/>
  <c r="BT201" i="1"/>
  <c r="BZ201" i="1" s="1"/>
  <c r="BY201" i="1"/>
  <c r="DG201" i="1" s="1"/>
  <c r="BZ205" i="1"/>
  <c r="BT21" i="1"/>
  <c r="BZ21" i="1" s="1"/>
  <c r="BY21" i="1"/>
  <c r="BY77" i="1"/>
  <c r="BV177" i="1"/>
  <c r="BZ177" i="1" s="1"/>
  <c r="BY177" i="1"/>
  <c r="DG177" i="1" s="1"/>
  <c r="BZ294" i="1"/>
  <c r="DH294" i="1" s="1"/>
  <c r="BZ287" i="1"/>
  <c r="DH287" i="1" s="1"/>
  <c r="BZ283" i="1"/>
  <c r="DH283" i="1" s="1"/>
  <c r="BX240" i="1"/>
  <c r="BZ240" i="1" s="1"/>
  <c r="BZ165" i="1"/>
  <c r="BZ148" i="1"/>
  <c r="BG151" i="1"/>
  <c r="BG96" i="1"/>
  <c r="BT32" i="1"/>
  <c r="BZ32" i="1" s="1"/>
  <c r="BY32" i="1"/>
  <c r="BZ41" i="1"/>
  <c r="BY41" i="1"/>
  <c r="BT62" i="1"/>
  <c r="BY62" i="1"/>
  <c r="BT86" i="1"/>
  <c r="BZ86" i="1" s="1"/>
  <c r="BY86" i="1"/>
  <c r="BT93" i="1"/>
  <c r="BZ93" i="1" s="1"/>
  <c r="BY93" i="1"/>
  <c r="BT101" i="1"/>
  <c r="BZ101" i="1" s="1"/>
  <c r="BY101" i="1"/>
  <c r="BT134" i="1"/>
  <c r="BZ134" i="1" s="1"/>
  <c r="BY134" i="1"/>
  <c r="BT155" i="1"/>
  <c r="BZ155" i="1" s="1"/>
  <c r="BY155" i="1"/>
  <c r="DG155" i="1" s="1"/>
  <c r="BT54" i="1"/>
  <c r="BZ54" i="1" s="1"/>
  <c r="BY54" i="1"/>
  <c r="BT68" i="1"/>
  <c r="BY68" i="1"/>
  <c r="BX236" i="1"/>
  <c r="BZ236" i="1" s="1"/>
  <c r="AU125" i="1"/>
  <c r="BI153" i="1"/>
  <c r="BJ148" i="1"/>
  <c r="DG148" i="1" s="1"/>
  <c r="BG25" i="1"/>
  <c r="BT235" i="1"/>
  <c r="BX235" i="1"/>
  <c r="BK47" i="1"/>
  <c r="BT48" i="1"/>
  <c r="BZ48" i="1" s="1"/>
  <c r="BY48" i="1"/>
  <c r="BT57" i="1"/>
  <c r="BZ57" i="1" s="1"/>
  <c r="BY57" i="1"/>
  <c r="BT79" i="1"/>
  <c r="BZ79" i="1" s="1"/>
  <c r="BY79" i="1"/>
  <c r="BT87" i="1"/>
  <c r="BZ87" i="1" s="1"/>
  <c r="BY87" i="1"/>
  <c r="BT94" i="1"/>
  <c r="BZ94" i="1" s="1"/>
  <c r="BY94" i="1"/>
  <c r="BT102" i="1"/>
  <c r="BZ102" i="1" s="1"/>
  <c r="BY102" i="1"/>
  <c r="BT110" i="1"/>
  <c r="BY110" i="1"/>
  <c r="BT119" i="1"/>
  <c r="BZ119" i="1" s="1"/>
  <c r="BY119" i="1"/>
  <c r="BT135" i="1"/>
  <c r="BZ135" i="1" s="1"/>
  <c r="BY135" i="1"/>
  <c r="BT142" i="1"/>
  <c r="BZ142" i="1" s="1"/>
  <c r="BY142" i="1"/>
  <c r="BT150" i="1"/>
  <c r="BZ150" i="1" s="1"/>
  <c r="BY150" i="1"/>
  <c r="BT167" i="1"/>
  <c r="BZ167" i="1" s="1"/>
  <c r="BY167" i="1"/>
  <c r="BT175" i="1"/>
  <c r="BZ175" i="1" s="1"/>
  <c r="BY175" i="1"/>
  <c r="BT22" i="1"/>
  <c r="BZ22" i="1" s="1"/>
  <c r="BY22" i="1"/>
  <c r="BY166" i="1"/>
  <c r="BV194" i="1"/>
  <c r="BZ194" i="1" s="1"/>
  <c r="BY194" i="1"/>
  <c r="DG194" i="1" s="1"/>
  <c r="AU194" i="1"/>
  <c r="DH194" i="1" s="1"/>
  <c r="BZ293" i="1"/>
  <c r="DH293" i="1" s="1"/>
  <c r="BZ286" i="1"/>
  <c r="DH286" i="1" s="1"/>
  <c r="BZ282" i="1"/>
  <c r="DH282" i="1" s="1"/>
  <c r="BR247" i="1"/>
  <c r="BT12" i="1"/>
  <c r="BZ12" i="1" s="1"/>
  <c r="BY12" i="1"/>
  <c r="DG12" i="1" s="1"/>
  <c r="BT23" i="1"/>
  <c r="BY23" i="1"/>
  <c r="BT34" i="1"/>
  <c r="BZ34" i="1" s="1"/>
  <c r="BY34" i="1"/>
  <c r="BT49" i="1"/>
  <c r="BZ49" i="1" s="1"/>
  <c r="BY49" i="1"/>
  <c r="BT58" i="1"/>
  <c r="BZ58" i="1" s="1"/>
  <c r="BY58" i="1"/>
  <c r="BT71" i="1"/>
  <c r="BZ71" i="1" s="1"/>
  <c r="BY71" i="1"/>
  <c r="BT95" i="1"/>
  <c r="BZ95" i="1" s="1"/>
  <c r="BY95" i="1"/>
  <c r="BT103" i="1"/>
  <c r="BZ103" i="1" s="1"/>
  <c r="BY103" i="1"/>
  <c r="BT127" i="1"/>
  <c r="BZ127" i="1" s="1"/>
  <c r="BY127" i="1"/>
  <c r="BT159" i="1"/>
  <c r="BZ159" i="1" s="1"/>
  <c r="BY159" i="1"/>
  <c r="DG159" i="1" s="1"/>
  <c r="BT168" i="1"/>
  <c r="BZ168" i="1" s="1"/>
  <c r="BY168" i="1"/>
  <c r="BT176" i="1"/>
  <c r="BZ176" i="1" s="1"/>
  <c r="BY176" i="1"/>
  <c r="DG176" i="1" s="1"/>
  <c r="BZ232" i="1"/>
  <c r="BZ6" i="1"/>
  <c r="BT29" i="1"/>
  <c r="BZ29" i="1" s="1"/>
  <c r="BY29" i="1"/>
  <c r="BT132" i="1"/>
  <c r="BZ132" i="1" s="1"/>
  <c r="BY132" i="1"/>
  <c r="BV180" i="1"/>
  <c r="BZ180" i="1" s="1"/>
  <c r="BY180" i="1"/>
  <c r="DG180" i="1" s="1"/>
  <c r="BZ278" i="1"/>
  <c r="DH278" i="1" s="1"/>
  <c r="BB85" i="1"/>
  <c r="BJ105" i="1"/>
  <c r="BG145" i="1"/>
  <c r="BE62" i="1"/>
  <c r="BT242" i="1"/>
  <c r="BX242" i="1"/>
  <c r="AY33" i="1"/>
  <c r="BT4" i="1"/>
  <c r="BZ4" i="1" s="1"/>
  <c r="BY4" i="1"/>
  <c r="BT15" i="1"/>
  <c r="BZ15" i="1" s="1"/>
  <c r="BY15" i="1"/>
  <c r="BT50" i="1"/>
  <c r="BZ50" i="1" s="1"/>
  <c r="BY50" i="1"/>
  <c r="BT81" i="1"/>
  <c r="BZ81" i="1" s="1"/>
  <c r="BY81" i="1"/>
  <c r="BT88" i="1"/>
  <c r="BZ88" i="1" s="1"/>
  <c r="BY88" i="1"/>
  <c r="BT105" i="1"/>
  <c r="BZ105" i="1" s="1"/>
  <c r="BY105" i="1"/>
  <c r="BT128" i="1"/>
  <c r="BZ128" i="1" s="1"/>
  <c r="BY128" i="1"/>
  <c r="BT169" i="1"/>
  <c r="BZ169" i="1" s="1"/>
  <c r="BY169" i="1"/>
  <c r="BT179" i="1"/>
  <c r="BZ179" i="1" s="1"/>
  <c r="BY179" i="1"/>
  <c r="DG179" i="1" s="1"/>
  <c r="BZ209" i="1"/>
  <c r="BV204" i="1"/>
  <c r="BZ204" i="1" s="1"/>
  <c r="BY204" i="1"/>
  <c r="DG204" i="1" s="1"/>
  <c r="AU247" i="1"/>
  <c r="DH247" i="1" s="1"/>
  <c r="BZ296" i="1"/>
  <c r="DH296" i="1" s="1"/>
  <c r="BZ289" i="1"/>
  <c r="DH289" i="1" s="1"/>
  <c r="BZ285" i="1"/>
  <c r="DH285" i="1" s="1"/>
  <c r="BZ281" i="1"/>
  <c r="DH281" i="1" s="1"/>
  <c r="BI131" i="1"/>
  <c r="BJ131" i="1"/>
  <c r="BT70" i="1"/>
  <c r="BZ70" i="1" s="1"/>
  <c r="BV164" i="1"/>
  <c r="BZ164" i="1" s="1"/>
  <c r="BV184" i="1"/>
  <c r="BJ47" i="1"/>
  <c r="BB47" i="1"/>
  <c r="BA47" i="1"/>
  <c r="BC47" i="1" s="1"/>
  <c r="BJ93" i="1"/>
  <c r="BE93" i="1"/>
  <c r="BV122" i="1"/>
  <c r="AK26" i="1"/>
  <c r="AM26" i="1" s="1"/>
  <c r="AL26" i="1"/>
  <c r="BV68" i="1"/>
  <c r="BV117" i="1"/>
  <c r="BZ117" i="1" s="1"/>
  <c r="BV158" i="1"/>
  <c r="AQ49" i="1"/>
  <c r="AY9" i="1"/>
  <c r="BT138" i="1"/>
  <c r="BT145" i="1"/>
  <c r="BZ145" i="1" s="1"/>
  <c r="BV55" i="1"/>
  <c r="BV109" i="1"/>
  <c r="BZ109" i="1" s="1"/>
  <c r="BG52" i="1"/>
  <c r="BT197" i="1"/>
  <c r="BV18" i="1"/>
  <c r="D25" i="7"/>
  <c r="AW17" i="1"/>
  <c r="AS37" i="1"/>
  <c r="BT9" i="1"/>
  <c r="BZ9" i="1" s="1"/>
  <c r="D24" i="7"/>
  <c r="BT31" i="1"/>
  <c r="BZ31" i="1" s="1"/>
  <c r="BT85" i="1"/>
  <c r="BT133" i="1"/>
  <c r="BE33" i="1"/>
  <c r="BJ33" i="1"/>
  <c r="BT10" i="1"/>
  <c r="BZ10" i="1" s="1"/>
  <c r="BT69" i="1"/>
  <c r="BZ69" i="1" s="1"/>
  <c r="BT78" i="1"/>
  <c r="BZ78" i="1" s="1"/>
  <c r="BT139" i="1"/>
  <c r="BZ139" i="1" s="1"/>
  <c r="BT18" i="1"/>
  <c r="BV23" i="1"/>
  <c r="BV62" i="1"/>
  <c r="BT118" i="1"/>
  <c r="BZ118" i="1" s="1"/>
  <c r="AW55" i="1"/>
  <c r="BB55" i="1"/>
  <c r="BT126" i="1"/>
  <c r="BT198" i="1"/>
  <c r="BV44" i="1"/>
  <c r="BV96" i="1"/>
  <c r="BZ96" i="1" s="1"/>
  <c r="BV110" i="1"/>
  <c r="AW3" i="1"/>
  <c r="BB3" i="1"/>
  <c r="BB33" i="1"/>
  <c r="AW33" i="1"/>
  <c r="BT111" i="1"/>
  <c r="BZ111" i="1" s="1"/>
  <c r="BJ165" i="1"/>
  <c r="DG165" i="1" s="1"/>
  <c r="BI165" i="1"/>
  <c r="BK165" i="1" s="1"/>
  <c r="BJ146" i="1"/>
  <c r="DG146" i="1" s="1"/>
  <c r="BG146" i="1"/>
  <c r="BT97" i="1"/>
  <c r="BZ97" i="1" s="1"/>
  <c r="BT113" i="1"/>
  <c r="BZ113" i="1" s="1"/>
  <c r="BT151" i="1"/>
  <c r="BZ151" i="1" s="1"/>
  <c r="BT174" i="1"/>
  <c r="BV141" i="1"/>
  <c r="BA2" i="1"/>
  <c r="BT52" i="1"/>
  <c r="BZ52" i="1" s="1"/>
  <c r="BT90" i="1"/>
  <c r="BZ90" i="1" s="1"/>
  <c r="BV27" i="1"/>
  <c r="BV33" i="1"/>
  <c r="BV206" i="1"/>
  <c r="BV171" i="1"/>
  <c r="BZ171" i="1" s="1"/>
  <c r="BT28" i="1"/>
  <c r="BT39" i="1"/>
  <c r="BZ39" i="1" s="1"/>
  <c r="BT46" i="1"/>
  <c r="BZ46" i="1" s="1"/>
  <c r="BT84" i="1"/>
  <c r="BZ84" i="1" s="1"/>
  <c r="BT91" i="1"/>
  <c r="BV77" i="1"/>
  <c r="BZ77" i="1" s="1"/>
  <c r="BT170" i="1"/>
  <c r="BV183" i="1"/>
  <c r="BZ183" i="1" s="1"/>
  <c r="BV199" i="1"/>
  <c r="BZ199" i="1" s="1"/>
  <c r="AW88" i="1"/>
  <c r="BJ154" i="1"/>
  <c r="AW6" i="1"/>
  <c r="AW23" i="1"/>
  <c r="BI93" i="1"/>
  <c r="BJ65" i="1"/>
  <c r="BE103" i="1"/>
  <c r="BI169" i="1"/>
  <c r="BJ169" i="1"/>
  <c r="DG169" i="1" s="1"/>
  <c r="BE100" i="1"/>
  <c r="BE89" i="1"/>
  <c r="BJ89" i="1"/>
  <c r="AX78" i="1"/>
  <c r="BF78" i="1"/>
  <c r="BJ164" i="1"/>
  <c r="DG164" i="1" s="1"/>
  <c r="BI164" i="1"/>
  <c r="BK164" i="1" s="1"/>
  <c r="BJ149" i="1"/>
  <c r="DG149" i="1" s="1"/>
  <c r="BI149" i="1"/>
  <c r="BE82" i="1"/>
  <c r="AY113" i="1"/>
  <c r="BE5" i="1"/>
  <c r="BE70" i="1"/>
  <c r="AY77" i="1"/>
  <c r="AQ70" i="1"/>
  <c r="AQ2" i="1"/>
  <c r="AQ130" i="1"/>
  <c r="AO130" i="1"/>
  <c r="BI130" i="1"/>
  <c r="AT93" i="1"/>
  <c r="DG93" i="1" s="1"/>
  <c r="AS93" i="1"/>
  <c r="AX44" i="1"/>
  <c r="AY44" i="1" s="1"/>
  <c r="BF44" i="1"/>
  <c r="AO7" i="1"/>
  <c r="BJ125" i="1"/>
  <c r="DG125" i="1" s="1"/>
  <c r="BG125" i="1"/>
  <c r="BD4" i="1"/>
  <c r="AV4" i="1"/>
  <c r="AN4" i="1"/>
  <c r="BG53" i="1"/>
  <c r="BA53" i="1"/>
  <c r="AO53" i="1"/>
  <c r="BI53" i="1"/>
  <c r="BE53" i="1"/>
  <c r="AY53" i="1"/>
  <c r="AQ53" i="1"/>
  <c r="BB66" i="1"/>
  <c r="AY66" i="1"/>
  <c r="BT80" i="1"/>
  <c r="BZ80" i="1" s="1"/>
  <c r="BT149" i="1"/>
  <c r="BV173" i="1"/>
  <c r="AW20" i="1"/>
  <c r="AS96" i="1"/>
  <c r="AO50" i="1"/>
  <c r="BA50" i="1"/>
  <c r="AL23" i="1"/>
  <c r="AK23" i="1"/>
  <c r="AS161" i="1"/>
  <c r="AO161" i="1"/>
  <c r="AQ161" i="1"/>
  <c r="AS75" i="1"/>
  <c r="AO75" i="1"/>
  <c r="AQ75" i="1"/>
  <c r="BA75" i="1"/>
  <c r="AO40" i="1"/>
  <c r="AS26" i="1"/>
  <c r="BI26" i="1"/>
  <c r="AS13" i="1"/>
  <c r="BH117" i="1"/>
  <c r="BJ117" i="1" s="1"/>
  <c r="AZ117" i="1"/>
  <c r="AO154" i="1"/>
  <c r="BI154" i="1"/>
  <c r="AQ154" i="1"/>
  <c r="BJ132" i="1"/>
  <c r="DG132" i="1" s="1"/>
  <c r="BG132" i="1"/>
  <c r="BE115" i="1"/>
  <c r="AQ68" i="1"/>
  <c r="AS68" i="1"/>
  <c r="BH121" i="1"/>
  <c r="BJ121" i="1" s="1"/>
  <c r="AZ121" i="1"/>
  <c r="AO34" i="1"/>
  <c r="BF116" i="1"/>
  <c r="BJ116" i="1" s="1"/>
  <c r="AX116" i="1"/>
  <c r="AO120" i="1"/>
  <c r="BJ143" i="1"/>
  <c r="DG143" i="1" s="1"/>
  <c r="AQ124" i="1"/>
  <c r="AS102" i="1"/>
  <c r="BG6" i="1"/>
  <c r="AO10" i="1"/>
  <c r="AP80" i="1"/>
  <c r="AX80" i="1"/>
  <c r="AP40" i="1"/>
  <c r="AT40" i="1" s="1"/>
  <c r="AX40" i="1"/>
  <c r="BJ106" i="1"/>
  <c r="AX76" i="1"/>
  <c r="BF76" i="1"/>
  <c r="AP76" i="1"/>
  <c r="BH97" i="1"/>
  <c r="AZ97" i="1"/>
  <c r="BJ142" i="1"/>
  <c r="DG142" i="1" s="1"/>
  <c r="BF9" i="1"/>
  <c r="AP9" i="1"/>
  <c r="AQ116" i="1"/>
  <c r="BE121" i="1"/>
  <c r="BH104" i="1"/>
  <c r="AV84" i="1"/>
  <c r="AX43" i="1"/>
  <c r="AO94" i="1"/>
  <c r="AS121" i="1"/>
  <c r="AX73" i="1"/>
  <c r="AZ73" i="1"/>
  <c r="BA73" i="1" s="1"/>
  <c r="AR73" i="1"/>
  <c r="DG53" i="1" l="1"/>
  <c r="DG6" i="1"/>
  <c r="DG27" i="1"/>
  <c r="DH240" i="1"/>
  <c r="DH47" i="1"/>
  <c r="DG118" i="1"/>
  <c r="DH180" i="1"/>
  <c r="DH232" i="1"/>
  <c r="DI232" i="1" s="1"/>
  <c r="DG122" i="1"/>
  <c r="DH248" i="1"/>
  <c r="DH234" i="1"/>
  <c r="DH243" i="1"/>
  <c r="DG140" i="1"/>
  <c r="DG138" i="1"/>
  <c r="DH178" i="1"/>
  <c r="DH181" i="1"/>
  <c r="DI181" i="1" s="1"/>
  <c r="DH183" i="1"/>
  <c r="DH203" i="1"/>
  <c r="DH244" i="1"/>
  <c r="DH204" i="1"/>
  <c r="DH250" i="1"/>
  <c r="DG150" i="1"/>
  <c r="DH207" i="1"/>
  <c r="DH246" i="1"/>
  <c r="DI246" i="1" s="1"/>
  <c r="DG162" i="1"/>
  <c r="DH171" i="1"/>
  <c r="DG3" i="1"/>
  <c r="DG29" i="1"/>
  <c r="DH176" i="1"/>
  <c r="DH179" i="1"/>
  <c r="DI179" i="1" s="1"/>
  <c r="DH201" i="1"/>
  <c r="DH241" i="1"/>
  <c r="DI241" i="1" s="1"/>
  <c r="DG90" i="1"/>
  <c r="DH229" i="1"/>
  <c r="DH236" i="1"/>
  <c r="DH252" i="1"/>
  <c r="DH230" i="1"/>
  <c r="DG154" i="1"/>
  <c r="DG131" i="1"/>
  <c r="DG129" i="1"/>
  <c r="DG147" i="1"/>
  <c r="DG87" i="1"/>
  <c r="DG134" i="1"/>
  <c r="DG83" i="1"/>
  <c r="DG157" i="1"/>
  <c r="DG130" i="1"/>
  <c r="DG145" i="1"/>
  <c r="DG152" i="1"/>
  <c r="DG139" i="1"/>
  <c r="DG114" i="1"/>
  <c r="DG33" i="1"/>
  <c r="DG47" i="1"/>
  <c r="DG55" i="1"/>
  <c r="DG144" i="1"/>
  <c r="DG167" i="1"/>
  <c r="DG66" i="1"/>
  <c r="DG153" i="1"/>
  <c r="DG101" i="1"/>
  <c r="DG137" i="1"/>
  <c r="DG175" i="1"/>
  <c r="DG160" i="1"/>
  <c r="DG119" i="1"/>
  <c r="DG28" i="1"/>
  <c r="DG166" i="1"/>
  <c r="DG168" i="1"/>
  <c r="DG156" i="1"/>
  <c r="DG79" i="1"/>
  <c r="J2" i="12"/>
  <c r="AU83" i="1"/>
  <c r="DI200" i="1"/>
  <c r="DI204" i="1"/>
  <c r="DI247" i="1"/>
  <c r="DI178" i="1"/>
  <c r="DI234" i="1"/>
  <c r="DI171" i="1"/>
  <c r="DI182" i="1"/>
  <c r="DI175" i="1"/>
  <c r="DI172" i="1"/>
  <c r="AU93" i="1"/>
  <c r="DI177" i="1"/>
  <c r="DI183" i="1"/>
  <c r="DI248" i="1"/>
  <c r="DI243" i="1"/>
  <c r="AW42" i="1"/>
  <c r="BC42" i="1" s="1"/>
  <c r="DI180" i="1"/>
  <c r="DI240" i="1"/>
  <c r="DI207" i="1"/>
  <c r="DI236" i="1"/>
  <c r="DI199" i="1"/>
  <c r="DI201" i="1"/>
  <c r="DI176" i="1"/>
  <c r="DI281" i="1"/>
  <c r="DI285" i="1"/>
  <c r="DI289" i="1"/>
  <c r="DI296" i="1"/>
  <c r="DI278" i="1"/>
  <c r="DI282" i="1"/>
  <c r="DI286" i="1"/>
  <c r="DI293" i="1"/>
  <c r="DI194" i="1"/>
  <c r="DI283" i="1"/>
  <c r="DI287" i="1"/>
  <c r="DI294" i="1"/>
  <c r="DI47" i="1"/>
  <c r="DI291" i="1"/>
  <c r="DI280" i="1"/>
  <c r="DI284" i="1"/>
  <c r="DI288" i="1"/>
  <c r="DI295" i="1"/>
  <c r="DI231" i="1"/>
  <c r="DI202" i="1"/>
  <c r="DI229" i="1"/>
  <c r="DI233" i="1"/>
  <c r="DI252" i="1"/>
  <c r="DI195" i="1"/>
  <c r="DI203" i="1"/>
  <c r="DI250" i="1"/>
  <c r="DI196" i="1"/>
  <c r="DI230" i="1"/>
  <c r="AS49" i="1"/>
  <c r="AU49" i="1" s="1"/>
  <c r="AU92" i="1"/>
  <c r="BC92" i="1"/>
  <c r="AT60" i="1"/>
  <c r="BC90" i="1"/>
  <c r="AU144" i="1"/>
  <c r="AK24" i="1"/>
  <c r="AM24" i="1" s="1"/>
  <c r="BG70" i="1"/>
  <c r="BK70" i="1" s="1"/>
  <c r="AU109" i="1"/>
  <c r="AT15" i="1"/>
  <c r="BI15" i="1"/>
  <c r="BK15" i="1" s="1"/>
  <c r="AU74" i="1"/>
  <c r="AT59" i="1"/>
  <c r="AU10" i="1"/>
  <c r="DH10" i="1" s="1"/>
  <c r="AU105" i="1"/>
  <c r="AU166" i="1"/>
  <c r="BI114" i="1"/>
  <c r="BK114" i="1" s="1"/>
  <c r="AU113" i="1"/>
  <c r="BC113" i="1"/>
  <c r="AU106" i="1"/>
  <c r="AU86" i="1"/>
  <c r="AK25" i="1"/>
  <c r="AM25" i="1" s="1"/>
  <c r="BA79" i="1"/>
  <c r="BC79" i="1" s="1"/>
  <c r="AU61" i="1"/>
  <c r="AU160" i="1"/>
  <c r="AS52" i="1"/>
  <c r="AU52" i="1" s="1"/>
  <c r="BB38" i="1"/>
  <c r="AU46" i="1"/>
  <c r="AU103" i="1"/>
  <c r="BJ56" i="1"/>
  <c r="BB108" i="1"/>
  <c r="DG108" i="1" s="1"/>
  <c r="BJ42" i="1"/>
  <c r="BK118" i="1"/>
  <c r="BC106" i="1"/>
  <c r="BB105" i="1"/>
  <c r="DG105" i="1" s="1"/>
  <c r="BB70" i="1"/>
  <c r="AU132" i="1"/>
  <c r="AU136" i="1"/>
  <c r="BI58" i="1"/>
  <c r="BK58" i="1" s="1"/>
  <c r="AK7" i="1"/>
  <c r="AM7" i="1" s="1"/>
  <c r="BJ50" i="1"/>
  <c r="AU81" i="1"/>
  <c r="BI92" i="1"/>
  <c r="BK92" i="1" s="1"/>
  <c r="BB49" i="1"/>
  <c r="BB2" i="1"/>
  <c r="AU159" i="1"/>
  <c r="DH159" i="1" s="1"/>
  <c r="BB7" i="1"/>
  <c r="BB58" i="1"/>
  <c r="BB89" i="1"/>
  <c r="DG89" i="1" s="1"/>
  <c r="BB50" i="1"/>
  <c r="BK136" i="1"/>
  <c r="AU168" i="1"/>
  <c r="DH168" i="1" s="1"/>
  <c r="BJ2" i="1"/>
  <c r="BJ23" i="1"/>
  <c r="AU15" i="1"/>
  <c r="AQ26" i="1"/>
  <c r="AU26" i="1" s="1"/>
  <c r="BB41" i="1"/>
  <c r="AU110" i="1"/>
  <c r="BJ40" i="1"/>
  <c r="AU31" i="1"/>
  <c r="BK84" i="1"/>
  <c r="AK9" i="1"/>
  <c r="AM9" i="1" s="1"/>
  <c r="BJ24" i="1"/>
  <c r="BJ100" i="1"/>
  <c r="DG100" i="1" s="1"/>
  <c r="BB81" i="1"/>
  <c r="DG81" i="1" s="1"/>
  <c r="BE39" i="1"/>
  <c r="BK39" i="1" s="1"/>
  <c r="AU145" i="1"/>
  <c r="AY58" i="1"/>
  <c r="BC58" i="1" s="1"/>
  <c r="BK148" i="1"/>
  <c r="BE80" i="1"/>
  <c r="BK80" i="1" s="1"/>
  <c r="BK167" i="1"/>
  <c r="AU79" i="1"/>
  <c r="AU102" i="1"/>
  <c r="AU121" i="1"/>
  <c r="AU91" i="1"/>
  <c r="AU152" i="1"/>
  <c r="AU118" i="1"/>
  <c r="BJ18" i="1"/>
  <c r="BB9" i="1"/>
  <c r="AW9" i="1"/>
  <c r="BC9" i="1" s="1"/>
  <c r="BK50" i="1"/>
  <c r="AK45" i="1"/>
  <c r="AM45" i="1" s="1"/>
  <c r="AT65" i="1"/>
  <c r="BC109" i="1"/>
  <c r="BJ59" i="1"/>
  <c r="AU129" i="1"/>
  <c r="BJ62" i="1"/>
  <c r="BJ85" i="1"/>
  <c r="BB60" i="1"/>
  <c r="DI208" i="1"/>
  <c r="AY49" i="1"/>
  <c r="BC49" i="1" s="1"/>
  <c r="AU60" i="1"/>
  <c r="BK74" i="1"/>
  <c r="AU96" i="1"/>
  <c r="BJ95" i="1"/>
  <c r="BA119" i="1"/>
  <c r="BC119" i="1" s="1"/>
  <c r="BE18" i="1"/>
  <c r="BK18" i="1" s="1"/>
  <c r="BK152" i="1"/>
  <c r="BC83" i="1"/>
  <c r="AT42" i="1"/>
  <c r="DG42" i="1" s="1"/>
  <c r="BJ45" i="1"/>
  <c r="BB116" i="1"/>
  <c r="DG116" i="1" s="1"/>
  <c r="BG23" i="1"/>
  <c r="BK23" i="1" s="1"/>
  <c r="AU142" i="1"/>
  <c r="DH142" i="1" s="1"/>
  <c r="BK126" i="1"/>
  <c r="AY81" i="1"/>
  <c r="BC81" i="1" s="1"/>
  <c r="BJ86" i="1"/>
  <c r="AU167" i="1"/>
  <c r="DH167" i="1" s="1"/>
  <c r="BJ52" i="1"/>
  <c r="BI122" i="1"/>
  <c r="BK122" i="1" s="1"/>
  <c r="AK13" i="1"/>
  <c r="AM13" i="1" s="1"/>
  <c r="BG79" i="1"/>
  <c r="BK79" i="1" s="1"/>
  <c r="AS71" i="1"/>
  <c r="AU71" i="1" s="1"/>
  <c r="AU165" i="1"/>
  <c r="DH165" i="1" s="1"/>
  <c r="BC74" i="1"/>
  <c r="BJ84" i="1"/>
  <c r="BB15" i="1"/>
  <c r="DI244" i="1"/>
  <c r="BJ74" i="1"/>
  <c r="AT99" i="1"/>
  <c r="AU141" i="1"/>
  <c r="BB18" i="1"/>
  <c r="BB45" i="1"/>
  <c r="AU67" i="1"/>
  <c r="AU150" i="1"/>
  <c r="DI209" i="1"/>
  <c r="BJ36" i="1"/>
  <c r="AO17" i="1"/>
  <c r="AU17" i="1" s="1"/>
  <c r="BI133" i="1"/>
  <c r="BK133" i="1" s="1"/>
  <c r="BJ30" i="1"/>
  <c r="BC27" i="1"/>
  <c r="BB115" i="1"/>
  <c r="BB35" i="1"/>
  <c r="AT70" i="1"/>
  <c r="DG70" i="1" s="1"/>
  <c r="BB102" i="1"/>
  <c r="BI45" i="1"/>
  <c r="BK45" i="1" s="1"/>
  <c r="AT57" i="1"/>
  <c r="BB135" i="1"/>
  <c r="DG135" i="1" s="1"/>
  <c r="AS84" i="1"/>
  <c r="AU84" i="1" s="1"/>
  <c r="AU57" i="1"/>
  <c r="AU56" i="1"/>
  <c r="AU19" i="1"/>
  <c r="DH19" i="1" s="1"/>
  <c r="AU123" i="1"/>
  <c r="AU64" i="1"/>
  <c r="BC5" i="1"/>
  <c r="BC64" i="1"/>
  <c r="BB109" i="1"/>
  <c r="DG109" i="1" s="1"/>
  <c r="BI56" i="1"/>
  <c r="BK56" i="1" s="1"/>
  <c r="BB110" i="1"/>
  <c r="DG110" i="1" s="1"/>
  <c r="BJ64" i="1"/>
  <c r="AU18" i="1"/>
  <c r="AK22" i="1"/>
  <c r="AM22" i="1" s="1"/>
  <c r="AT72" i="1"/>
  <c r="AU143" i="1"/>
  <c r="BJ34" i="1"/>
  <c r="BI42" i="1"/>
  <c r="BK42" i="1" s="1"/>
  <c r="BB92" i="1"/>
  <c r="DG92" i="1" s="1"/>
  <c r="AU164" i="1"/>
  <c r="DH164" i="1" s="1"/>
  <c r="AU126" i="1"/>
  <c r="Z34" i="4"/>
  <c r="AU157" i="1"/>
  <c r="BC37" i="1"/>
  <c r="DI205" i="1"/>
  <c r="AU128" i="1"/>
  <c r="BJ13" i="1"/>
  <c r="AU34" i="1"/>
  <c r="BA60" i="1"/>
  <c r="BC60" i="1" s="1"/>
  <c r="BA137" i="1"/>
  <c r="BC137" i="1" s="1"/>
  <c r="BB82" i="1"/>
  <c r="BK119" i="1"/>
  <c r="BK94" i="1"/>
  <c r="BC52" i="1"/>
  <c r="BK46" i="1"/>
  <c r="BK132" i="1"/>
  <c r="AT18" i="1"/>
  <c r="DG18" i="1" s="1"/>
  <c r="AU88" i="1"/>
  <c r="AU139" i="1"/>
  <c r="AA34" i="4"/>
  <c r="AS95" i="1"/>
  <c r="AU95" i="1" s="1"/>
  <c r="BK139" i="1"/>
  <c r="AK5" i="1"/>
  <c r="AM5" i="1" s="1"/>
  <c r="BK22" i="1"/>
  <c r="AU146" i="1"/>
  <c r="BJ22" i="1"/>
  <c r="AU36" i="1"/>
  <c r="DH36" i="1" s="1"/>
  <c r="BB30" i="1"/>
  <c r="BK123" i="1"/>
  <c r="AU147" i="1"/>
  <c r="AU77" i="1"/>
  <c r="AU98" i="1"/>
  <c r="AU41" i="1"/>
  <c r="O34" i="4"/>
  <c r="BK24" i="1"/>
  <c r="BK138" i="1"/>
  <c r="BI81" i="1"/>
  <c r="BK81" i="1" s="1"/>
  <c r="AQ7" i="1"/>
  <c r="AU7" i="1" s="1"/>
  <c r="BA30" i="1"/>
  <c r="BC30" i="1" s="1"/>
  <c r="BK57" i="1"/>
  <c r="BC45" i="1"/>
  <c r="AY108" i="1"/>
  <c r="BC108" i="1" s="1"/>
  <c r="BK143" i="1"/>
  <c r="BA101" i="1"/>
  <c r="BC101" i="1" s="1"/>
  <c r="BJ88" i="1"/>
  <c r="DG88" i="1" s="1"/>
  <c r="BE34" i="1"/>
  <c r="BK34" i="1" s="1"/>
  <c r="BB39" i="1"/>
  <c r="BC87" i="1"/>
  <c r="BJ71" i="1"/>
  <c r="AT35" i="1"/>
  <c r="DG35" i="1" s="1"/>
  <c r="BJ43" i="1"/>
  <c r="AT36" i="1"/>
  <c r="AU140" i="1"/>
  <c r="AU156" i="1"/>
  <c r="BJ48" i="1"/>
  <c r="BB69" i="1"/>
  <c r="BC98" i="1"/>
  <c r="BK140" i="1"/>
  <c r="BK41" i="1"/>
  <c r="BK31" i="1"/>
  <c r="BI85" i="1"/>
  <c r="BK85" i="1" s="1"/>
  <c r="BB64" i="1"/>
  <c r="DG64" i="1" s="1"/>
  <c r="BK109" i="1"/>
  <c r="AU72" i="1"/>
  <c r="BJ35" i="1"/>
  <c r="AU22" i="1"/>
  <c r="BB106" i="1"/>
  <c r="DG106" i="1" s="1"/>
  <c r="BJ72" i="1"/>
  <c r="BK52" i="1"/>
  <c r="BK72" i="1"/>
  <c r="AT46" i="1"/>
  <c r="AT25" i="1"/>
  <c r="AT13" i="1"/>
  <c r="BB98" i="1"/>
  <c r="DG98" i="1" s="1"/>
  <c r="BE35" i="1"/>
  <c r="BK35" i="1" s="1"/>
  <c r="AU5" i="1"/>
  <c r="AU169" i="1"/>
  <c r="AU137" i="1"/>
  <c r="BJ31" i="1"/>
  <c r="BK36" i="1"/>
  <c r="AU97" i="1"/>
  <c r="BK20" i="1"/>
  <c r="AU23" i="1"/>
  <c r="BJ14" i="1"/>
  <c r="BJ11" i="1"/>
  <c r="BC95" i="1"/>
  <c r="AU43" i="1"/>
  <c r="BC100" i="1"/>
  <c r="AT11" i="1"/>
  <c r="BB65" i="1"/>
  <c r="AU12" i="1"/>
  <c r="DH12" i="1" s="1"/>
  <c r="AU78" i="1"/>
  <c r="BK63" i="1"/>
  <c r="AT41" i="1"/>
  <c r="BC72" i="1"/>
  <c r="BJ7" i="1"/>
  <c r="DG7" i="1" s="1"/>
  <c r="BK38" i="1"/>
  <c r="AW7" i="1"/>
  <c r="BC7" i="1" s="1"/>
  <c r="BC86" i="1"/>
  <c r="BC57" i="1"/>
  <c r="BC11" i="1"/>
  <c r="BB23" i="1"/>
  <c r="BK142" i="1"/>
  <c r="BC22" i="1"/>
  <c r="BC36" i="1"/>
  <c r="BJ41" i="1"/>
  <c r="BK83" i="1"/>
  <c r="BK141" i="1"/>
  <c r="BJ38" i="1"/>
  <c r="AU62" i="1"/>
  <c r="BB74" i="1"/>
  <c r="DG74" i="1" s="1"/>
  <c r="BK95" i="1"/>
  <c r="BB37" i="1"/>
  <c r="BB36" i="1"/>
  <c r="AL2" i="1"/>
  <c r="BC70" i="1"/>
  <c r="BB59" i="1"/>
  <c r="BK120" i="1"/>
  <c r="AU48" i="1"/>
  <c r="BK130" i="1"/>
  <c r="BC68" i="1"/>
  <c r="BB22" i="1"/>
  <c r="AY114" i="1"/>
  <c r="BC114" i="1" s="1"/>
  <c r="BE7" i="1"/>
  <c r="BK7" i="1" s="1"/>
  <c r="BB123" i="1"/>
  <c r="DG123" i="1" s="1"/>
  <c r="BJ5" i="1"/>
  <c r="BC89" i="1"/>
  <c r="BK55" i="1"/>
  <c r="AU20" i="1"/>
  <c r="BB13" i="1"/>
  <c r="AS50" i="1"/>
  <c r="AU50" i="1" s="1"/>
  <c r="DH50" i="1" s="1"/>
  <c r="AU29" i="1"/>
  <c r="AU127" i="1"/>
  <c r="BC46" i="1"/>
  <c r="BJ46" i="1"/>
  <c r="BC55" i="1"/>
  <c r="BK3" i="1"/>
  <c r="AU101" i="1"/>
  <c r="DH101" i="1" s="1"/>
  <c r="BC48" i="1"/>
  <c r="AU114" i="1"/>
  <c r="AU51" i="1"/>
  <c r="AT45" i="1"/>
  <c r="DG45" i="1" s="1"/>
  <c r="AU65" i="1"/>
  <c r="AU117" i="1"/>
  <c r="AU107" i="1"/>
  <c r="AU119" i="1"/>
  <c r="DH119" i="1" s="1"/>
  <c r="BK43" i="1"/>
  <c r="AU45" i="1"/>
  <c r="AT56" i="1"/>
  <c r="BB72" i="1"/>
  <c r="BG110" i="1"/>
  <c r="BK110" i="1" s="1"/>
  <c r="BC24" i="1"/>
  <c r="AT43" i="1"/>
  <c r="BJ61" i="1"/>
  <c r="AK38" i="1"/>
  <c r="AM38" i="1" s="1"/>
  <c r="DH38" i="1" s="1"/>
  <c r="BC28" i="1"/>
  <c r="BK11" i="1"/>
  <c r="AT24" i="1"/>
  <c r="DG24" i="1" s="1"/>
  <c r="AK18" i="1"/>
  <c r="AM18" i="1" s="1"/>
  <c r="BJ60" i="1"/>
  <c r="AO21" i="1"/>
  <c r="AU21" i="1" s="1"/>
  <c r="BC39" i="1"/>
  <c r="BK129" i="1"/>
  <c r="BK60" i="1"/>
  <c r="BK99" i="1"/>
  <c r="BJ49" i="1"/>
  <c r="AT22" i="1"/>
  <c r="AW65" i="1"/>
  <c r="BC65" i="1" s="1"/>
  <c r="AU33" i="1"/>
  <c r="AT23" i="1"/>
  <c r="AU70" i="1"/>
  <c r="DH70" i="1" s="1"/>
  <c r="AS25" i="1"/>
  <c r="AU25" i="1" s="1"/>
  <c r="BC107" i="1"/>
  <c r="BB99" i="1"/>
  <c r="AU153" i="1"/>
  <c r="BC99" i="1"/>
  <c r="AQ24" i="1"/>
  <c r="AU24" i="1" s="1"/>
  <c r="BK113" i="1"/>
  <c r="AU16" i="1"/>
  <c r="BJ113" i="1"/>
  <c r="DG113" i="1" s="1"/>
  <c r="BK48" i="1"/>
  <c r="BE40" i="1"/>
  <c r="BK40" i="1" s="1"/>
  <c r="AK21" i="1"/>
  <c r="AM21" i="1" s="1"/>
  <c r="AU55" i="1"/>
  <c r="BC18" i="1"/>
  <c r="AU99" i="1"/>
  <c r="DH99" i="1" s="1"/>
  <c r="AU104" i="1"/>
  <c r="BB24" i="1"/>
  <c r="BK157" i="1"/>
  <c r="BK103" i="1"/>
  <c r="BI2" i="1"/>
  <c r="BK2" i="1" s="1"/>
  <c r="AT16" i="1"/>
  <c r="AU58" i="1"/>
  <c r="BK106" i="1"/>
  <c r="BZ239" i="1"/>
  <c r="DH239" i="1" s="1"/>
  <c r="BC66" i="1"/>
  <c r="BG13" i="1"/>
  <c r="BK13" i="1" s="1"/>
  <c r="AT31" i="1"/>
  <c r="DG31" i="1" s="1"/>
  <c r="BC8" i="1"/>
  <c r="BK107" i="1"/>
  <c r="AU163" i="1"/>
  <c r="DH163" i="1" s="1"/>
  <c r="AU116" i="1"/>
  <c r="AT58" i="1"/>
  <c r="DG58" i="1" s="1"/>
  <c r="BK134" i="1"/>
  <c r="BC104" i="1"/>
  <c r="AU148" i="1"/>
  <c r="DH148" i="1" s="1"/>
  <c r="BA16" i="1"/>
  <c r="BC16" i="1" s="1"/>
  <c r="AU11" i="1"/>
  <c r="BK62" i="1"/>
  <c r="BK54" i="1"/>
  <c r="BK77" i="1"/>
  <c r="BB56" i="1"/>
  <c r="BK156" i="1"/>
  <c r="AT2" i="1"/>
  <c r="BB104" i="1"/>
  <c r="AT48" i="1"/>
  <c r="BK27" i="1"/>
  <c r="AT5" i="1"/>
  <c r="BJ103" i="1"/>
  <c r="BK65" i="1"/>
  <c r="BB48" i="1"/>
  <c r="BJ99" i="1"/>
  <c r="BK101" i="1"/>
  <c r="BK98" i="1"/>
  <c r="BK108" i="1"/>
  <c r="BB61" i="1"/>
  <c r="DG61" i="1" s="1"/>
  <c r="BK61" i="1"/>
  <c r="BK111" i="1"/>
  <c r="BC56" i="1"/>
  <c r="AU8" i="1"/>
  <c r="DH8" i="1" s="1"/>
  <c r="AU27" i="1"/>
  <c r="AU38" i="1"/>
  <c r="BC93" i="1"/>
  <c r="BB52" i="1"/>
  <c r="DG52" i="1" s="1"/>
  <c r="BB5" i="1"/>
  <c r="BK8" i="1"/>
  <c r="AT38" i="1"/>
  <c r="DG38" i="1" s="1"/>
  <c r="BJ107" i="1"/>
  <c r="DG107" i="1" s="1"/>
  <c r="AU131" i="1"/>
  <c r="AU151" i="1"/>
  <c r="AU111" i="1"/>
  <c r="AU94" i="1"/>
  <c r="DH94" i="1" s="1"/>
  <c r="BB14" i="1"/>
  <c r="BK153" i="1"/>
  <c r="AU155" i="1"/>
  <c r="DH155" i="1" s="1"/>
  <c r="BK162" i="1"/>
  <c r="AU162" i="1"/>
  <c r="BB34" i="1"/>
  <c r="DG34" i="1" s="1"/>
  <c r="BB95" i="1"/>
  <c r="DG95" i="1" s="1"/>
  <c r="BB103" i="1"/>
  <c r="DG103" i="1" s="1"/>
  <c r="BB46" i="1"/>
  <c r="AU108" i="1"/>
  <c r="AT39" i="1"/>
  <c r="DG39" i="1" s="1"/>
  <c r="BC23" i="1"/>
  <c r="AU138" i="1"/>
  <c r="AK16" i="1"/>
  <c r="AM16" i="1" s="1"/>
  <c r="BC38" i="1"/>
  <c r="AU6" i="1"/>
  <c r="BB11" i="1"/>
  <c r="BJ94" i="1"/>
  <c r="BC2" i="1"/>
  <c r="BC88" i="1"/>
  <c r="BB51" i="1"/>
  <c r="BC41" i="1"/>
  <c r="BJ82" i="1"/>
  <c r="BK82" i="1"/>
  <c r="BK102" i="1"/>
  <c r="BK49" i="1"/>
  <c r="BK14" i="1"/>
  <c r="BA115" i="1"/>
  <c r="BC115" i="1" s="1"/>
  <c r="BC77" i="1"/>
  <c r="BK88" i="1"/>
  <c r="BC63" i="1"/>
  <c r="BZ33" i="1"/>
  <c r="BB63" i="1"/>
  <c r="BK5" i="1"/>
  <c r="BK66" i="1"/>
  <c r="AT20" i="1"/>
  <c r="BC3" i="1"/>
  <c r="BK160" i="1"/>
  <c r="BB75" i="1"/>
  <c r="BK73" i="1"/>
  <c r="BB128" i="1"/>
  <c r="DG128" i="1" s="1"/>
  <c r="BC50" i="1"/>
  <c r="BC85" i="1"/>
  <c r="BK105" i="1"/>
  <c r="BJ20" i="1"/>
  <c r="BC102" i="1"/>
  <c r="AU28" i="1"/>
  <c r="BZ245" i="1"/>
  <c r="DH245" i="1" s="1"/>
  <c r="BC44" i="1"/>
  <c r="BK146" i="1"/>
  <c r="BB57" i="1"/>
  <c r="BC71" i="1"/>
  <c r="BK89" i="1"/>
  <c r="AU66" i="1"/>
  <c r="BC61" i="1"/>
  <c r="BB96" i="1"/>
  <c r="BC32" i="1"/>
  <c r="BK100" i="1"/>
  <c r="BK96" i="1"/>
  <c r="BC35" i="1"/>
  <c r="AS69" i="1"/>
  <c r="AU69" i="1" s="1"/>
  <c r="BJ57" i="1"/>
  <c r="AT62" i="1"/>
  <c r="BK137" i="1"/>
  <c r="BK135" i="1"/>
  <c r="BK151" i="1"/>
  <c r="BC6" i="1"/>
  <c r="BJ96" i="1"/>
  <c r="BB77" i="1"/>
  <c r="BK131" i="1"/>
  <c r="BK124" i="1"/>
  <c r="BK166" i="1"/>
  <c r="BJ68" i="1"/>
  <c r="BK145" i="1"/>
  <c r="BJ63" i="1"/>
  <c r="BI91" i="1"/>
  <c r="BK91" i="1" s="1"/>
  <c r="BI30" i="1"/>
  <c r="BK30" i="1" s="1"/>
  <c r="BK33" i="1"/>
  <c r="AU37" i="1"/>
  <c r="BC29" i="1"/>
  <c r="BK125" i="1"/>
  <c r="DH125" i="1" s="1"/>
  <c r="BK154" i="1"/>
  <c r="AT37" i="1"/>
  <c r="G23" i="7"/>
  <c r="BK25" i="1"/>
  <c r="BK147" i="1"/>
  <c r="AU30" i="1"/>
  <c r="DH30" i="1" s="1"/>
  <c r="BK169" i="1"/>
  <c r="BB17" i="1"/>
  <c r="BK115" i="1"/>
  <c r="BK149" i="1"/>
  <c r="BJ102" i="1"/>
  <c r="BC17" i="1"/>
  <c r="BJ25" i="1"/>
  <c r="AU14" i="1"/>
  <c r="BZ251" i="1"/>
  <c r="DH251" i="1" s="1"/>
  <c r="AU3" i="1"/>
  <c r="DH3" i="1" s="1"/>
  <c r="BJ115" i="1"/>
  <c r="AU32" i="1"/>
  <c r="BB71" i="1"/>
  <c r="DG71" i="1" s="1"/>
  <c r="BK64" i="1"/>
  <c r="BC59" i="1"/>
  <c r="BB86" i="1"/>
  <c r="DG86" i="1" s="1"/>
  <c r="BZ18" i="1"/>
  <c r="BK68" i="1"/>
  <c r="BK150" i="1"/>
  <c r="BC13" i="1"/>
  <c r="AU59" i="1"/>
  <c r="DH59" i="1" s="1"/>
  <c r="BI69" i="1"/>
  <c r="BK69" i="1" s="1"/>
  <c r="BJ69" i="1"/>
  <c r="BG16" i="1"/>
  <c r="BK16" i="1" s="1"/>
  <c r="BJ16" i="1"/>
  <c r="AU122" i="1"/>
  <c r="DH122" i="1" s="1"/>
  <c r="BG71" i="1"/>
  <c r="BK71" i="1" s="1"/>
  <c r="AU100" i="1"/>
  <c r="DH100" i="1" s="1"/>
  <c r="BK128" i="1"/>
  <c r="AU133" i="1"/>
  <c r="AT32" i="1"/>
  <c r="BK87" i="1"/>
  <c r="AT30" i="1"/>
  <c r="DG30" i="1" s="1"/>
  <c r="BC91" i="1"/>
  <c r="BK51" i="1"/>
  <c r="AU135" i="1"/>
  <c r="BB91" i="1"/>
  <c r="DG91" i="1" s="1"/>
  <c r="BJ77" i="1"/>
  <c r="BK29" i="1"/>
  <c r="BC96" i="1"/>
  <c r="BK144" i="1"/>
  <c r="AU39" i="1"/>
  <c r="DH39" i="1" s="1"/>
  <c r="AU82" i="1"/>
  <c r="AT14" i="1"/>
  <c r="DG14" i="1" s="1"/>
  <c r="AU115" i="1"/>
  <c r="DH115" i="1" s="1"/>
  <c r="AU89" i="1"/>
  <c r="DH89" i="1" s="1"/>
  <c r="AU120" i="1"/>
  <c r="BC20" i="1"/>
  <c r="BB68" i="1"/>
  <c r="DG68" i="1" s="1"/>
  <c r="BE86" i="1"/>
  <c r="BK86" i="1" s="1"/>
  <c r="AY82" i="1"/>
  <c r="BC82" i="1" s="1"/>
  <c r="BB32" i="1"/>
  <c r="BE26" i="1"/>
  <c r="BK26" i="1" s="1"/>
  <c r="BJ26" i="1"/>
  <c r="AL4" i="1"/>
  <c r="AK4" i="1"/>
  <c r="AM4" i="1" s="1"/>
  <c r="AY111" i="1"/>
  <c r="BC111" i="1" s="1"/>
  <c r="BB111" i="1"/>
  <c r="AU42" i="1"/>
  <c r="AU134" i="1"/>
  <c r="DH134" i="1" s="1"/>
  <c r="BB127" i="1"/>
  <c r="DG127" i="1" s="1"/>
  <c r="BA127" i="1"/>
  <c r="BC127" i="1" s="1"/>
  <c r="AY21" i="1"/>
  <c r="BC21" i="1" s="1"/>
  <c r="BB21" i="1"/>
  <c r="DG21" i="1" s="1"/>
  <c r="BJ111" i="1"/>
  <c r="BA69" i="1"/>
  <c r="BC69" i="1" s="1"/>
  <c r="BJ17" i="1"/>
  <c r="BG17" i="1"/>
  <c r="BK17" i="1" s="1"/>
  <c r="BB26" i="1"/>
  <c r="DG26" i="1" s="1"/>
  <c r="AW26" i="1"/>
  <c r="BC26" i="1" s="1"/>
  <c r="AL17" i="1"/>
  <c r="AK17" i="1"/>
  <c r="AM17" i="1" s="1"/>
  <c r="AQ63" i="1"/>
  <c r="AU63" i="1" s="1"/>
  <c r="DH63" i="1" s="1"/>
  <c r="AT63" i="1"/>
  <c r="DG63" i="1" s="1"/>
  <c r="BI127" i="1"/>
  <c r="BK127" i="1" s="1"/>
  <c r="BJ127" i="1"/>
  <c r="BJ51" i="1"/>
  <c r="BJ21" i="1"/>
  <c r="BC33" i="1"/>
  <c r="AS44" i="1"/>
  <c r="AU44" i="1" s="1"/>
  <c r="AT44" i="1"/>
  <c r="BB20" i="1"/>
  <c r="BK59" i="1"/>
  <c r="BB67" i="1"/>
  <c r="AW67" i="1"/>
  <c r="BC67" i="1" s="1"/>
  <c r="AW25" i="1"/>
  <c r="BC25" i="1" s="1"/>
  <c r="BB25" i="1"/>
  <c r="AL20" i="1"/>
  <c r="AK20" i="1"/>
  <c r="AM20" i="1" s="1"/>
  <c r="DH20" i="1" s="1"/>
  <c r="BJ54" i="1"/>
  <c r="BB44" i="1"/>
  <c r="AU35" i="1"/>
  <c r="AS85" i="1"/>
  <c r="AU85" i="1" s="1"/>
  <c r="AT85" i="1"/>
  <c r="DG85" i="1" s="1"/>
  <c r="AU149" i="1"/>
  <c r="BE67" i="1"/>
  <c r="BK67" i="1" s="1"/>
  <c r="BJ67" i="1"/>
  <c r="BA54" i="1"/>
  <c r="BC54" i="1" s="1"/>
  <c r="BB54" i="1"/>
  <c r="BC14" i="1"/>
  <c r="BK28" i="1"/>
  <c r="BJ128" i="1"/>
  <c r="AW94" i="1"/>
  <c r="BC94" i="1" s="1"/>
  <c r="BB94" i="1"/>
  <c r="DG94" i="1" s="1"/>
  <c r="AU87" i="1"/>
  <c r="DH87" i="1" s="1"/>
  <c r="AT54" i="1"/>
  <c r="DG54" i="1" s="1"/>
  <c r="AS54" i="1"/>
  <c r="AU54" i="1" s="1"/>
  <c r="AU90" i="1"/>
  <c r="BC51" i="1"/>
  <c r="BG32" i="1"/>
  <c r="BK32" i="1" s="1"/>
  <c r="BJ32" i="1"/>
  <c r="BE75" i="1"/>
  <c r="BK75" i="1" s="1"/>
  <c r="BJ75" i="1"/>
  <c r="BJ37" i="1"/>
  <c r="BG37" i="1"/>
  <c r="BK37" i="1" s="1"/>
  <c r="F23" i="7"/>
  <c r="AU124" i="1"/>
  <c r="DH124" i="1" s="1"/>
  <c r="AU158" i="1"/>
  <c r="BA62" i="1"/>
  <c r="BC62" i="1" s="1"/>
  <c r="BB62" i="1"/>
  <c r="BG21" i="1"/>
  <c r="BK21" i="1" s="1"/>
  <c r="AU68" i="1"/>
  <c r="DH68" i="1" s="1"/>
  <c r="AU53" i="1"/>
  <c r="BZ235" i="1"/>
  <c r="DH235" i="1" s="1"/>
  <c r="BZ237" i="1"/>
  <c r="DH237" i="1" s="1"/>
  <c r="BZ91" i="1"/>
  <c r="BZ242" i="1"/>
  <c r="DH242" i="1" s="1"/>
  <c r="BZ122" i="1"/>
  <c r="BG116" i="1"/>
  <c r="BK116" i="1" s="1"/>
  <c r="BC53" i="1"/>
  <c r="BZ197" i="1"/>
  <c r="DH197" i="1" s="1"/>
  <c r="BZ158" i="1"/>
  <c r="BZ110" i="1"/>
  <c r="BZ68" i="1"/>
  <c r="BZ62" i="1"/>
  <c r="BZ27" i="1"/>
  <c r="BK53" i="1"/>
  <c r="BZ23" i="1"/>
  <c r="BZ133" i="1"/>
  <c r="BZ55" i="1"/>
  <c r="BZ249" i="1"/>
  <c r="DH249" i="1" s="1"/>
  <c r="BZ149" i="1"/>
  <c r="BZ28" i="1"/>
  <c r="BZ198" i="1"/>
  <c r="DH198" i="1" s="1"/>
  <c r="C28" i="7"/>
  <c r="C31" i="7" s="1"/>
  <c r="BZ173" i="1"/>
  <c r="DH173" i="1" s="1"/>
  <c r="BZ44" i="1"/>
  <c r="BZ126" i="1"/>
  <c r="BZ85" i="1"/>
  <c r="BZ206" i="1"/>
  <c r="DH206" i="1" s="1"/>
  <c r="BZ170" i="1"/>
  <c r="DH170" i="1" s="1"/>
  <c r="BZ184" i="1"/>
  <c r="DH184" i="1" s="1"/>
  <c r="BZ238" i="1"/>
  <c r="DH238" i="1" s="1"/>
  <c r="BZ174" i="1"/>
  <c r="DH174" i="1" s="1"/>
  <c r="BZ138" i="1"/>
  <c r="BK93" i="1"/>
  <c r="BZ141" i="1"/>
  <c r="BC110" i="1"/>
  <c r="D23" i="7"/>
  <c r="D26" i="7" s="1"/>
  <c r="AY116" i="1"/>
  <c r="BC116" i="1" s="1"/>
  <c r="D30" i="7"/>
  <c r="AY76" i="1"/>
  <c r="BC76" i="1" s="1"/>
  <c r="BB76" i="1"/>
  <c r="AS73" i="1"/>
  <c r="AU73" i="1" s="1"/>
  <c r="AT73" i="1"/>
  <c r="DG73" i="1" s="1"/>
  <c r="AW84" i="1"/>
  <c r="BC84" i="1" s="1"/>
  <c r="BB84" i="1"/>
  <c r="AQ9" i="1"/>
  <c r="AU9" i="1" s="1"/>
  <c r="AT9" i="1"/>
  <c r="DG9" i="1" s="1"/>
  <c r="G25" i="7"/>
  <c r="AT76" i="1"/>
  <c r="AQ76" i="1"/>
  <c r="AU76" i="1" s="1"/>
  <c r="BC34" i="1"/>
  <c r="BA117" i="1"/>
  <c r="BC117" i="1" s="1"/>
  <c r="BB117" i="1"/>
  <c r="DG117" i="1" s="1"/>
  <c r="BB4" i="1"/>
  <c r="AW4" i="1"/>
  <c r="F24" i="7"/>
  <c r="AQ80" i="1"/>
  <c r="AU80" i="1" s="1"/>
  <c r="AT80" i="1"/>
  <c r="BI104" i="1"/>
  <c r="BK104" i="1" s="1"/>
  <c r="BJ104" i="1"/>
  <c r="BG9" i="1"/>
  <c r="BK9" i="1" s="1"/>
  <c r="BJ9" i="1"/>
  <c r="E25" i="7"/>
  <c r="BG76" i="1"/>
  <c r="BK76" i="1" s="1"/>
  <c r="BJ76" i="1"/>
  <c r="AY80" i="1"/>
  <c r="BC80" i="1" s="1"/>
  <c r="BB80" i="1"/>
  <c r="BB121" i="1"/>
  <c r="DG121" i="1" s="1"/>
  <c r="BA121" i="1"/>
  <c r="BC121" i="1" s="1"/>
  <c r="BE4" i="1"/>
  <c r="E24" i="7"/>
  <c r="BJ4" i="1"/>
  <c r="AU130" i="1"/>
  <c r="DH130" i="1" s="1"/>
  <c r="E23" i="7"/>
  <c r="AY73" i="1"/>
  <c r="BC73" i="1" s="1"/>
  <c r="BB73" i="1"/>
  <c r="BB97" i="1"/>
  <c r="DG97" i="1" s="1"/>
  <c r="BA97" i="1"/>
  <c r="BC97" i="1" s="1"/>
  <c r="AU161" i="1"/>
  <c r="DH161" i="1" s="1"/>
  <c r="BI97" i="1"/>
  <c r="BK97" i="1" s="1"/>
  <c r="BJ97" i="1"/>
  <c r="BI117" i="1"/>
  <c r="BK117" i="1" s="1"/>
  <c r="BI121" i="1"/>
  <c r="BK121" i="1" s="1"/>
  <c r="AU154" i="1"/>
  <c r="DH154" i="1" s="1"/>
  <c r="AU75" i="1"/>
  <c r="AM23" i="1"/>
  <c r="D29" i="7"/>
  <c r="AU2" i="1"/>
  <c r="DH2" i="1" s="1"/>
  <c r="AQ40" i="1"/>
  <c r="AU40" i="1" s="1"/>
  <c r="BC75" i="1"/>
  <c r="BG78" i="1"/>
  <c r="BK78" i="1" s="1"/>
  <c r="BJ78" i="1"/>
  <c r="BC15" i="1"/>
  <c r="DH15" i="1" s="1"/>
  <c r="BK6" i="1"/>
  <c r="AY43" i="1"/>
  <c r="BC43" i="1" s="1"/>
  <c r="BB43" i="1"/>
  <c r="BB40" i="1"/>
  <c r="DG40" i="1" s="1"/>
  <c r="F25" i="7"/>
  <c r="AY40" i="1"/>
  <c r="BC40" i="1" s="1"/>
  <c r="AO4" i="1"/>
  <c r="AU4" i="1" s="1"/>
  <c r="AT4" i="1"/>
  <c r="G24" i="7"/>
  <c r="BJ44" i="1"/>
  <c r="BG44" i="1"/>
  <c r="BK44" i="1" s="1"/>
  <c r="AU13" i="1"/>
  <c r="AY78" i="1"/>
  <c r="BC78" i="1" s="1"/>
  <c r="BB78" i="1"/>
  <c r="DG78" i="1" s="1"/>
  <c r="DH90" i="1" l="1"/>
  <c r="DH42" i="1"/>
  <c r="DH29" i="1"/>
  <c r="DG50" i="1"/>
  <c r="DG111" i="1"/>
  <c r="DG2" i="1"/>
  <c r="DH139" i="1"/>
  <c r="DI139" i="1" s="1"/>
  <c r="DG82" i="1"/>
  <c r="DH157" i="1"/>
  <c r="DG72" i="1"/>
  <c r="DH81" i="1"/>
  <c r="DH52" i="1"/>
  <c r="DG15" i="1"/>
  <c r="DH92" i="1"/>
  <c r="DG49" i="1"/>
  <c r="DG96" i="1"/>
  <c r="DH6" i="1"/>
  <c r="DG5" i="1"/>
  <c r="DG23" i="1"/>
  <c r="DH88" i="1"/>
  <c r="DH64" i="1"/>
  <c r="DG99" i="1"/>
  <c r="DH26" i="1"/>
  <c r="DH109" i="1"/>
  <c r="DI109" i="1" s="1"/>
  <c r="DH14" i="1"/>
  <c r="DH28" i="1"/>
  <c r="DH58" i="1"/>
  <c r="DI58" i="1" s="1"/>
  <c r="DG11" i="1"/>
  <c r="DG13" i="1"/>
  <c r="DG84" i="1"/>
  <c r="DH120" i="1"/>
  <c r="DH66" i="1"/>
  <c r="DI66" i="1" s="1"/>
  <c r="DG48" i="1"/>
  <c r="DH11" i="1"/>
  <c r="DG16" i="1"/>
  <c r="DG25" i="1"/>
  <c r="DG69" i="1"/>
  <c r="DH27" i="1"/>
  <c r="DG22" i="1"/>
  <c r="DH75" i="1"/>
  <c r="DI75" i="1" s="1"/>
  <c r="DH158" i="1"/>
  <c r="DH133" i="1"/>
  <c r="DG77" i="1"/>
  <c r="DH69" i="1"/>
  <c r="DI69" i="1" s="1"/>
  <c r="DG51" i="1"/>
  <c r="DH138" i="1"/>
  <c r="DH162" i="1"/>
  <c r="DI162" i="1" s="1"/>
  <c r="DH131" i="1"/>
  <c r="DI131" i="1" s="1"/>
  <c r="DG104" i="1"/>
  <c r="DH21" i="1"/>
  <c r="DH153" i="1"/>
  <c r="DH18" i="1"/>
  <c r="DI18" i="1" s="1"/>
  <c r="DH65" i="1"/>
  <c r="DH48" i="1"/>
  <c r="DH43" i="1"/>
  <c r="DI43" i="1" s="1"/>
  <c r="DG46" i="1"/>
  <c r="DH77" i="1"/>
  <c r="DH5" i="1"/>
  <c r="DH56" i="1"/>
  <c r="DH150" i="1"/>
  <c r="DI150" i="1" s="1"/>
  <c r="DH118" i="1"/>
  <c r="DH136" i="1"/>
  <c r="DI136" i="1" s="1"/>
  <c r="DH25" i="1"/>
  <c r="DI25" i="1" s="1"/>
  <c r="DH144" i="1"/>
  <c r="DI144" i="1" s="1"/>
  <c r="DH85" i="1"/>
  <c r="DI85" i="1" s="1"/>
  <c r="DH62" i="1"/>
  <c r="DG41" i="1"/>
  <c r="DH137" i="1"/>
  <c r="DI137" i="1" s="1"/>
  <c r="DH156" i="1"/>
  <c r="DH147" i="1"/>
  <c r="DI147" i="1" s="1"/>
  <c r="DH128" i="1"/>
  <c r="DI128" i="1" s="1"/>
  <c r="DH57" i="1"/>
  <c r="DI57" i="1" s="1"/>
  <c r="DG115" i="1"/>
  <c r="DH67" i="1"/>
  <c r="DH60" i="1"/>
  <c r="DI60" i="1" s="1"/>
  <c r="DH152" i="1"/>
  <c r="DI152" i="1" s="1"/>
  <c r="DH31" i="1"/>
  <c r="DI31" i="1" s="1"/>
  <c r="DH132" i="1"/>
  <c r="DH103" i="1"/>
  <c r="DH86" i="1"/>
  <c r="DI86" i="1" s="1"/>
  <c r="DG59" i="1"/>
  <c r="DH93" i="1"/>
  <c r="DG80" i="1"/>
  <c r="DH73" i="1"/>
  <c r="DI73" i="1" s="1"/>
  <c r="DH35" i="1"/>
  <c r="DG67" i="1"/>
  <c r="DH135" i="1"/>
  <c r="DI135" i="1" s="1"/>
  <c r="DH32" i="1"/>
  <c r="DI32" i="1" s="1"/>
  <c r="DG37" i="1"/>
  <c r="DG56" i="1"/>
  <c r="DH51" i="1"/>
  <c r="DH127" i="1"/>
  <c r="DI127" i="1" s="1"/>
  <c r="DH169" i="1"/>
  <c r="DH140" i="1"/>
  <c r="DH95" i="1"/>
  <c r="DI95" i="1" s="1"/>
  <c r="DH84" i="1"/>
  <c r="DI84" i="1" s="1"/>
  <c r="DG65" i="1"/>
  <c r="DH91" i="1"/>
  <c r="DH145" i="1"/>
  <c r="DH46" i="1"/>
  <c r="DI46" i="1" s="1"/>
  <c r="DH106" i="1"/>
  <c r="DH74" i="1"/>
  <c r="DI74" i="1" s="1"/>
  <c r="DG60" i="1"/>
  <c r="DH76" i="1"/>
  <c r="DI76" i="1" s="1"/>
  <c r="DH40" i="1"/>
  <c r="DH80" i="1"/>
  <c r="DG76" i="1"/>
  <c r="DH53" i="1"/>
  <c r="DI53" i="1" s="1"/>
  <c r="DH54" i="1"/>
  <c r="DH82" i="1"/>
  <c r="DH108" i="1"/>
  <c r="DI108" i="1" s="1"/>
  <c r="DH114" i="1"/>
  <c r="DI114" i="1" s="1"/>
  <c r="DH78" i="1"/>
  <c r="DG36" i="1"/>
  <c r="DH143" i="1"/>
  <c r="DH45" i="1"/>
  <c r="DH121" i="1"/>
  <c r="DH110" i="1"/>
  <c r="DH104" i="1"/>
  <c r="DI104" i="1" s="1"/>
  <c r="DG57" i="1"/>
  <c r="DH141" i="1"/>
  <c r="DH71" i="1"/>
  <c r="DH102" i="1"/>
  <c r="DH113" i="1"/>
  <c r="DH83" i="1"/>
  <c r="DH116" i="1"/>
  <c r="DH22" i="1"/>
  <c r="DH79" i="1"/>
  <c r="DI79" i="1" s="1"/>
  <c r="DH160" i="1"/>
  <c r="DI160" i="1" s="1"/>
  <c r="DH49" i="1"/>
  <c r="DH23" i="1"/>
  <c r="DG20" i="1"/>
  <c r="DH44" i="1"/>
  <c r="DH17" i="1"/>
  <c r="DH37" i="1"/>
  <c r="DI37" i="1" s="1"/>
  <c r="DG62" i="1"/>
  <c r="DG75" i="1"/>
  <c r="DH111" i="1"/>
  <c r="DH33" i="1"/>
  <c r="DI33" i="1" s="1"/>
  <c r="DG43" i="1"/>
  <c r="DH107" i="1"/>
  <c r="DH97" i="1"/>
  <c r="DH41" i="1"/>
  <c r="DI41" i="1" s="1"/>
  <c r="DH146" i="1"/>
  <c r="DI146" i="1" s="1"/>
  <c r="DH126" i="1"/>
  <c r="DH123" i="1"/>
  <c r="DG102" i="1"/>
  <c r="DH13" i="1"/>
  <c r="DI13" i="1" s="1"/>
  <c r="DH7" i="1"/>
  <c r="DH61" i="1"/>
  <c r="DH166" i="1"/>
  <c r="DI166" i="1" s="1"/>
  <c r="DG44" i="1"/>
  <c r="DH149" i="1"/>
  <c r="DI149" i="1" s="1"/>
  <c r="DG17" i="1"/>
  <c r="DG4" i="1"/>
  <c r="DG32" i="1"/>
  <c r="DH16" i="1"/>
  <c r="DH151" i="1"/>
  <c r="DH55" i="1"/>
  <c r="DH117" i="1"/>
  <c r="DI117" i="1" s="1"/>
  <c r="DH72" i="1"/>
  <c r="DH98" i="1"/>
  <c r="DI98" i="1" s="1"/>
  <c r="DH34" i="1"/>
  <c r="DI34" i="1" s="1"/>
  <c r="DH96" i="1"/>
  <c r="DH129" i="1"/>
  <c r="DH9" i="1"/>
  <c r="DH105" i="1"/>
  <c r="DH24" i="1"/>
  <c r="DI24" i="1" s="1"/>
  <c r="I2" i="12"/>
  <c r="B2" i="12"/>
  <c r="A2" i="12"/>
  <c r="H2" i="12"/>
  <c r="F2" i="12"/>
  <c r="D2" i="12"/>
  <c r="C2" i="12"/>
  <c r="DI154" i="1"/>
  <c r="DI70" i="1"/>
  <c r="DI89" i="1"/>
  <c r="DI118" i="1"/>
  <c r="DI27" i="1"/>
  <c r="DI90" i="1"/>
  <c r="DI39" i="1"/>
  <c r="DI68" i="1"/>
  <c r="DI122" i="1"/>
  <c r="DI20" i="1"/>
  <c r="DI141" i="1"/>
  <c r="DI148" i="1"/>
  <c r="DI138" i="1"/>
  <c r="DI2" i="1"/>
  <c r="DI158" i="1"/>
  <c r="DI120" i="1"/>
  <c r="DI35" i="1"/>
  <c r="DI30" i="1"/>
  <c r="DI54" i="1"/>
  <c r="DI115" i="1"/>
  <c r="DI134" i="1"/>
  <c r="DI28" i="1"/>
  <c r="DI42" i="1"/>
  <c r="DI63" i="1"/>
  <c r="DI100" i="1"/>
  <c r="DI87" i="1"/>
  <c r="DI62" i="1"/>
  <c r="DI17" i="1"/>
  <c r="DI11" i="1"/>
  <c r="DI99" i="1"/>
  <c r="DI126" i="1"/>
  <c r="DI91" i="1"/>
  <c r="DI119" i="1"/>
  <c r="DI55" i="1"/>
  <c r="DI130" i="1"/>
  <c r="DI3" i="1"/>
  <c r="DI167" i="1"/>
  <c r="DI133" i="1"/>
  <c r="DI124" i="1"/>
  <c r="DI40" i="1"/>
  <c r="DI161" i="1"/>
  <c r="DI80" i="1"/>
  <c r="DI238" i="1"/>
  <c r="DI44" i="1"/>
  <c r="DI249" i="1"/>
  <c r="DI23" i="1"/>
  <c r="DI110" i="1"/>
  <c r="DI242" i="1"/>
  <c r="DI237" i="1"/>
  <c r="DI235" i="1"/>
  <c r="DI82" i="1"/>
  <c r="DI59" i="1"/>
  <c r="DI251" i="1"/>
  <c r="DI14" i="1"/>
  <c r="DI125" i="1"/>
  <c r="DI245" i="1"/>
  <c r="DI6" i="1"/>
  <c r="DI16" i="1"/>
  <c r="DI155" i="1"/>
  <c r="DI94" i="1"/>
  <c r="DI111" i="1"/>
  <c r="DI151" i="1"/>
  <c r="DI93" i="1"/>
  <c r="DI8" i="1"/>
  <c r="DI116" i="1"/>
  <c r="DI163" i="1"/>
  <c r="DI239" i="1"/>
  <c r="DI21" i="1"/>
  <c r="DI153" i="1"/>
  <c r="DI38" i="1"/>
  <c r="DI107" i="1"/>
  <c r="DI65" i="1"/>
  <c r="DI51" i="1"/>
  <c r="DI101" i="1"/>
  <c r="DI29" i="1"/>
  <c r="DI50" i="1"/>
  <c r="DI48" i="1"/>
  <c r="DI78" i="1"/>
  <c r="DI12" i="1"/>
  <c r="DI97" i="1"/>
  <c r="DI169" i="1"/>
  <c r="DI72" i="1"/>
  <c r="DI156" i="1"/>
  <c r="DI140" i="1"/>
  <c r="DI77" i="1"/>
  <c r="DI36" i="1"/>
  <c r="DI5" i="1"/>
  <c r="DI88" i="1"/>
  <c r="DI157" i="1"/>
  <c r="DI164" i="1"/>
  <c r="DI143" i="1"/>
  <c r="DI22" i="1"/>
  <c r="DI64" i="1"/>
  <c r="DI123" i="1"/>
  <c r="DI19" i="1"/>
  <c r="DI56" i="1"/>
  <c r="DI67" i="1"/>
  <c r="DI165" i="1"/>
  <c r="DI71" i="1"/>
  <c r="DI142" i="1"/>
  <c r="DI83" i="1"/>
  <c r="DI96" i="1"/>
  <c r="DI129" i="1"/>
  <c r="DI45" i="1"/>
  <c r="DI121" i="1"/>
  <c r="DI102" i="1"/>
  <c r="DI145" i="1"/>
  <c r="DI9" i="1"/>
  <c r="DI26" i="1"/>
  <c r="DI15" i="1"/>
  <c r="DI168" i="1"/>
  <c r="DI159" i="1"/>
  <c r="DI81" i="1"/>
  <c r="DI7" i="1"/>
  <c r="DI132" i="1"/>
  <c r="DI103" i="1"/>
  <c r="DI52" i="1"/>
  <c r="DI61" i="1"/>
  <c r="DI106" i="1"/>
  <c r="DI113" i="1"/>
  <c r="DI105" i="1"/>
  <c r="DI10" i="1"/>
  <c r="DI92" i="1"/>
  <c r="DI49" i="1"/>
  <c r="DI170" i="1"/>
  <c r="DI206" i="1"/>
  <c r="DI174" i="1"/>
  <c r="DI173" i="1"/>
  <c r="DI184" i="1"/>
  <c r="DI198" i="1"/>
  <c r="DI197" i="1"/>
  <c r="F28" i="7"/>
  <c r="G28" i="7"/>
  <c r="E28" i="7"/>
  <c r="G26" i="7"/>
  <c r="E30" i="7"/>
  <c r="F26" i="7"/>
  <c r="D28" i="7"/>
  <c r="D31" i="7" s="1"/>
  <c r="F30" i="7"/>
  <c r="BC4" i="1"/>
  <c r="E2" i="12" s="1"/>
  <c r="F29" i="7"/>
  <c r="G30" i="7"/>
  <c r="E29" i="7"/>
  <c r="BK4" i="1"/>
  <c r="G2" i="12" s="1"/>
  <c r="G29" i="7"/>
  <c r="E26" i="7"/>
  <c r="DH4" i="1" l="1"/>
  <c r="DI4" i="1" s="1"/>
  <c r="F31" i="7"/>
  <c r="E31" i="7"/>
  <c r="G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Gallant</author>
    <author>tc={07DFD660-489E-4D96-930D-26B8DFF7A907}</author>
    <author>tc={B95C73A8-A597-420A-AC3D-29E84F8438E3}</author>
    <author>tc={12AF8326-DC8E-4AB5-B1F0-EAA401C1CBBA}</author>
    <author>tc={DF06F59B-57C7-4913-ABCE-96C5EAEDF8AC}</author>
    <author>tc={11D46AD0-4A48-4005-87D9-B0EBE7BF232F}</author>
    <author>tc={081237C3-4A23-4204-B308-FD618F514A6C}</author>
    <author>tc={8AD588E9-7DFF-41E0-A553-8FA4C32BB136}</author>
    <author>Author</author>
    <author>tc={34DA768B-34CD-4205-A427-E080CAB8289C}</author>
    <author>tc={DCBB4563-B025-4C31-9DA4-E65165FA8E22}</author>
    <author>tc={E4213987-AEC1-4DF7-B6C0-2B48F3E9641C}</author>
  </authors>
  <commentList>
    <comment ref="BQ1" authorId="0" shapeId="0" xr:uid="{00000000-0006-0000-0100-000001000000}">
      <text>
        <r>
          <rPr>
            <sz val="11"/>
            <color theme="1"/>
            <rFont val="Calibri"/>
            <family val="2"/>
            <scheme val="minor"/>
          </rPr>
          <t xml:space="preserve">Method: 
Find the cost of the updated analog to the original text. Use the publisher websites directly whenever possible; use well-known vendors (Amazon, Barnes and Noble) when this is not an option. 
Directly hyperlink the price site in the cell if one textbook, create a comment with URLs if more than one. 
If using current edition in proposal, find current edition now. 
Go with the proposal on format - most are new/print prices, some specifically indicate earlier editions, electronic versions, and add-on platforms. 
</t>
        </r>
      </text>
    </comment>
    <comment ref="BQ3" authorId="0" shapeId="0" xr:uid="{00000000-0006-0000-0100-000002000000}">
      <text>
        <r>
          <rPr>
            <sz val="11"/>
            <color theme="1"/>
            <rFont val="Calibri"/>
            <family val="2"/>
            <scheme val="minor"/>
          </rPr>
          <t xml:space="preserve">2nd text: APA Handbook, $39.95 http://www.apastyle.org/products/4200067.aspx
</t>
        </r>
      </text>
    </comment>
    <comment ref="BQ4" authorId="0" shapeId="0" xr:uid="{00000000-0006-0000-0100-000003000000}">
      <text>
        <r>
          <rPr>
            <sz val="11"/>
            <color theme="1"/>
            <rFont val="Calibri"/>
            <family val="2"/>
            <scheme val="minor"/>
          </rPr>
          <t>WebAssign/Book Package</t>
        </r>
      </text>
    </comment>
    <comment ref="BL5" authorId="0" shapeId="0" xr:uid="{00000000-0006-0000-0100-000004000000}">
      <text>
        <r>
          <rPr>
            <b/>
            <sz val="9"/>
            <color indexed="81"/>
            <rFont val="Tahoma"/>
            <family val="2"/>
          </rPr>
          <t>Jeff Gallant:</t>
        </r>
        <r>
          <rPr>
            <sz val="9"/>
            <color indexed="81"/>
            <rFont val="Tahoma"/>
            <family val="2"/>
          </rPr>
          <t xml:space="preserve">
Confirmed that they are still using OER through email. No new numbers given. </t>
        </r>
      </text>
    </comment>
    <comment ref="BL8" authorId="0" shapeId="0" xr:uid="{00000000-0006-0000-0100-000005000000}">
      <text>
        <r>
          <rPr>
            <b/>
            <sz val="9"/>
            <color indexed="81"/>
            <rFont val="Tahoma"/>
            <family val="2"/>
          </rPr>
          <t>Jeff Gallant:</t>
        </r>
        <r>
          <rPr>
            <sz val="9"/>
            <color indexed="81"/>
            <rFont val="Tahoma"/>
            <family val="2"/>
          </rPr>
          <t xml:space="preserve">
Dr. Denley Email</t>
        </r>
      </text>
    </comment>
    <comment ref="AI10" authorId="0" shapeId="0" xr:uid="{00000000-0006-0000-0100-000006000000}">
      <text>
        <r>
          <rPr>
            <sz val="11"/>
            <color theme="1"/>
            <rFont val="Calibri"/>
            <family val="2"/>
            <scheme val="minor"/>
          </rPr>
          <t xml:space="preserve">Confirmed through OpenStax Monthly Adoption Report April 2018
</t>
        </r>
      </text>
    </comment>
    <comment ref="BL13" authorId="0" shapeId="0" xr:uid="{00000000-0006-0000-0100-000007000000}">
      <text>
        <r>
          <rPr>
            <b/>
            <sz val="9"/>
            <color indexed="81"/>
            <rFont val="Tahoma"/>
            <family val="2"/>
          </rPr>
          <t>Jeff Gallant:</t>
        </r>
        <r>
          <rPr>
            <sz val="9"/>
            <color indexed="81"/>
            <rFont val="Tahoma"/>
            <family val="2"/>
          </rPr>
          <t xml:space="preserve">
Unknown in SC2, Continued in SC3</t>
        </r>
      </text>
    </comment>
    <comment ref="BQ16" authorId="0" shapeId="0" xr:uid="{00000000-0006-0000-0100-000008000000}">
      <text>
        <r>
          <rPr>
            <sz val="11"/>
            <color theme="1"/>
            <rFont val="Calibri"/>
            <family val="2"/>
            <scheme val="minor"/>
          </rPr>
          <t>Various monographs</t>
        </r>
      </text>
    </comment>
    <comment ref="BQ17" authorId="0" shapeId="0" xr:uid="{00000000-0006-0000-0100-000009000000}">
      <text>
        <r>
          <rPr>
            <sz val="11"/>
            <color theme="1"/>
            <rFont val="Calibri"/>
            <family val="2"/>
            <scheme val="minor"/>
          </rPr>
          <t>Average: $224 Algebra, http://www.mypearsonstore.com/bookstore/beginning-intermediate-algebra-plus-new-mylab-math-9780134194004?xid=PSED 
$299.95 Algebra and Trig, https://www.cengage.com/c/algebra-and-trigonometry-4e-stewart/9781305071742#compare-buying-options</t>
        </r>
      </text>
    </comment>
    <comment ref="AI19" authorId="0" shapeId="0" xr:uid="{00000000-0006-0000-0100-00000A000000}">
      <text>
        <r>
          <rPr>
            <sz val="11"/>
            <color theme="1"/>
            <rFont val="Calibri"/>
            <family val="2"/>
            <scheme val="minor"/>
          </rPr>
          <t xml:space="preserve">Confirmed through OpenStax Monthly Adoption Report April 2018
</t>
        </r>
      </text>
    </comment>
    <comment ref="BQ19" authorId="0" shapeId="0" xr:uid="{00000000-0006-0000-0100-00000B000000}">
      <text>
        <r>
          <rPr>
            <sz val="11"/>
            <color theme="1"/>
            <rFont val="Calibri"/>
            <family val="2"/>
            <scheme val="minor"/>
          </rPr>
          <t>Text: $249.38
https://www.mheducation.com/highered/product/hole-s-human-anatomy-physiology-shier-butler/M0078024293.html
Lab: $141.12
https://www.barnesandnoble.com/w/laboratory-manual-for-holes-human-anatomy-amp-physiology-cat-version-terry-martin/1124302678</t>
        </r>
      </text>
    </comment>
    <comment ref="BL21" authorId="0" shapeId="0" xr:uid="{00000000-0006-0000-0100-00000C000000}">
      <text>
        <r>
          <rPr>
            <b/>
            <sz val="9"/>
            <color indexed="81"/>
            <rFont val="Tahoma"/>
            <family val="2"/>
          </rPr>
          <t>Jeff Gallant:</t>
        </r>
        <r>
          <rPr>
            <sz val="9"/>
            <color indexed="81"/>
            <rFont val="Tahoma"/>
            <family val="2"/>
          </rPr>
          <t xml:space="preserve">
Dr. Denley Email</t>
        </r>
      </text>
    </comment>
    <comment ref="BL23" authorId="0" shapeId="0" xr:uid="{00000000-0006-0000-0100-00000D000000}">
      <text>
        <r>
          <rPr>
            <b/>
            <sz val="9"/>
            <color indexed="81"/>
            <rFont val="Tahoma"/>
            <family val="2"/>
          </rPr>
          <t>Jeff Gallant:</t>
        </r>
        <r>
          <rPr>
            <sz val="9"/>
            <color indexed="81"/>
            <rFont val="Tahoma"/>
            <family val="2"/>
          </rPr>
          <t xml:space="preserve">
Dr. Denley Email, course no longer exists after Summer 2018</t>
        </r>
      </text>
    </comment>
    <comment ref="BQ24" authorId="0" shapeId="0" xr:uid="{00000000-0006-0000-0100-00000E000000}">
      <text>
        <r>
          <rPr>
            <sz val="11"/>
            <color theme="1"/>
            <rFont val="Calibri"/>
            <family val="2"/>
            <scheme val="minor"/>
          </rPr>
          <t>1st $56.88 https://www.barnesandnoble.com/w/improving-functional-outcomes-in-physical-rehabilitation-susan-b-osullivan/1124290285 
2nd $315.00 https://www.barnesandnoble.com/w/improving-functional-outcomes-in-physical-rehabilitation-susan-b-osullivan/1124290285
3rd $99.20 https://evolve.elsevier.com/cs/product/9780323075862?role=student
4th $86.40 https://evolve.elsevier.com/cs/product/9780323006996</t>
        </r>
      </text>
    </comment>
    <comment ref="BL25" authorId="0" shapeId="0" xr:uid="{00000000-0006-0000-0100-00000F000000}">
      <text>
        <r>
          <rPr>
            <b/>
            <sz val="9"/>
            <color indexed="81"/>
            <rFont val="Tahoma"/>
            <family val="2"/>
          </rPr>
          <t>Jeff Gallant:</t>
        </r>
        <r>
          <rPr>
            <sz val="9"/>
            <color indexed="81"/>
            <rFont val="Tahoma"/>
            <family val="2"/>
          </rPr>
          <t xml:space="preserve">
Dr. Denley Email</t>
        </r>
      </text>
    </comment>
    <comment ref="AI26" authorId="0" shapeId="0" xr:uid="{00000000-0006-0000-0100-000010000000}">
      <text>
        <r>
          <rPr>
            <b/>
            <sz val="9"/>
            <color indexed="81"/>
            <rFont val="Tahoma"/>
            <family val="2"/>
          </rPr>
          <t>Jeff Gallant:</t>
        </r>
        <r>
          <rPr>
            <sz val="9"/>
            <color indexed="81"/>
            <rFont val="Tahoma"/>
            <family val="2"/>
          </rPr>
          <t xml:space="preserve">
Klar and other faculty picked this up, ZNCM/ZLCM list
</t>
        </r>
      </text>
    </comment>
    <comment ref="BL26" authorId="0" shapeId="0" xr:uid="{00000000-0006-0000-0100-000011000000}">
      <text>
        <r>
          <rPr>
            <b/>
            <sz val="9"/>
            <color indexed="81"/>
            <rFont val="Tahoma"/>
            <family val="2"/>
          </rPr>
          <t>Jeff Gallant:</t>
        </r>
        <r>
          <rPr>
            <sz val="9"/>
            <color indexed="81"/>
            <rFont val="Tahoma"/>
            <family val="2"/>
          </rPr>
          <t xml:space="preserve">
Continued by others in ZLCM, redoing student count based on list</t>
        </r>
      </text>
    </comment>
    <comment ref="BQ26" authorId="0" shapeId="0" xr:uid="{00000000-0006-0000-0100-000012000000}">
      <text>
        <r>
          <rPr>
            <sz val="11"/>
            <color theme="1"/>
            <rFont val="Calibri"/>
            <family val="2"/>
            <scheme val="minor"/>
          </rPr>
          <t>Adjusted estimate plus low-cost $40, continued in ZNCM/ZLCM</t>
        </r>
      </text>
    </comment>
    <comment ref="BQ27" authorId="0" shapeId="0" xr:uid="{00000000-0006-0000-0100-000013000000}">
      <text>
        <r>
          <rPr>
            <sz val="11"/>
            <color theme="1"/>
            <rFont val="Calibri"/>
            <family val="2"/>
            <scheme val="minor"/>
          </rPr>
          <t>Cost plus Sapling</t>
        </r>
      </text>
    </comment>
    <comment ref="BL29" authorId="0" shapeId="0" xr:uid="{00000000-0006-0000-0100-000014000000}">
      <text>
        <r>
          <rPr>
            <b/>
            <sz val="9"/>
            <color indexed="81"/>
            <rFont val="Tahoma"/>
            <family val="2"/>
          </rPr>
          <t>Jeff Gallant:</t>
        </r>
        <r>
          <rPr>
            <sz val="9"/>
            <color indexed="81"/>
            <rFont val="Tahoma"/>
            <family val="2"/>
          </rPr>
          <t xml:space="preserve">
Dr. Denley Email</t>
        </r>
      </text>
    </comment>
    <comment ref="BL30" authorId="0" shapeId="0" xr:uid="{00000000-0006-0000-0100-000015000000}">
      <text>
        <r>
          <rPr>
            <b/>
            <sz val="9"/>
            <color indexed="81"/>
            <rFont val="Tahoma"/>
            <family val="2"/>
          </rPr>
          <t>Jeff Gallant:</t>
        </r>
        <r>
          <rPr>
            <sz val="9"/>
            <color indexed="81"/>
            <rFont val="Tahoma"/>
            <family val="2"/>
          </rPr>
          <t xml:space="preserve">
Dr. Denley Email
</t>
        </r>
      </text>
    </comment>
    <comment ref="BQ30" authorId="0" shapeId="0" xr:uid="{00000000-0006-0000-0100-000016000000}">
      <text>
        <r>
          <rPr>
            <sz val="11"/>
            <color theme="1"/>
            <rFont val="Calibri"/>
            <family val="2"/>
            <scheme val="minor"/>
          </rPr>
          <t>Text $299.20 https://www.pearson.com/us/higher-education/program/Marieb-Human-Anatomy-Physiology-Plus-Mastering-A-P-with-e-Text-Access-Card-Package-10th-Edition/PGM239608.html?tab=packages
Lab $147 https://www.pearson.com/us/higher-education/program/Marieb-Human-Anatomy-Physiology-Laboratory-Manual-Cat-Version-Plus-Mastering-A-P-with-e-Text-Access-Card-Package-12th-Edition/PGM229782.html?tab=order
-$35 cost</t>
        </r>
      </text>
    </comment>
    <comment ref="AA31" authorId="0" shapeId="0" xr:uid="{00000000-0006-0000-0100-000017000000}">
      <text>
        <r>
          <rPr>
            <b/>
            <sz val="9"/>
            <color indexed="81"/>
            <rFont val="Tahoma"/>
            <family val="2"/>
          </rPr>
          <t>Jeff Gallant:</t>
        </r>
        <r>
          <rPr>
            <sz val="9"/>
            <color indexed="81"/>
            <rFont val="Tahoma"/>
            <family val="2"/>
          </rPr>
          <t xml:space="preserve">
Adjusted based on ZLCM data</t>
        </r>
      </text>
    </comment>
    <comment ref="AI31" authorId="0" shapeId="0" xr:uid="{00000000-0006-0000-0100-000018000000}">
      <text>
        <r>
          <rPr>
            <b/>
            <sz val="9"/>
            <color indexed="81"/>
            <rFont val="Tahoma"/>
            <family val="2"/>
          </rPr>
          <t>Jeff Gallant:</t>
        </r>
        <r>
          <rPr>
            <sz val="9"/>
            <color indexed="81"/>
            <rFont val="Tahoma"/>
            <family val="2"/>
          </rPr>
          <t xml:space="preserve">
ZNCM</t>
        </r>
      </text>
    </comment>
    <comment ref="BL31" authorId="0" shapeId="0" xr:uid="{00000000-0006-0000-0100-000019000000}">
      <text>
        <r>
          <rPr>
            <b/>
            <sz val="9"/>
            <color indexed="81"/>
            <rFont val="Tahoma"/>
            <family val="2"/>
          </rPr>
          <t>Jeff Gallant:</t>
        </r>
        <r>
          <rPr>
            <sz val="9"/>
            <color indexed="81"/>
            <rFont val="Tahoma"/>
            <family val="2"/>
          </rPr>
          <t xml:space="preserve">
ZNCM Adjusted number based on enrollment</t>
        </r>
      </text>
    </comment>
    <comment ref="BQ31" authorId="0" shapeId="0" xr:uid="{00000000-0006-0000-0100-00001A000000}">
      <text>
        <r>
          <rPr>
            <b/>
            <sz val="9"/>
            <color indexed="81"/>
            <rFont val="Tahoma"/>
            <family val="2"/>
          </rPr>
          <t>Jeff Gallant:</t>
        </r>
        <r>
          <rPr>
            <sz val="9"/>
            <color indexed="81"/>
            <rFont val="Tahoma"/>
            <family val="2"/>
          </rPr>
          <t xml:space="preserve">
Adjusted based on ZLCM enrollment $40 cap</t>
        </r>
      </text>
    </comment>
    <comment ref="BQ34" authorId="0" shapeId="0" xr:uid="{00000000-0006-0000-0100-00001B000000}">
      <text>
        <r>
          <rPr>
            <sz val="11"/>
            <color theme="1"/>
            <rFont val="Calibri"/>
            <family val="2"/>
            <scheme val="minor"/>
          </rPr>
          <t>Spatz $44 https://exploringstatistics.com/bookstores.php
Passer $181.03 https://www.barnesandnoble.com/w/research-methods-michael-passer/1117355364
Cozby $133.33 https://www.mheducation.com/highered/product/methods-behavioral-research-cozby-bates/M1259676986.html
Howell $239.35 https://www.cengage.com/c/fundamental-statistics-for-the-behavioral-sciences-9e-howell/9781305652972#compare-buying-options
 Avg of two courses</t>
        </r>
      </text>
    </comment>
    <comment ref="BQ35" authorId="0" shapeId="0" xr:uid="{00000000-0006-0000-0100-00001C000000}">
      <text>
        <r>
          <rPr>
            <sz val="11"/>
            <color theme="1"/>
            <rFont val="Calibri"/>
            <family val="2"/>
            <scheme val="minor"/>
          </rPr>
          <t xml:space="preserve">This was the institution's biology lab manual, moving from paid to OER. </t>
        </r>
      </text>
    </comment>
    <comment ref="AI36" authorId="0" shapeId="0" xr:uid="{00000000-0006-0000-0100-00001D000000}">
      <text>
        <r>
          <rPr>
            <sz val="11"/>
            <color theme="1"/>
            <rFont val="Calibri"/>
            <family val="2"/>
            <scheme val="minor"/>
          </rPr>
          <t xml:space="preserve">Confirmed through OpenStax Monthly Adoption Report April 2018
</t>
        </r>
      </text>
    </comment>
    <comment ref="BL36" authorId="0" shapeId="0" xr:uid="{00000000-0006-0000-0100-00001E000000}">
      <text>
        <r>
          <rPr>
            <b/>
            <sz val="9"/>
            <color indexed="81"/>
            <rFont val="Tahoma"/>
            <family val="2"/>
          </rPr>
          <t>Jeff Gallant:</t>
        </r>
        <r>
          <rPr>
            <sz val="9"/>
            <color indexed="81"/>
            <rFont val="Tahoma"/>
            <family val="2"/>
          </rPr>
          <t xml:space="preserve">
ZNCM, changed based on enrollment data</t>
        </r>
      </text>
    </comment>
    <comment ref="BQ36" authorId="0" shapeId="0" xr:uid="{00000000-0006-0000-0100-00001F000000}">
      <text>
        <r>
          <rPr>
            <b/>
            <sz val="9"/>
            <color indexed="81"/>
            <rFont val="Tahoma"/>
            <family val="2"/>
          </rPr>
          <t>Jeff Gallant:300.21 minus $40 cost cap for ZLCM enrollments</t>
        </r>
      </text>
    </comment>
    <comment ref="BL38" authorId="0" shapeId="0" xr:uid="{00000000-0006-0000-0100-000020000000}">
      <text>
        <r>
          <rPr>
            <b/>
            <sz val="9"/>
            <color indexed="81"/>
            <rFont val="Tahoma"/>
            <family val="2"/>
          </rPr>
          <t>Jeff Gallant:</t>
        </r>
        <r>
          <rPr>
            <sz val="9"/>
            <color indexed="81"/>
            <rFont val="Tahoma"/>
            <family val="2"/>
          </rPr>
          <t xml:space="preserve">
Email</t>
        </r>
      </text>
    </comment>
    <comment ref="AI39" authorId="0" shapeId="0" xr:uid="{00000000-0006-0000-0100-000021000000}">
      <text>
        <r>
          <rPr>
            <sz val="11"/>
            <color theme="1"/>
            <rFont val="Calibri"/>
            <family val="2"/>
            <scheme val="minor"/>
          </rPr>
          <t xml:space="preserve">Confirmed through OpenStax Monthly Adoption Report April 2018
</t>
        </r>
      </text>
    </comment>
    <comment ref="BL39" authorId="1" shapeId="0" xr:uid="{00000000-0006-0000-0100-000022000000}">
      <text>
        <t xml:space="preserve">[Threaded comment]
Your version of Excel allows you to read this threaded comment; however, any edits to it will get removed if the file is opened in a newer version of Excel. Learn more: https://go.microsoft.com/fwlink/?linkid=870924
Comment:
    Marked as Continued in SC3, changed here retrospectively. 
</t>
      </text>
    </comment>
    <comment ref="BL41" authorId="0" shapeId="0" xr:uid="{00000000-0006-0000-0100-000023000000}">
      <text>
        <r>
          <rPr>
            <b/>
            <sz val="9"/>
            <color indexed="81"/>
            <rFont val="Tahoma"/>
            <family val="2"/>
          </rPr>
          <t>Jeff Gallant:</t>
        </r>
        <r>
          <rPr>
            <sz val="9"/>
            <color indexed="81"/>
            <rFont val="Tahoma"/>
            <family val="2"/>
          </rPr>
          <t xml:space="preserve">
Dr. Denley Email.</t>
        </r>
      </text>
    </comment>
    <comment ref="BQ41" authorId="0" shapeId="0" xr:uid="{00000000-0006-0000-0100-000024000000}">
      <text>
        <r>
          <rPr>
            <sz val="11"/>
            <color theme="1"/>
            <rFont val="Calibri"/>
            <family val="2"/>
            <scheme val="minor"/>
          </rPr>
          <t>Using a standard text for reference per the proposal</t>
        </r>
      </text>
    </comment>
    <comment ref="BL42" authorId="0" shapeId="0" xr:uid="{00000000-0006-0000-0100-000025000000}">
      <text>
        <r>
          <rPr>
            <b/>
            <sz val="9"/>
            <color indexed="81"/>
            <rFont val="Tahoma"/>
            <family val="2"/>
          </rPr>
          <t>Jeff Gallant:</t>
        </r>
        <r>
          <rPr>
            <sz val="9"/>
            <color indexed="81"/>
            <rFont val="Tahoma"/>
            <family val="2"/>
          </rPr>
          <t xml:space="preserve">
Email</t>
        </r>
      </text>
    </comment>
    <comment ref="BQ42" authorId="0" shapeId="0" xr:uid="{00000000-0006-0000-0100-000026000000}">
      <text>
        <r>
          <rPr>
            <sz val="11"/>
            <color theme="1"/>
            <rFont val="Calibri"/>
            <family val="2"/>
            <scheme val="minor"/>
          </rPr>
          <t>LIBR 1101 $88.95 https://www.cengage.com/c/100-information-literacy-success-loose-leaf-version-4e-wilson?filterBy=Student
EDUC 3200 $154.40 https://www.pearson.com/us/higher-education/product/Lever-Duffy-Teaching-and-Learning-with-Technology-4th-Edition/9780138007966.html</t>
        </r>
      </text>
    </comment>
    <comment ref="BQ43" authorId="0" shapeId="0" xr:uid="{00000000-0006-0000-0100-000027000000}">
      <text>
        <r>
          <rPr>
            <sz val="11"/>
            <color theme="1"/>
            <rFont val="Calibri"/>
            <family val="2"/>
            <scheme val="minor"/>
          </rPr>
          <t>PSYC: $115.99 https://www.macmillanlearning.com/Catalog/product/psychologyineverydaylife-fourthedition-myers/valueoptions#tab 
SOCI: $190.00 https://www.pearson.com/us/higher-education/product/Henslin-Essentials-of-Sociology-12th-Edition/9780134205588.html</t>
        </r>
      </text>
    </comment>
    <comment ref="BQ44" authorId="0" shapeId="0" xr:uid="{00000000-0006-0000-0100-000028000000}">
      <text>
        <r>
          <rPr>
            <sz val="11"/>
            <color theme="1"/>
            <rFont val="Calibri"/>
            <family val="2"/>
            <scheme val="minor"/>
          </rPr>
          <t>Macro $257.99 https://www.macmillanlearning.com/Catalog/product/macroeconomics-fourthedition-krugman/valueoptions#tab
Micro $257.99 https://www.macmillanlearning.com/Catalog/product/microeconomics-fourthedition-krugman/valueoptions#tab</t>
        </r>
      </text>
    </comment>
    <comment ref="BL45" authorId="0" shapeId="0" xr:uid="{00000000-0006-0000-0100-000029000000}">
      <text>
        <r>
          <rPr>
            <b/>
            <sz val="9"/>
            <color indexed="81"/>
            <rFont val="Tahoma"/>
            <family val="2"/>
          </rPr>
          <t>Jeff Gallant:</t>
        </r>
        <r>
          <rPr>
            <sz val="9"/>
            <color indexed="81"/>
            <rFont val="Tahoma"/>
            <family val="2"/>
          </rPr>
          <t xml:space="preserve">
Transferred to Rebecca Weaver. Recent emails show she is leading a committee at Perimeter on the open textbook. </t>
        </r>
      </text>
    </comment>
    <comment ref="BQ45" authorId="0" shapeId="0" xr:uid="{00000000-0006-0000-0100-00002A000000}">
      <text>
        <r>
          <rPr>
            <sz val="11"/>
            <color theme="1"/>
            <rFont val="Calibri"/>
            <family val="2"/>
            <scheme val="minor"/>
          </rPr>
          <t xml:space="preserve">Steps to Writing Well $99.95 https://www.cengage.com/c/steps-to-writing-well-with-additional-readings-2016-mla-update-10e-wyrick
Rules for Writers $51.99 https://www.macmillanlearning.com/Catalog/product/rulesforwriterswith2016mlaupdate-eighthedition-hacker/valueoptions#tab
</t>
        </r>
      </text>
    </comment>
    <comment ref="AI46" authorId="0" shapeId="0" xr:uid="{00000000-0006-0000-0100-00002B000000}">
      <text>
        <r>
          <rPr>
            <b/>
            <sz val="9"/>
            <color indexed="81"/>
            <rFont val="Tahoma"/>
            <family val="2"/>
          </rPr>
          <t>Jeff Gallant:</t>
        </r>
        <r>
          <rPr>
            <sz val="9"/>
            <color indexed="81"/>
            <rFont val="Tahoma"/>
            <family val="2"/>
          </rPr>
          <t xml:space="preserve">
ZNCM Data</t>
        </r>
      </text>
    </comment>
    <comment ref="BL46" authorId="0" shapeId="0" xr:uid="{00000000-0006-0000-0100-00002C000000}">
      <text>
        <r>
          <rPr>
            <b/>
            <sz val="9"/>
            <color indexed="81"/>
            <rFont val="Tahoma"/>
            <family val="2"/>
          </rPr>
          <t>Jeff Gallant:</t>
        </r>
        <r>
          <rPr>
            <sz val="9"/>
            <color indexed="81"/>
            <rFont val="Tahoma"/>
            <family val="2"/>
          </rPr>
          <t xml:space="preserve">
ZNCM Data</t>
        </r>
      </text>
    </comment>
    <comment ref="AA47" authorId="0" shapeId="0" xr:uid="{00000000-0006-0000-0100-00002D000000}">
      <text>
        <r>
          <rPr>
            <b/>
            <sz val="9"/>
            <color indexed="81"/>
            <rFont val="Tahoma"/>
            <family val="2"/>
          </rPr>
          <t>Jeff Gallant:</t>
        </r>
        <r>
          <rPr>
            <sz val="9"/>
            <color indexed="81"/>
            <rFont val="Tahoma"/>
            <family val="2"/>
          </rPr>
          <t xml:space="preserve">
Adjusted for ZLCM Data</t>
        </r>
      </text>
    </comment>
    <comment ref="AB47" authorId="0" shapeId="0" xr:uid="{00000000-0006-0000-0100-00002E000000}">
      <text>
        <r>
          <rPr>
            <b/>
            <sz val="9"/>
            <color indexed="81"/>
            <rFont val="Tahoma"/>
            <family val="2"/>
          </rPr>
          <t>Jeff Gallant:</t>
        </r>
        <r>
          <rPr>
            <sz val="9"/>
            <color indexed="81"/>
            <rFont val="Tahoma"/>
            <family val="2"/>
          </rPr>
          <t xml:space="preserve">
Adjusted for ZLCM Data
</t>
        </r>
      </text>
    </comment>
    <comment ref="BL47" authorId="0" shapeId="0" xr:uid="{00000000-0006-0000-0100-00002F000000}">
      <text>
        <r>
          <rPr>
            <b/>
            <sz val="9"/>
            <color indexed="81"/>
            <rFont val="Tahoma"/>
            <family val="2"/>
          </rPr>
          <t>Jeff Gallant:</t>
        </r>
        <r>
          <rPr>
            <sz val="9"/>
            <color indexed="81"/>
            <rFont val="Tahoma"/>
            <family val="2"/>
          </rPr>
          <t xml:space="preserve">
ZLCM Data</t>
        </r>
      </text>
    </comment>
    <comment ref="BQ47" authorId="0" shapeId="0" xr:uid="{00000000-0006-0000-0100-000030000000}">
      <text>
        <r>
          <rPr>
            <sz val="11"/>
            <color theme="1"/>
            <rFont val="Calibri"/>
            <family val="2"/>
            <scheme val="minor"/>
          </rPr>
          <t>Adjusted for ZLCM $40 Cost Cap
Spring $160 https://www.routledge.com/American-Education-18th-Edition/Spring/p/book/9781138087255 
Sensoy $34.95 https://www.tcpress.com/is-everyone-really-equal-9780807758618 
Slavin $81.27 https://www.pearson.com/us/higher-education/program/Slavin-Educational-Psychology-Theory-and-Practice-with-My-Lab-Education-with-Enhanced</t>
        </r>
      </text>
    </comment>
    <comment ref="CD47" authorId="0" shapeId="0" xr:uid="{00000000-0006-0000-0100-000031000000}">
      <text>
        <r>
          <rPr>
            <b/>
            <sz val="9"/>
            <color indexed="81"/>
            <rFont val="Tahoma"/>
            <family val="2"/>
          </rPr>
          <t>Jeff Gallant:</t>
        </r>
        <r>
          <rPr>
            <sz val="9"/>
            <color indexed="81"/>
            <rFont val="Tahoma"/>
            <family val="2"/>
          </rPr>
          <t xml:space="preserve">
Marked "unknown" due to relying only on current enrollment numbers, therefore using last year's estimate for Spring. </t>
        </r>
      </text>
    </comment>
    <comment ref="AI48" authorId="0" shapeId="0" xr:uid="{00000000-0006-0000-0100-000032000000}">
      <text>
        <r>
          <rPr>
            <b/>
            <sz val="9"/>
            <color indexed="81"/>
            <rFont val="Tahoma"/>
            <family val="2"/>
          </rPr>
          <t>Jeff Gallant:</t>
        </r>
        <r>
          <rPr>
            <sz val="9"/>
            <color indexed="81"/>
            <rFont val="Tahoma"/>
            <family val="2"/>
          </rPr>
          <t xml:space="preserve">
ZNCM Data</t>
        </r>
      </text>
    </comment>
    <comment ref="BL48" authorId="0" shapeId="0" xr:uid="{00000000-0006-0000-0100-000033000000}">
      <text>
        <r>
          <rPr>
            <b/>
            <sz val="9"/>
            <color indexed="81"/>
            <rFont val="Tahoma"/>
            <family val="2"/>
          </rPr>
          <t>Jeff Gallant:</t>
        </r>
        <r>
          <rPr>
            <sz val="9"/>
            <color indexed="81"/>
            <rFont val="Tahoma"/>
            <family val="2"/>
          </rPr>
          <t xml:space="preserve">
ZNCM Data</t>
        </r>
      </text>
    </comment>
    <comment ref="BQ49" authorId="0" shapeId="0" xr:uid="{00000000-0006-0000-0100-000034000000}">
      <text>
        <r>
          <rPr>
            <b/>
            <sz val="9"/>
            <color indexed="81"/>
            <rFont val="Tahoma"/>
            <family val="2"/>
          </rPr>
          <t>Jeff Gallant:</t>
        </r>
        <r>
          <rPr>
            <sz val="9"/>
            <color indexed="81"/>
            <rFont val="Tahoma"/>
            <family val="2"/>
          </rPr>
          <t xml:space="preserve">
Overriden by 2019 Survey</t>
        </r>
      </text>
    </comment>
    <comment ref="BL50" authorId="0" shapeId="0" xr:uid="{00000000-0006-0000-0100-000035000000}">
      <text>
        <r>
          <rPr>
            <b/>
            <sz val="9"/>
            <color indexed="81"/>
            <rFont val="Tahoma"/>
            <family val="2"/>
          </rPr>
          <t>Jeff Gallant:</t>
        </r>
        <r>
          <rPr>
            <sz val="9"/>
            <color indexed="81"/>
            <rFont val="Tahoma"/>
            <family val="2"/>
          </rPr>
          <t xml:space="preserve">
Transferred to Samuel Cartwright</t>
        </r>
      </text>
    </comment>
    <comment ref="BQ51" authorId="0" shapeId="0" xr:uid="{00000000-0006-0000-0100-000036000000}">
      <text>
        <r>
          <rPr>
            <sz val="11"/>
            <color theme="1"/>
            <rFont val="Calibri"/>
            <family val="2"/>
            <scheme val="minor"/>
          </rPr>
          <t>Various monographs</t>
        </r>
      </text>
    </comment>
    <comment ref="AI52" authorId="0" shapeId="0" xr:uid="{00000000-0006-0000-0100-000037000000}">
      <text>
        <r>
          <rPr>
            <sz val="11"/>
            <color theme="1"/>
            <rFont val="Calibri"/>
            <family val="2"/>
            <scheme val="minor"/>
          </rPr>
          <t xml:space="preserve">Confirmed through OpenStax Monthly Adoption Report April 2018
</t>
        </r>
      </text>
    </comment>
    <comment ref="BL52" authorId="0" shapeId="0" xr:uid="{00000000-0006-0000-0100-000038000000}">
      <text>
        <r>
          <rPr>
            <b/>
            <sz val="9"/>
            <color indexed="81"/>
            <rFont val="Tahoma"/>
            <family val="2"/>
          </rPr>
          <t>Jeff Gallant:</t>
        </r>
        <r>
          <rPr>
            <sz val="9"/>
            <color indexed="81"/>
            <rFont val="Tahoma"/>
            <family val="2"/>
          </rPr>
          <t xml:space="preserve">
Email
</t>
        </r>
      </text>
    </comment>
    <comment ref="BQ52" authorId="0" shapeId="0" xr:uid="{00000000-0006-0000-0100-000039000000}">
      <text>
        <r>
          <rPr>
            <sz val="11"/>
            <color theme="1"/>
            <rFont val="Calibri"/>
            <family val="2"/>
            <scheme val="minor"/>
          </rPr>
          <t xml:space="preserve">Algebra $262.27 https://www.pearson.com/us/higher-education/product/Bittinger-College-Algebra-Graphs-and-Models-6th-Edition/9780134179032.html?tab=order
Trigonometry Bundle $324.95 https://www.pearson.com/us/higher-education/product/Bittinger-College-Algebra-Graphs-and-Models-6th-Edition/9780134179032.html?tab=order
Precalculus Bundle $323.95 https://www.cengage.com/c/precalculus-10e-larson
Statistics $177.80 https://www.pearson.com/us/higher-education/product/Triola-Essentials-of-Statistics-5th-Edition/9780321924599.html?tab=order 
Minus ($32.95*3) costs
</t>
        </r>
      </text>
    </comment>
    <comment ref="Z53" authorId="0" shapeId="0" xr:uid="{00000000-0006-0000-0100-00003A000000}">
      <text>
        <r>
          <rPr>
            <b/>
            <sz val="9"/>
            <color indexed="81"/>
            <rFont val="Tahoma"/>
            <family val="2"/>
          </rPr>
          <t>Jeff Gallant:</t>
        </r>
        <r>
          <rPr>
            <sz val="9"/>
            <color indexed="81"/>
            <rFont val="Tahoma"/>
            <family val="2"/>
          </rPr>
          <t xml:space="preserve">
Dr. Denley Email
</t>
        </r>
      </text>
    </comment>
    <comment ref="AD53" authorId="0" shapeId="0" xr:uid="{00000000-0006-0000-0100-00003B000000}">
      <text>
        <r>
          <rPr>
            <b/>
            <sz val="9"/>
            <color indexed="81"/>
            <rFont val="Tahoma"/>
            <family val="2"/>
          </rPr>
          <t>Jeff Gallant:</t>
        </r>
        <r>
          <rPr>
            <sz val="9"/>
            <color indexed="81"/>
            <rFont val="Tahoma"/>
            <family val="2"/>
          </rPr>
          <t xml:space="preserve">
Dr. Denley Email</t>
        </r>
      </text>
    </comment>
    <comment ref="AI53" authorId="0" shapeId="0" xr:uid="{00000000-0006-0000-0100-00003C000000}">
      <text>
        <r>
          <rPr>
            <b/>
            <sz val="9"/>
            <color indexed="81"/>
            <rFont val="Tahoma"/>
            <family val="2"/>
          </rPr>
          <t>Jeff Gallant:</t>
        </r>
        <r>
          <rPr>
            <sz val="9"/>
            <color indexed="81"/>
            <rFont val="Tahoma"/>
            <family val="2"/>
          </rPr>
          <t xml:space="preserve">
Dr. Denley Email
</t>
        </r>
      </text>
    </comment>
    <comment ref="BL53" authorId="0" shapeId="0" xr:uid="{00000000-0006-0000-0100-00003D000000}">
      <text>
        <r>
          <rPr>
            <b/>
            <sz val="9"/>
            <color indexed="81"/>
            <rFont val="Tahoma"/>
            <family val="2"/>
          </rPr>
          <t>Jeff Gallant:</t>
        </r>
        <r>
          <rPr>
            <sz val="9"/>
            <color indexed="81"/>
            <rFont val="Tahoma"/>
            <family val="2"/>
          </rPr>
          <t xml:space="preserve">
Dr. Denley Email</t>
        </r>
      </text>
    </comment>
    <comment ref="BQ54" authorId="0" shapeId="0" xr:uid="{00000000-0006-0000-0100-00003E000000}">
      <text>
        <r>
          <rPr>
            <sz val="11"/>
            <color theme="1"/>
            <rFont val="Calibri"/>
            <family val="2"/>
            <scheme val="minor"/>
          </rPr>
          <t>Various monographs and technology guides</t>
        </r>
      </text>
    </comment>
    <comment ref="AI55" authorId="0" shapeId="0" xr:uid="{00000000-0006-0000-0100-00003F000000}">
      <text>
        <r>
          <rPr>
            <sz val="11"/>
            <color theme="1"/>
            <rFont val="Calibri"/>
            <family val="2"/>
            <scheme val="minor"/>
          </rPr>
          <t xml:space="preserve">Confirmed through OpenStax Monthly Adoption Report April 2018
</t>
        </r>
      </text>
    </comment>
    <comment ref="BL55" authorId="0" shapeId="0" xr:uid="{00000000-0006-0000-0100-000040000000}">
      <text>
        <r>
          <rPr>
            <b/>
            <sz val="9"/>
            <color indexed="81"/>
            <rFont val="Tahoma"/>
            <family val="2"/>
          </rPr>
          <t>Jeff Gallant:</t>
        </r>
        <r>
          <rPr>
            <sz val="9"/>
            <color indexed="81"/>
            <rFont val="Tahoma"/>
            <family val="2"/>
          </rPr>
          <t xml:space="preserve">
ZNCM Data, Dr. Denley Email</t>
        </r>
      </text>
    </comment>
    <comment ref="BQ55" authorId="0" shapeId="0" xr:uid="{00000000-0006-0000-0100-000041000000}">
      <text>
        <r>
          <rPr>
            <sz val="11"/>
            <color theme="1"/>
            <rFont val="Calibri"/>
            <family val="2"/>
            <scheme val="minor"/>
          </rPr>
          <t>Average: $224 Algebra, http://www.mypearsonstore.com/bookstore/beginning-intermediate-algebra-plus-new-mylab-math-9780134194004?xid=PSED 
$299.95 Algebra and Trig, https://www.cengage.com/c/algebra-and-trigonometry-4e-stewart/9781305071742#compare-buying-options</t>
        </r>
      </text>
    </comment>
    <comment ref="BL56" authorId="0" shapeId="0" xr:uid="{00000000-0006-0000-0100-000042000000}">
      <text>
        <r>
          <rPr>
            <b/>
            <sz val="9"/>
            <color indexed="81"/>
            <rFont val="Tahoma"/>
            <family val="2"/>
          </rPr>
          <t>Jeff Gallant:</t>
        </r>
        <r>
          <rPr>
            <sz val="9"/>
            <color indexed="81"/>
            <rFont val="Tahoma"/>
            <family val="2"/>
          </rPr>
          <t xml:space="preserve">
Dr. Denley Email</t>
        </r>
      </text>
    </comment>
    <comment ref="BQ57" authorId="0" shapeId="0" xr:uid="{00000000-0006-0000-0100-000043000000}">
      <text>
        <r>
          <rPr>
            <sz val="11"/>
            <color theme="1"/>
            <rFont val="Calibri"/>
            <family val="2"/>
            <scheme val="minor"/>
          </rPr>
          <t>Martin-Gay $235.80 https://www.pearson.com/us/higher-education/program/Martin-Gay-Beginning-Intermediate-Algebra-Plus-NEW-My-Lab-Math-with-Pearson-e-Text-Access-Card-Package-6th-Edition/PGM334409.html?tab=order
Redlin/Watson $299.95 https://www.cengage.com/c/algebra-and-trigonometry-4e-stewart/9781305071742#compare-buying-options 
Larson Edwards $249.95
https://www.cengage.com/c/calculus-11e-larson#</t>
        </r>
      </text>
    </comment>
    <comment ref="BQ58" authorId="0" shapeId="0" xr:uid="{00000000-0006-0000-0100-000044000000}">
      <text>
        <r>
          <rPr>
            <sz val="11"/>
            <color theme="1"/>
            <rFont val="Calibri"/>
            <family val="2"/>
            <scheme val="minor"/>
          </rPr>
          <t>Various technology guides</t>
        </r>
      </text>
    </comment>
    <comment ref="BQ59" authorId="0" shapeId="0" xr:uid="{00000000-0006-0000-0100-000045000000}">
      <text>
        <r>
          <rPr>
            <b/>
            <sz val="9"/>
            <color indexed="81"/>
            <rFont val="Tahoma"/>
            <family val="2"/>
          </rPr>
          <t>Jeff Gallant:</t>
        </r>
        <r>
          <rPr>
            <sz val="9"/>
            <color indexed="81"/>
            <rFont val="Tahoma"/>
            <family val="2"/>
          </rPr>
          <t xml:space="preserve">
Overruled by 2019 survey</t>
        </r>
      </text>
    </comment>
    <comment ref="CD60" authorId="0" shapeId="0" xr:uid="{00000000-0006-0000-0100-000046000000}">
      <text>
        <r>
          <rPr>
            <b/>
            <sz val="9"/>
            <color indexed="81"/>
            <rFont val="Tahoma"/>
            <family val="2"/>
          </rPr>
          <t>Jeff Gallant:</t>
        </r>
        <r>
          <rPr>
            <sz val="9"/>
            <color indexed="81"/>
            <rFont val="Tahoma"/>
            <family val="2"/>
          </rPr>
          <t xml:space="preserve">
Team is only using actual enrollment data, used last reported average for Spring.</t>
        </r>
      </text>
    </comment>
    <comment ref="BQ61" authorId="0" shapeId="0" xr:uid="{00000000-0006-0000-0100-000047000000}">
      <text>
        <r>
          <rPr>
            <sz val="11"/>
            <color theme="1"/>
            <rFont val="Calibri"/>
            <family val="2"/>
            <scheme val="minor"/>
          </rPr>
          <t>Based on the average done on 129 between using and not using Connect.</t>
        </r>
      </text>
    </comment>
    <comment ref="CF61" authorId="0" shapeId="0" xr:uid="{00000000-0006-0000-0100-000048000000}">
      <text>
        <r>
          <rPr>
            <b/>
            <sz val="9"/>
            <color indexed="81"/>
            <rFont val="Tahoma"/>
            <family val="2"/>
          </rPr>
          <t>Jeff Gallant:</t>
        </r>
        <r>
          <rPr>
            <sz val="9"/>
            <color indexed="81"/>
            <rFont val="Tahoma"/>
            <family val="2"/>
          </rPr>
          <t xml:space="preserve">
Lead gave a per-year estimate here, divided it by the number of students</t>
        </r>
      </text>
    </comment>
    <comment ref="BQ67" authorId="0" shapeId="0" xr:uid="{00000000-0006-0000-0100-000049000000}">
      <text>
        <r>
          <rPr>
            <sz val="11"/>
            <color theme="1"/>
            <rFont val="Calibri"/>
            <family val="2"/>
            <scheme val="minor"/>
          </rPr>
          <t>1. $14.84
2. $34.59 https://www.barnesandnoble.com/w/history-of-east-asia-charles-holcombe/1100958923
3. $155 https://www.routledge.com/Asian-Popular-Culture-in-Transition/Lent-Fitzsimmons/p/book/9780415692847</t>
        </r>
      </text>
    </comment>
    <comment ref="BL70" authorId="0" shapeId="0" xr:uid="{00000000-0006-0000-0100-00004A000000}">
      <text>
        <r>
          <rPr>
            <b/>
            <sz val="9"/>
            <color indexed="81"/>
            <rFont val="Tahoma"/>
            <family val="2"/>
          </rPr>
          <t>Jeff Gallant:</t>
        </r>
        <r>
          <rPr>
            <sz val="9"/>
            <color indexed="81"/>
            <rFont val="Tahoma"/>
            <family val="2"/>
          </rPr>
          <t xml:space="preserve">
ZNCM Data, Email</t>
        </r>
      </text>
    </comment>
    <comment ref="BQ70" authorId="0" shapeId="0" xr:uid="{00000000-0006-0000-0100-00004B000000}">
      <text>
        <r>
          <rPr>
            <sz val="11"/>
            <color theme="1"/>
            <rFont val="Calibri"/>
            <family val="2"/>
            <scheme val="minor"/>
          </rPr>
          <t xml:space="preserve">Replacement for their own institution's guide and supplementals. </t>
        </r>
      </text>
    </comment>
    <comment ref="BQ71" authorId="0" shapeId="0" xr:uid="{00000000-0006-0000-0100-00004C000000}">
      <text>
        <r>
          <rPr>
            <sz val="11"/>
            <color theme="1"/>
            <rFont val="Calibri"/>
            <family val="2"/>
            <scheme val="minor"/>
          </rPr>
          <t>Various lab manuals</t>
        </r>
      </text>
    </comment>
    <comment ref="BL75" authorId="0" shapeId="0" xr:uid="{00000000-0006-0000-0100-00004D000000}">
      <text>
        <r>
          <rPr>
            <b/>
            <sz val="9"/>
            <color indexed="81"/>
            <rFont val="Tahoma"/>
            <family val="2"/>
          </rPr>
          <t>Jeff Gallant:</t>
        </r>
        <r>
          <rPr>
            <sz val="9"/>
            <color indexed="81"/>
            <rFont val="Tahoma"/>
            <family val="2"/>
          </rPr>
          <t xml:space="preserve">
Email</t>
        </r>
      </text>
    </comment>
    <comment ref="CA76" authorId="2" shapeId="0" xr:uid="{B95C73A8-A597-420A-AC3D-29E84F8438E3}">
      <text>
        <t>[Threaded comment]
Your version of Excel allows you to read this threaded comment; however, any edits to it will get removed if the file is opened in a newer version of Excel. Learn more: https://go.microsoft.com/fwlink/?linkid=870924
Comment:
    UNG: No longer at institution</t>
      </text>
    </comment>
    <comment ref="BL77" authorId="0" shapeId="0" xr:uid="{00000000-0006-0000-0100-00004E000000}">
      <text>
        <r>
          <rPr>
            <b/>
            <sz val="9"/>
            <color indexed="81"/>
            <rFont val="Tahoma"/>
            <family val="2"/>
          </rPr>
          <t>Jeff Gallant:</t>
        </r>
        <r>
          <rPr>
            <sz val="9"/>
            <color indexed="81"/>
            <rFont val="Tahoma"/>
            <family val="2"/>
          </rPr>
          <t xml:space="preserve">
ZNCM Data</t>
        </r>
      </text>
    </comment>
    <comment ref="BL78" authorId="0" shapeId="0" xr:uid="{00000000-0006-0000-0100-00004F000000}">
      <text>
        <r>
          <rPr>
            <b/>
            <sz val="9"/>
            <color indexed="81"/>
            <rFont val="Tahoma"/>
            <family val="2"/>
          </rPr>
          <t>Jeff Gallant:</t>
        </r>
        <r>
          <rPr>
            <sz val="9"/>
            <color indexed="81"/>
            <rFont val="Tahoma"/>
            <family val="2"/>
          </rPr>
          <t xml:space="preserve">
ZNCM Data - Andrea Jacques, she's married now</t>
        </r>
      </text>
    </comment>
    <comment ref="BL80" authorId="0" shapeId="0" xr:uid="{00000000-0006-0000-0100-000050000000}">
      <text>
        <r>
          <rPr>
            <b/>
            <sz val="9"/>
            <color indexed="81"/>
            <rFont val="Tahoma"/>
            <family val="2"/>
          </rPr>
          <t>Jeff Gallant:</t>
        </r>
        <r>
          <rPr>
            <sz val="9"/>
            <color indexed="81"/>
            <rFont val="Tahoma"/>
            <family val="2"/>
          </rPr>
          <t xml:space="preserve">
ZNCM Data</t>
        </r>
      </text>
    </comment>
    <comment ref="BQ80" authorId="0" shapeId="0" xr:uid="{00000000-0006-0000-0100-000051000000}">
      <text>
        <r>
          <rPr>
            <sz val="11"/>
            <color theme="1"/>
            <rFont val="Calibri"/>
            <family val="2"/>
            <scheme val="minor"/>
          </rPr>
          <t>Triola Statistics minus WebAssign cost, not factoring calculator into account.</t>
        </r>
      </text>
    </comment>
    <comment ref="BQ81" authorId="0" shapeId="0" xr:uid="{00000000-0006-0000-0100-000052000000}">
      <text>
        <r>
          <rPr>
            <sz val="11"/>
            <color theme="1"/>
            <rFont val="Calibri"/>
            <family val="2"/>
            <scheme val="minor"/>
          </rPr>
          <t xml:space="preserve">1. $32.77 https://www.amazon.com/Deculturalization-Struggle-Equality-Sociocultural-Historical/dp/1138119407/ref=mt_paperback?_encoding=UTF8&amp;me=&amp;qid=
2. $39.16 https://www.routledge.com/The-Inner-World-of-the-Immigrant-Child/Igoa/p/book/9780805880137
</t>
        </r>
      </text>
    </comment>
    <comment ref="BQ82" authorId="0" shapeId="0" xr:uid="{00000000-0006-0000-0100-000053000000}">
      <text>
        <r>
          <rPr>
            <sz val="11"/>
            <color theme="1"/>
            <rFont val="Calibri"/>
            <family val="2"/>
            <scheme val="minor"/>
          </rPr>
          <t>1. $199.40 https://www.pearson.com/us/higher-education/product/Oliva-Developing-the-Curriculum-8th-Edition/9780132627511.html?tab=order
2. $177.03 https://www.barnesandnoble.com/w/analyzing-the-curriculum-george-j-posner/1100010019</t>
        </r>
      </text>
    </comment>
    <comment ref="BQ83" authorId="0" shapeId="0" xr:uid="{00000000-0006-0000-0100-000054000000}">
      <text>
        <r>
          <rPr>
            <sz val="11"/>
            <color theme="1"/>
            <rFont val="Calibri"/>
            <family val="2"/>
            <scheme val="minor"/>
          </rPr>
          <t xml:space="preserve">Average of three books: 
1. 85.95 http://www.jblearning.com/catalog/9781284124910/
2. 37.75 https://www.amazon.com/Financial-Management-Organizations-Services-Administration/dp/0766835472
3. 196.88 https://www.barnesandnoble.com/w/health-economics-and-financing-getzen/1101188840 </t>
        </r>
      </text>
    </comment>
    <comment ref="BL84" authorId="0" shapeId="0" xr:uid="{00000000-0006-0000-0100-000055000000}">
      <text>
        <r>
          <rPr>
            <b/>
            <sz val="9"/>
            <color indexed="81"/>
            <rFont val="Tahoma"/>
            <family val="2"/>
          </rPr>
          <t>Jeff Gallant:</t>
        </r>
        <r>
          <rPr>
            <sz val="9"/>
            <color indexed="81"/>
            <rFont val="Tahoma"/>
            <family val="2"/>
          </rPr>
          <t xml:space="preserve">
Email</t>
        </r>
      </text>
    </comment>
    <comment ref="BQ84" authorId="0" shapeId="0" xr:uid="{00000000-0006-0000-0100-000056000000}">
      <text>
        <r>
          <rPr>
            <sz val="11"/>
            <color theme="1"/>
            <rFont val="Calibri"/>
            <family val="2"/>
            <scheme val="minor"/>
          </rPr>
          <t xml:space="preserve">+ average for calculator/no calc. incl. in proposal since they are providing an alternative in R Studio
</t>
        </r>
      </text>
    </comment>
    <comment ref="BQ88" authorId="0" shapeId="0" xr:uid="{00000000-0006-0000-0100-000057000000}">
      <text>
        <r>
          <rPr>
            <sz val="11"/>
            <color theme="1"/>
            <rFont val="Calibri"/>
            <family val="2"/>
            <scheme val="minor"/>
          </rPr>
          <t>+ recording package</t>
        </r>
      </text>
    </comment>
    <comment ref="AI89" authorId="0" shapeId="0" xr:uid="{00000000-0006-0000-0100-000058000000}">
      <text>
        <r>
          <rPr>
            <sz val="11"/>
            <color theme="1"/>
            <rFont val="Calibri"/>
            <family val="2"/>
            <scheme val="minor"/>
          </rPr>
          <t xml:space="preserve">Confirmed through OpenStax Monthly Adoption Report April 2018
</t>
        </r>
      </text>
    </comment>
    <comment ref="BL89" authorId="0" shapeId="0" xr:uid="{00000000-0006-0000-0100-000059000000}">
      <text>
        <r>
          <rPr>
            <b/>
            <sz val="9"/>
            <color indexed="81"/>
            <rFont val="Tahoma"/>
            <family val="2"/>
          </rPr>
          <t>Jeff Gallant:</t>
        </r>
        <r>
          <rPr>
            <sz val="9"/>
            <color indexed="81"/>
            <rFont val="Tahoma"/>
            <family val="2"/>
          </rPr>
          <t xml:space="preserve">
ZNCM Data, Email</t>
        </r>
      </text>
    </comment>
    <comment ref="BQ92" authorId="0" shapeId="0" xr:uid="{00000000-0006-0000-0100-00005A000000}">
      <text>
        <r>
          <rPr>
            <sz val="11"/>
            <color theme="1"/>
            <rFont val="Calibri"/>
            <family val="2"/>
            <scheme val="minor"/>
          </rPr>
          <t>1. $249.25 https://www.mheducation.com/highered/product/M1259277720.html#buying-options 
2. $165.33 https://www.mheducation.com/highered/product/0077522567.html#buying-options</t>
        </r>
      </text>
    </comment>
    <comment ref="BQ93" authorId="0" shapeId="0" xr:uid="{00000000-0006-0000-0100-00005B000000}">
      <text>
        <r>
          <rPr>
            <sz val="11"/>
            <color theme="1"/>
            <rFont val="Calibri"/>
            <family val="2"/>
            <scheme val="minor"/>
          </rPr>
          <t>1. 292.60 https://www.pearson.com/us/higher-education/product/Giancoli-Physics-Principles-with-Applications-7th-Edition/9780321625922.html
2. 189.95 https://www.cengage.com/c/physics-laboratory-experiments-8e-wilson</t>
        </r>
      </text>
    </comment>
    <comment ref="BQ94" authorId="0" shapeId="0" xr:uid="{00000000-0006-0000-0100-00005C000000}">
      <text>
        <r>
          <rPr>
            <sz val="11"/>
            <color theme="1"/>
            <rFont val="Calibri"/>
            <family val="2"/>
            <scheme val="minor"/>
          </rPr>
          <t>Average:
1. 130.66 https://www.mheducation.com/highered/product/social-problems-quality-life-lauer-lauer/M1259914305.html#buying-options
2. 149.95 https://www.cengage.com/c/the-basics-of-social-research-7e-babbie
3. 192.50 https://www.barnesandnoble.com/w/research-methods-bernard-c-beins/1100893857</t>
        </r>
      </text>
    </comment>
    <comment ref="BQ95" authorId="0" shapeId="0" xr:uid="{00000000-0006-0000-0100-00005D000000}">
      <text>
        <r>
          <rPr>
            <sz val="11"/>
            <color theme="1"/>
            <rFont val="Calibri"/>
            <family val="2"/>
            <scheme val="minor"/>
          </rPr>
          <t xml:space="preserve">Average:
college algebra: 234.40 https://www.mheducation.com/highered/product/college-algebra-miller/M0078035635.html#buying-options
pre-calculus: 299.95 https://www.cengage.com/c/precalculus-mathematics-for-calculus-7e-stewart
statistics: 177.80 https://www.pearson.com/us/higher-education/product/Sullivan-Fundamentals-of-Statistics-4th-Edition/9780321838704.html?tab=order
calc 2: 249.95 https://www.cengage.com/c/calculus-early-transcendental-functions-7e-larson
</t>
        </r>
      </text>
    </comment>
    <comment ref="AI96" authorId="0" shapeId="0" xr:uid="{00000000-0006-0000-0100-00005E000000}">
      <text>
        <r>
          <rPr>
            <sz val="11"/>
            <color theme="1"/>
            <rFont val="Calibri"/>
            <family val="2"/>
            <scheme val="minor"/>
          </rPr>
          <t xml:space="preserve">Confirmed through OpenStax Monthly Adoption Report April 2018
</t>
        </r>
      </text>
    </comment>
    <comment ref="BQ96" authorId="0" shapeId="0" xr:uid="{00000000-0006-0000-0100-00005F000000}">
      <text>
        <r>
          <rPr>
            <sz val="11"/>
            <color theme="1"/>
            <rFont val="Calibri"/>
            <family val="2"/>
            <scheme val="minor"/>
          </rPr>
          <t>Learning Space 70.95 https://www.wiley.com/en-us/Bio+Principles%2C+1e+WileyPLUS+Learning+Space+Card-p-9781118908976
SimBio 15 chapter pack 89.00 https://simbio.com/order/order-college</t>
        </r>
      </text>
    </comment>
    <comment ref="AI97" authorId="0" shapeId="0" xr:uid="{00000000-0006-0000-0100-000060000000}">
      <text>
        <r>
          <rPr>
            <sz val="11"/>
            <color theme="1"/>
            <rFont val="Calibri"/>
            <family val="2"/>
            <scheme val="minor"/>
          </rPr>
          <t xml:space="preserve">Confirmed through OpenStax Monthly Adoption Report April 2018
</t>
        </r>
      </text>
    </comment>
    <comment ref="BL97" authorId="0" shapeId="0" xr:uid="{00000000-0006-0000-0100-000061000000}">
      <text>
        <r>
          <rPr>
            <b/>
            <sz val="9"/>
            <color indexed="81"/>
            <rFont val="Tahoma"/>
            <family val="2"/>
          </rPr>
          <t>Jeff Gallant:</t>
        </r>
        <r>
          <rPr>
            <sz val="9"/>
            <color indexed="81"/>
            <rFont val="Tahoma"/>
            <family val="2"/>
          </rPr>
          <t xml:space="preserve">
Email</t>
        </r>
      </text>
    </comment>
    <comment ref="BQ97" authorId="0" shapeId="0" xr:uid="{00000000-0006-0000-0100-000062000000}">
      <text>
        <r>
          <rPr>
            <sz val="11"/>
            <color theme="1"/>
            <rFont val="Calibri"/>
            <family val="2"/>
            <scheme val="minor"/>
          </rPr>
          <t xml:space="preserve">1. 265.95 https://www.wiley.com/en-us/Physics%2C+10th+Edition-p-9781118486894 
2. 22.00 https://www.mhprofessional.com/9781259587399-usa-schaums-outline-of-college-physics-twelfth-edition-group
$10 lab manual not included due to still being implemented
</t>
        </r>
      </text>
    </comment>
    <comment ref="BQ98" authorId="0" shapeId="0" xr:uid="{00000000-0006-0000-0100-000063000000}">
      <text>
        <r>
          <rPr>
            <sz val="11"/>
            <color theme="1"/>
            <rFont val="Calibri"/>
            <family val="2"/>
            <scheme val="minor"/>
          </rPr>
          <t>Reduced through ZLCM Data
1.1. 133.75 http://books.wwnorton.com/books/webad-detail-editions.aspx?id=4294990345
1.2. 29.95 http://www.apastyle.org/manual/
1.total. 163.70
2.1. 239.95 https://www.cengage.com/c/research-methods-and-statistics-a-critical-thinking-approach-5e-jackson
2.2 29.95 (same)
2.total. 269.90
3.1. 29.95 (same)
3.2. 239.95 https://www.cengage.com/shop/isbn/9781133956570 
3.total 269.90
Average 234.50</t>
        </r>
      </text>
    </comment>
    <comment ref="CA98" authorId="3" shapeId="0" xr:uid="{12AF8326-DC8E-4AB5-B1F0-EAA401C1CBBA}">
      <text>
        <t>[Threaded comment]
Your version of Excel allows you to read this threaded comment; however, any edits to it will get removed if the file is opened in a newer version of Excel. Learn more: https://go.microsoft.com/fwlink/?linkid=870924
Comment:
    Discontinued after Spring 2020 due to curricular changes</t>
      </text>
    </comment>
    <comment ref="BQ99" authorId="0" shapeId="0" xr:uid="{00000000-0006-0000-0100-000064000000}">
      <text>
        <r>
          <rPr>
            <sz val="11"/>
            <color theme="1"/>
            <rFont val="Calibri"/>
            <family val="2"/>
            <scheme val="minor"/>
          </rPr>
          <t>179.96 https://macmillanlearning.com/Catalog/product/introductiontothepracticeofstatistics-ninthedition-moore/valueoptions#tab 
Minus $20 post cost</t>
        </r>
      </text>
    </comment>
    <comment ref="S100" authorId="0" shapeId="0" xr:uid="{00000000-0006-0000-0100-000065000000}">
      <text>
        <r>
          <rPr>
            <b/>
            <sz val="9"/>
            <color indexed="81"/>
            <rFont val="Tahoma"/>
            <family val="2"/>
          </rPr>
          <t>Jeff Gallant:</t>
        </r>
        <r>
          <rPr>
            <sz val="9"/>
            <color indexed="81"/>
            <rFont val="Tahoma"/>
            <family val="2"/>
          </rPr>
          <t xml:space="preserve">
Check LibGuide</t>
        </r>
      </text>
    </comment>
    <comment ref="BL101" authorId="0" shapeId="0" xr:uid="{00000000-0006-0000-0100-000066000000}">
      <text>
        <r>
          <rPr>
            <b/>
            <sz val="9"/>
            <color indexed="81"/>
            <rFont val="Tahoma"/>
            <family val="2"/>
          </rPr>
          <t>Jeff Gallant:</t>
        </r>
        <r>
          <rPr>
            <sz val="9"/>
            <color indexed="81"/>
            <rFont val="Tahoma"/>
            <family val="2"/>
          </rPr>
          <t xml:space="preserve">
ZNCM Data</t>
        </r>
      </text>
    </comment>
    <comment ref="BQ101" authorId="0" shapeId="0" xr:uid="{00000000-0006-0000-0100-000067000000}">
      <text>
        <r>
          <rPr>
            <sz val="11"/>
            <color theme="1"/>
            <rFont val="Calibri"/>
            <family val="2"/>
            <scheme val="minor"/>
          </rPr>
          <t xml:space="preserve">Changed from price of last textbook on the list to an average of all prices. Norton is currently down, but price still largely checks out on other sites.
</t>
        </r>
      </text>
    </comment>
    <comment ref="BL102" authorId="0" shapeId="0" xr:uid="{00000000-0006-0000-0100-000068000000}">
      <text>
        <r>
          <rPr>
            <b/>
            <sz val="9"/>
            <color indexed="81"/>
            <rFont val="Tahoma"/>
            <family val="2"/>
          </rPr>
          <t>Jeff Gallant:</t>
        </r>
        <r>
          <rPr>
            <sz val="9"/>
            <color indexed="81"/>
            <rFont val="Tahoma"/>
            <family val="2"/>
          </rPr>
          <t xml:space="preserve">
ZNCM Data</t>
        </r>
      </text>
    </comment>
    <comment ref="BQ102" authorId="0" shapeId="0" xr:uid="{00000000-0006-0000-0100-000069000000}">
      <text>
        <r>
          <rPr>
            <sz val="11"/>
            <color theme="1"/>
            <rFont val="Calibri"/>
            <family val="2"/>
            <scheme val="minor"/>
          </rPr>
          <t xml:space="preserve">1. 174.95 https://www.cengage.com/c/criminal-justice-in-america-9e-cole/9781305966062#compare-buying-options
2. 125.00 https://us.sagepub.com/en-us/nam/introduction-to-criminal-justice/book245435
Average </t>
        </r>
      </text>
    </comment>
    <comment ref="BQ103" authorId="0" shapeId="0" xr:uid="{00000000-0006-0000-0100-00006A000000}">
      <text>
        <r>
          <rPr>
            <sz val="11"/>
            <color theme="1"/>
            <rFont val="Calibri"/>
            <family val="2"/>
            <scheme val="minor"/>
          </rPr>
          <t xml:space="preserve">1. 174.95 https://www.cengage.com/c/criminal-justice-in-america-9e-cole/9781305966062#compare-buying-options
2. 125.00 https://us.sagepub.com/en-us/nam/introduction-to-criminal-justice/book245435
Average </t>
        </r>
      </text>
    </comment>
    <comment ref="S104" authorId="0" shapeId="0" xr:uid="{00000000-0006-0000-0100-00006B000000}">
      <text>
        <r>
          <rPr>
            <b/>
            <sz val="9"/>
            <color indexed="81"/>
            <rFont val="Tahoma"/>
            <family val="2"/>
          </rPr>
          <t>Jeff Gallant:</t>
        </r>
        <r>
          <rPr>
            <sz val="9"/>
            <color indexed="81"/>
            <rFont val="Tahoma"/>
            <family val="2"/>
          </rPr>
          <t xml:space="preserve">
Check on this</t>
        </r>
      </text>
    </comment>
    <comment ref="BQ104" authorId="0" shapeId="0" xr:uid="{00000000-0006-0000-0100-00006C000000}">
      <text>
        <r>
          <rPr>
            <sz val="11"/>
            <color theme="1"/>
            <rFont val="Calibri"/>
            <family val="2"/>
            <scheme val="minor"/>
          </rPr>
          <t xml:space="preserve">1. 149.00 http://www.humankinetics.com/products/all-products/introduction-to-kinesiology-5th-edition-with-web-study-guide 
2. 39.95 http://www.apastyle.org/manual/
3. 10
</t>
        </r>
      </text>
    </comment>
    <comment ref="BQ107" authorId="0" shapeId="0" xr:uid="{00000000-0006-0000-0100-00006D000000}">
      <text>
        <r>
          <rPr>
            <sz val="11"/>
            <color theme="1"/>
            <rFont val="Calibri"/>
            <family val="2"/>
            <scheme val="minor"/>
          </rPr>
          <t>One text was self-published, the other was largely the same price for the electronic version: https://www.cengage.com/c/american-government-institutions-and-policies-16e-wilson</t>
        </r>
      </text>
    </comment>
    <comment ref="BQ108" authorId="0" shapeId="0" xr:uid="{00000000-0006-0000-0100-00006E000000}">
      <text>
        <r>
          <rPr>
            <sz val="11"/>
            <color theme="1"/>
            <rFont val="Calibri"/>
            <family val="2"/>
            <scheme val="minor"/>
          </rPr>
          <t xml:space="preserve">1. 259.60 https://www.pearson.com/us/higher-education/product/Urry-Campbell-Biology-11th-Edition/9780134093413.html
2. 159.33 lab manual https://www.mheducation.com/highered/product/1260179869.html#buying-options
</t>
        </r>
      </text>
    </comment>
    <comment ref="BL109" authorId="0" shapeId="0" xr:uid="{00000000-0006-0000-0100-00006F000000}">
      <text>
        <r>
          <rPr>
            <b/>
            <sz val="9"/>
            <color indexed="81"/>
            <rFont val="Tahoma"/>
            <family val="2"/>
          </rPr>
          <t>Jeff Gallant:</t>
        </r>
        <r>
          <rPr>
            <sz val="9"/>
            <color indexed="81"/>
            <rFont val="Tahoma"/>
            <family val="2"/>
          </rPr>
          <t xml:space="preserve">
Email</t>
        </r>
      </text>
    </comment>
    <comment ref="AI110" authorId="0" shapeId="0" xr:uid="{00000000-0006-0000-0100-000070000000}">
      <text>
        <r>
          <rPr>
            <sz val="11"/>
            <color theme="1"/>
            <rFont val="Calibri"/>
            <family val="2"/>
            <scheme val="minor"/>
          </rPr>
          <t xml:space="preserve">Confirmed through OpenStax Monthly Adoption Report April 2018
</t>
        </r>
      </text>
    </comment>
    <comment ref="F111" authorId="0" shapeId="0" xr:uid="{00000000-0006-0000-0100-000071000000}">
      <text>
        <r>
          <rPr>
            <sz val="11"/>
            <color theme="1"/>
            <rFont val="Calibri"/>
            <family val="2"/>
            <scheme val="minor"/>
          </rPr>
          <t>Delayed originally due to incomplete final report</t>
        </r>
      </text>
    </comment>
    <comment ref="BQ113" authorId="0" shapeId="0" xr:uid="{00000000-0006-0000-0100-000072000000}">
      <text>
        <r>
          <rPr>
            <sz val="11"/>
            <color theme="1"/>
            <rFont val="Calibri"/>
            <family val="2"/>
            <scheme val="minor"/>
          </rPr>
          <t xml:space="preserve">Reports were smaller for this due to the recommendation nature of participant selection and textbooks weren't indicated, just cost savings within a questionnaire. From here, we'll go with an average cost of all texts at $188 as reported in the OMA tracking sheet. 
</t>
        </r>
      </text>
    </comment>
    <comment ref="BL117" authorId="0" shapeId="0" xr:uid="{00000000-0006-0000-0100-000073000000}">
      <text>
        <r>
          <rPr>
            <b/>
            <sz val="9"/>
            <color indexed="81"/>
            <rFont val="Tahoma"/>
            <family val="2"/>
          </rPr>
          <t>Jeff Gallant:</t>
        </r>
        <r>
          <rPr>
            <sz val="9"/>
            <color indexed="81"/>
            <rFont val="Tahoma"/>
            <family val="2"/>
          </rPr>
          <t xml:space="preserve">
Dr. Denley Email. 
Includes the removal of students in Pace's course due to update to MATH 2200</t>
        </r>
      </text>
    </comment>
    <comment ref="BQ118" authorId="0" shapeId="0" xr:uid="{00000000-0006-0000-0100-000074000000}">
      <text>
        <r>
          <rPr>
            <sz val="11"/>
            <color theme="1"/>
            <rFont val="Calibri"/>
            <family val="2"/>
            <scheme val="minor"/>
          </rPr>
          <t>Average:
1. 61.99 specifically indicated ebook version https://www.pearson.com/us/higher-education/program/Kubasek-Legal-Environment-of-Business-The-A-Critical-Thinking-Approach-8th-Edition/PGM296852.html?tab=order
2. 249.95 bound book https://www.cengage.com/c/business-law-text-and-cases-14e-clarkson/9781305967250#compare-buying-options</t>
        </r>
      </text>
    </comment>
    <comment ref="BQ119" authorId="4" shapeId="0" xr:uid="{00000000-0006-0000-0100-000075000000}">
      <text>
        <t xml:space="preserve">[Threaded comment]
Your version of Excel allows you to read this threaded comment; however, any edits to it will get removed if the file is opened in a newer version of Excel. Learn more: https://go.microsoft.com/fwlink/?linkid=870924
Comment:
    2019 Survey: Only the text is replaced now, homework is not. Cost savings reduced to $100.
</t>
      </text>
    </comment>
    <comment ref="CA119" authorId="5" shapeId="0" xr:uid="{11D46AD0-4A48-4005-87D9-B0EBE7BF232F}">
      <text>
        <t>[Threaded comment]
Your version of Excel allows you to read this threaded comment; however, any edits to it will get removed if the file is opened in a newer version of Excel. Learn more: https://go.microsoft.com/fwlink/?linkid=870924
Comment:
    UNG: No longer at institution</t>
      </text>
    </comment>
    <comment ref="BQ120" authorId="0" shapeId="0" xr:uid="{00000000-0006-0000-0100-000076000000}">
      <text>
        <r>
          <rPr>
            <sz val="11"/>
            <color theme="1"/>
            <rFont val="Calibri"/>
            <family val="2"/>
            <scheme val="minor"/>
          </rPr>
          <t>280.93 - $12 post-project cost</t>
        </r>
      </text>
    </comment>
    <comment ref="BL123" authorId="0" shapeId="0" xr:uid="{00000000-0006-0000-0100-000077000000}">
      <text>
        <r>
          <rPr>
            <b/>
            <sz val="9"/>
            <color indexed="81"/>
            <rFont val="Tahoma"/>
            <family val="2"/>
          </rPr>
          <t>Jeff Gallant:</t>
        </r>
        <r>
          <rPr>
            <sz val="9"/>
            <color indexed="81"/>
            <rFont val="Tahoma"/>
            <family val="2"/>
          </rPr>
          <t xml:space="preserve">
Transferred to Michael Lewkowicz, who is working on the project in a mini-grant.</t>
        </r>
      </text>
    </comment>
    <comment ref="BQ123" authorId="0" shapeId="0" xr:uid="{00000000-0006-0000-0100-000078000000}">
      <text>
        <r>
          <rPr>
            <sz val="11"/>
            <color theme="1"/>
            <rFont val="Calibri"/>
            <family val="2"/>
            <scheme val="minor"/>
          </rPr>
          <t>1) 127.67 https://www.pearson.com/us/higher-education/program/O-Connor-American-Government-2014-Election-Edition-Plus-NEW-My-Lab-Political-Science-for-American-Government-Access-Card-Package-12th-Edition/PGM76676.html?tab=order
2) 37.00 https://www.pearson.com/us/higher-education/product/Bullock-Georgia-Politics-in-a-State-of-Change-2nd-Edition/9780205864676.html</t>
        </r>
      </text>
    </comment>
    <comment ref="BQ124" authorId="0" shapeId="0" xr:uid="{00000000-0006-0000-0100-000079000000}">
      <text>
        <r>
          <rPr>
            <sz val="11"/>
            <color theme="1"/>
            <rFont val="Calibri"/>
            <family val="2"/>
            <scheme val="minor"/>
          </rPr>
          <t>1) 235.00 https://www.pearson.com/us/higher-education/program/Bauman-Microbiology-with-Diseases-by-Body-System-Plus-Mastering-Microbiology-with-Pearson-e-Text-Access-Card-Package-5th-Edition/PGM333450.html?tab=order
2) 79.80 in-house published</t>
        </r>
      </text>
    </comment>
    <comment ref="S125" authorId="0" shapeId="0" xr:uid="{00000000-0006-0000-0100-00007A000000}">
      <text>
        <r>
          <rPr>
            <b/>
            <sz val="9"/>
            <color indexed="81"/>
            <rFont val="Tahoma"/>
            <family val="2"/>
          </rPr>
          <t>Jeff Gallant:</t>
        </r>
        <r>
          <rPr>
            <sz val="9"/>
            <color indexed="81"/>
            <rFont val="Tahoma"/>
            <family val="2"/>
          </rPr>
          <t xml:space="preserve">
Add to repository</t>
        </r>
      </text>
    </comment>
    <comment ref="BL125" authorId="0" shapeId="0" xr:uid="{00000000-0006-0000-0100-00007B000000}">
      <text>
        <r>
          <rPr>
            <b/>
            <sz val="9"/>
            <color indexed="81"/>
            <rFont val="Tahoma"/>
            <family val="2"/>
          </rPr>
          <t>Jeff Gallant:</t>
        </r>
        <r>
          <rPr>
            <sz val="9"/>
            <color indexed="81"/>
            <rFont val="Tahoma"/>
            <family val="2"/>
          </rPr>
          <t xml:space="preserve">
Email</t>
        </r>
      </text>
    </comment>
    <comment ref="BL128" authorId="0" shapeId="0" xr:uid="{00000000-0006-0000-0100-00007C000000}">
      <text>
        <r>
          <rPr>
            <b/>
            <sz val="9"/>
            <color indexed="81"/>
            <rFont val="Tahoma"/>
            <family val="2"/>
          </rPr>
          <t>Jeff Gallant:</t>
        </r>
        <r>
          <rPr>
            <sz val="9"/>
            <color indexed="81"/>
            <rFont val="Tahoma"/>
            <family val="2"/>
          </rPr>
          <t xml:space="preserve">
Confirmed from December 2018 OpenStax Report</t>
        </r>
      </text>
    </comment>
    <comment ref="BQ129" authorId="0" shapeId="0" xr:uid="{00000000-0006-0000-0100-00007D000000}">
      <text>
        <r>
          <rPr>
            <sz val="11"/>
            <color theme="1"/>
            <rFont val="Calibri"/>
            <family val="2"/>
            <scheme val="minor"/>
          </rPr>
          <t xml:space="preserve">Average:
1. 277.20 https://www.pearson.com/us/higher-education/product/Briggs-Calculus-for-Scientists-and-Engineers/9780321826695.html?tab=order
2. 213.40 https://www.pearson.com/us/higher-education/product/Barnett-Calculus-for-Business-Economics-Life-Sciences-and-Social-Sciences-Brief-Version-14th-Edition/9780134851990.html?tab=order 
3. 249.95 https://www.cengage.com/c/a-first-course-in-differential-equations-with-modeling-applications-11e-zill
</t>
        </r>
      </text>
    </comment>
    <comment ref="BQ130" authorId="0" shapeId="0" xr:uid="{00000000-0006-0000-0100-00007E000000}">
      <text>
        <r>
          <rPr>
            <sz val="11"/>
            <color theme="1"/>
            <rFont val="Calibri"/>
            <family val="2"/>
            <scheme val="minor"/>
          </rPr>
          <t xml:space="preserve">Average of many choices department-wide, see proposal 255.
</t>
        </r>
      </text>
    </comment>
    <comment ref="BQ131" authorId="0" shapeId="0" xr:uid="{00000000-0006-0000-0100-00007F000000}">
      <text>
        <r>
          <rPr>
            <sz val="11"/>
            <color theme="1"/>
            <rFont val="Calibri"/>
            <family val="2"/>
            <scheme val="minor"/>
          </rPr>
          <t>Average:
1. 168.75 http://books.wwnorton.com/books/webad-detail-editions.aspx?id=4294993785 
2. 263.95 https://www.cengage.com/c/organic-chemistry-9e-mcmurry 
=216.35 
-62.50 post
=153.85</t>
        </r>
      </text>
    </comment>
    <comment ref="BQ132" authorId="0" shapeId="0" xr:uid="{00000000-0006-0000-0100-000080000000}">
      <text>
        <r>
          <rPr>
            <sz val="11"/>
            <color theme="1"/>
            <rFont val="Calibri"/>
            <family val="2"/>
            <scheme val="minor"/>
          </rPr>
          <t>1) 252.33 https://www.pearson.com/us/higher-education/program/Tro-Principles-of-Chemistry-A-Molecular-Approach-Plus-Mastering-Chemistry-with-e-Text-Access-Card-Package-3rd-Edition/PGM142927.html?tab=order-info
2) 68.95 https://www.pearsonmylabandmastering.com/northamerica/masteringchemistry/educators/titles-available/title.php?isbn=9780321937711
=321.28
-65 post
=256.28</t>
        </r>
      </text>
    </comment>
    <comment ref="CD132" authorId="0" shapeId="0" xr:uid="{00000000-0006-0000-0100-000081000000}">
      <text>
        <r>
          <rPr>
            <b/>
            <sz val="9"/>
            <color indexed="81"/>
            <rFont val="Tahoma"/>
            <family val="2"/>
          </rPr>
          <t>Jeff Gallant:</t>
        </r>
        <r>
          <rPr>
            <sz val="9"/>
            <color indexed="81"/>
            <rFont val="Tahoma"/>
            <family val="2"/>
          </rPr>
          <t xml:space="preserve">
Asking about this one, she put NA.</t>
        </r>
      </text>
    </comment>
    <comment ref="BL133" authorId="0" shapeId="0" xr:uid="{00000000-0006-0000-0100-000082000000}">
      <text>
        <r>
          <rPr>
            <b/>
            <sz val="9"/>
            <color indexed="81"/>
            <rFont val="Tahoma"/>
            <family val="2"/>
          </rPr>
          <t>Jeff Gallant:</t>
        </r>
        <r>
          <rPr>
            <sz val="9"/>
            <color indexed="81"/>
            <rFont val="Tahoma"/>
            <family val="2"/>
          </rPr>
          <t xml:space="preserve">
Dr. Denley email: indicated the department had new rules preventing OER use</t>
        </r>
      </text>
    </comment>
    <comment ref="BQ133" authorId="0" shapeId="0" xr:uid="{00000000-0006-0000-0100-000083000000}">
      <text>
        <r>
          <rPr>
            <sz val="11"/>
            <color theme="1"/>
            <rFont val="Calibri"/>
            <family val="2"/>
            <scheme val="minor"/>
          </rPr>
          <t xml:space="preserve">Per proposal:
C1 9x30x299.95= 80.986.50
C3 5x30x299.95= 44,992.50
LA 3x30x209.80= 18,882.00
DE 3x30x249.95= 22,495.50
Total: 167,356.50
Per student avg. $278.92
1) 299.95 https://www.cengage.com/c/calculus-early-transcendentals-8e-stewart
2) 209.80 https://www.pearson.com/us/higher-education/product/Lay-Linear-Algebra-and-Its-Applications-5th-Edition/9780321982384.html
3) 249.95 https://www.cengage.com/c/a-first-course-in-differential-equations-with-modeling-applications-11e-zill
</t>
        </r>
      </text>
    </comment>
    <comment ref="BQ134" authorId="0" shapeId="0" xr:uid="{00000000-0006-0000-0100-000084000000}">
      <text>
        <r>
          <rPr>
            <sz val="11"/>
            <color theme="1"/>
            <rFont val="Calibri"/>
            <family val="2"/>
            <scheme val="minor"/>
          </rPr>
          <t xml:space="preserve">1010 1242x129.95= 161,397
1130 210x74.95=15,739.50
Total: 177,136.50
Per student avg. $121.99
1) 129.95 https://www.cengage.com/c/principles-and-labs-for-fitness-and-wellness-14e-hoeger
2) 74.95 https://www.cengage.com/c/walking-and-jogging-for-health-and-wellness-6e-rosato
</t>
        </r>
      </text>
    </comment>
    <comment ref="CD137" authorId="0" shapeId="0" xr:uid="{00000000-0006-0000-0100-000085000000}">
      <text>
        <r>
          <rPr>
            <b/>
            <sz val="9"/>
            <color indexed="81"/>
            <rFont val="Tahoma"/>
            <family val="2"/>
          </rPr>
          <t>Jeff Gallant:</t>
        </r>
        <r>
          <rPr>
            <sz val="9"/>
            <color indexed="81"/>
            <rFont val="Tahoma"/>
            <family val="2"/>
          </rPr>
          <t xml:space="preserve">
"Unknown." Used previous year's estimate here, as this wasn't quite the question. </t>
        </r>
      </text>
    </comment>
    <comment ref="CF137" authorId="0" shapeId="0" xr:uid="{00000000-0006-0000-0100-000086000000}">
      <text>
        <r>
          <rPr>
            <b/>
            <sz val="9"/>
            <color indexed="81"/>
            <rFont val="Tahoma"/>
            <family val="2"/>
          </rPr>
          <t>Jeff Gallant:</t>
        </r>
        <r>
          <rPr>
            <sz val="9"/>
            <color indexed="81"/>
            <rFont val="Tahoma"/>
            <family val="2"/>
          </rPr>
          <t xml:space="preserve">
Gave a yearly estimate instead of per-student, divided it here. </t>
        </r>
      </text>
    </comment>
    <comment ref="BQ138" authorId="0" shapeId="0" xr:uid="{00000000-0006-0000-0100-000087000000}">
      <text>
        <r>
          <rPr>
            <sz val="11"/>
            <color theme="1"/>
            <rFont val="Calibri"/>
            <family val="2"/>
            <scheme val="minor"/>
          </rPr>
          <t>Proposal had departmental average</t>
        </r>
      </text>
    </comment>
    <comment ref="BQ139" authorId="0" shapeId="0" xr:uid="{00000000-0006-0000-0100-000088000000}">
      <text>
        <r>
          <rPr>
            <sz val="11"/>
            <color theme="1"/>
            <rFont val="Calibri"/>
            <family val="2"/>
            <scheme val="minor"/>
          </rPr>
          <t xml:space="preserve">C1 2000x303.87=607,740
ST 1500x184.96= 277,440
Total: 885,180
Per student avg. 252.91
1) 303.87 https://www.pearson.com/us/higher-education/product/Thomas-Thomas-Calculus-Media-Upgrade-11th-Edition/9780321489876.html?tab=order
2) 184.96 https://www.macmillanlearning.com/Catalog/product/basicpracticeofstatistics-seventhedition-moore/valueoptions#tab
</t>
        </r>
      </text>
    </comment>
    <comment ref="BQ141" authorId="6" shapeId="0" xr:uid="{00000000-0006-0000-0100-000089000000}">
      <text>
        <t xml:space="preserve">[Threaded comment]
Your version of Excel allows you to read this threaded comment; however, any edits to it will get removed if the file is opened in a newer version of Excel. Learn more: https://go.microsoft.com/fwlink/?linkid=870924
Comment:
    Overridden by survey response
</t>
      </text>
    </comment>
    <comment ref="BQ142" authorId="7" shapeId="0" xr:uid="{00000000-0006-0000-0100-00008A000000}">
      <text>
        <t xml:space="preserve">[Threaded comment]
Your version of Excel allows you to read this threaded comment; however, any edits to it will get removed if the file is opened in a newer version of Excel. Learn more: https://go.microsoft.com/fwlink/?linkid=870924
Comment:
    Overridden by survey response
</t>
      </text>
    </comment>
    <comment ref="BQ144" authorId="0" shapeId="0" xr:uid="{00000000-0006-0000-0100-00008B000000}">
      <text>
        <r>
          <rPr>
            <sz val="11"/>
            <color theme="1"/>
            <rFont val="Calibri"/>
            <family val="2"/>
            <scheme val="minor"/>
          </rPr>
          <t>Average:
1) 260.20 https://www.pearson.com/us/higher-education/program/Parkin-Microeconomics-Plus-My-Lab-Economics-with-Pearson-e-Text-Access-Card-Package-13th-Edition/PGM1780651.html?tab=order
2) 199.00 https://www.mheducation.com/highered/product/microeconomics-karlan-morduch/M1259813339.html#buying-options
3) 274.95 https://www.cengage.com/c/microeconomics-principles-and-applications-6e-hall</t>
        </r>
      </text>
    </comment>
    <comment ref="BL145" authorId="0" shapeId="0" xr:uid="{00000000-0006-0000-0100-00008C000000}">
      <text>
        <r>
          <rPr>
            <b/>
            <sz val="9"/>
            <color indexed="81"/>
            <rFont val="Tahoma"/>
            <family val="2"/>
          </rPr>
          <t>Jeff Gallant:</t>
        </r>
        <r>
          <rPr>
            <sz val="9"/>
            <color indexed="81"/>
            <rFont val="Tahoma"/>
            <family val="2"/>
          </rPr>
          <t xml:space="preserve">
ZNCM Data</t>
        </r>
      </text>
    </comment>
    <comment ref="BL146" authorId="0" shapeId="0" xr:uid="{00000000-0006-0000-0100-00008D000000}">
      <text>
        <r>
          <rPr>
            <b/>
            <sz val="9"/>
            <color indexed="81"/>
            <rFont val="Tahoma"/>
            <family val="2"/>
          </rPr>
          <t>Jeff Gallant:</t>
        </r>
        <r>
          <rPr>
            <sz val="9"/>
            <color indexed="81"/>
            <rFont val="Tahoma"/>
            <family val="2"/>
          </rPr>
          <t xml:space="preserve">
ZNCM Data</t>
        </r>
      </text>
    </comment>
    <comment ref="BQ146" authorId="0" shapeId="0" xr:uid="{00000000-0006-0000-0100-00008E000000}">
      <text>
        <r>
          <rPr>
            <sz val="11"/>
            <color theme="1"/>
            <rFont val="Calibri"/>
            <family val="2"/>
            <scheme val="minor"/>
          </rPr>
          <t xml:space="preserve">Average:
1) 159.60 https://www.pearson.com/us/higher-education/product/Koppelman-Understanding-Human-Differences-Multicultural-Education-for-a-Diverse-America-4th-Edition/9780132824897.html
2) 176.40 https://www.pearson.com/us/higher-education/product/Eggen-Strategies-and-Models-for-Teachers-Teaching-Content-and-Thinking-Skills-6th-Edition/9780132179331.html
</t>
        </r>
      </text>
    </comment>
    <comment ref="S147" authorId="0" shapeId="0" xr:uid="{00000000-0006-0000-0100-00008F000000}">
      <text>
        <r>
          <rPr>
            <b/>
            <sz val="9"/>
            <color indexed="81"/>
            <rFont val="Tahoma"/>
            <family val="2"/>
          </rPr>
          <t>Jeff Gallant:</t>
        </r>
        <r>
          <rPr>
            <sz val="9"/>
            <color indexed="81"/>
            <rFont val="Tahoma"/>
            <family val="2"/>
          </rPr>
          <t xml:space="preserve">
Check on Repository Link</t>
        </r>
      </text>
    </comment>
    <comment ref="BL148" authorId="0" shapeId="0" xr:uid="{00000000-0006-0000-0100-000090000000}">
      <text>
        <r>
          <rPr>
            <b/>
            <sz val="9"/>
            <color indexed="81"/>
            <rFont val="Tahoma"/>
            <family val="2"/>
          </rPr>
          <t>Jeff Gallant:</t>
        </r>
        <r>
          <rPr>
            <sz val="9"/>
            <color indexed="81"/>
            <rFont val="Tahoma"/>
            <family val="2"/>
          </rPr>
          <t xml:space="preserve">
ZNCM Data</t>
        </r>
      </text>
    </comment>
    <comment ref="BQ148" authorId="0" shapeId="0" xr:uid="{00000000-0006-0000-0100-000091000000}">
      <text>
        <r>
          <rPr>
            <sz val="11"/>
            <color theme="1"/>
            <rFont val="Calibri"/>
            <family val="2"/>
            <scheme val="minor"/>
          </rPr>
          <t xml:space="preserve">ZNCM/ZLCM Split. Adjusting by $20 to account for LCM
GV 648x259.60= 168,220.80
DL 192x155.49= 29,854.08
Total= 198,074.88
Per student average = 235.80
1) 259.60 https://www.pearson.com/us/higher-education/product/Urry-Campbell-Biology-11th-Edition/9780134093413.html
2) 155.49 https://www.macmillanlearning.com/Catalog/product/ecologytheeconomyofnature-seventhedition-ricklefs/valueoptions#tab
</t>
        </r>
      </text>
    </comment>
    <comment ref="S150" authorId="0" shapeId="0" xr:uid="{00000000-0006-0000-0100-000092000000}">
      <text>
        <r>
          <rPr>
            <b/>
            <sz val="9"/>
            <color indexed="81"/>
            <rFont val="Tahoma"/>
            <family val="2"/>
          </rPr>
          <t>Jeff Gallant:</t>
        </r>
        <r>
          <rPr>
            <sz val="9"/>
            <color indexed="81"/>
            <rFont val="Tahoma"/>
            <family val="2"/>
          </rPr>
          <t xml:space="preserve">
Found a set of Dr. Shahriar modules that could be a text in one of the syllabi, add to repository</t>
        </r>
      </text>
    </comment>
    <comment ref="BQ150" authorId="0" shapeId="0" xr:uid="{00000000-0006-0000-0100-000093000000}">
      <text>
        <r>
          <rPr>
            <sz val="11"/>
            <color theme="1"/>
            <rFont val="Calibri"/>
            <family val="2"/>
            <scheme val="minor"/>
          </rPr>
          <t>1. 50x245.95= 12,297.50
2. 75x281.19= 21,089.25
3. 40x74.95= 2,998.00
4. 40x231.89= 9,275.60
5. 680x124.80= 84,864.00
Total: 130,524.35
Per student average: 152.66
1) 245.95 https://www.cengage.com/c/hands-on-ethical-hacking-and-network-defense-3e-simpson/9781285454610
2) 245.95 + 35.24 = 281.19 https://www.amazon.com/Gray-Hat-Hacking-Ethical-Handbook/dp/1260108414
3) 74.95 https://www.elsevier.com/books/bulletproof-wireless-security/chandra/978-0-7506-7746-2
4) 186.80 + 45.29 = 231.89 https://www.pearson.com/us/higher-education/program/Stallings-Business-Data-Communications-Infrastructure-Networking-and-Security-7th-Edition/PGM136814.html?tab=order
5) 124.80 https://www.pearson.com/us/higher-education/program/Baase-Gift-of-Fire-A-Social-Legal-and-Ethical-Issues-for-Computing-Technology-5th-Edition/PGM1225612.html?tab=order</t>
        </r>
      </text>
    </comment>
    <comment ref="BQ151" authorId="0" shapeId="0" xr:uid="{00000000-0006-0000-0100-000094000000}">
      <text>
        <r>
          <rPr>
            <sz val="11"/>
            <color theme="1"/>
            <rFont val="Calibri"/>
            <family val="2"/>
            <scheme val="minor"/>
          </rPr>
          <t>Overruled by 2019 survey</t>
        </r>
      </text>
    </comment>
    <comment ref="BQ152" authorId="0" shapeId="0" xr:uid="{00000000-0006-0000-0100-000095000000}">
      <text>
        <r>
          <rPr>
            <sz val="11"/>
            <color theme="1"/>
            <rFont val="Calibri"/>
            <family val="2"/>
            <scheme val="minor"/>
          </rPr>
          <t xml:space="preserve">PC 1288x127.54= 164,271.52
GSU 1740x134.00=233,160.00
Total: 397,431.52
Per student average /3028= 131.25
Perimeter: 162.54-35=127.54 
https://www.mheducation.com/highered/product/business-driven-information-systems-baltzan-phillips/M0073402982.html#buying-options
GSU: 169.00-35=134.00 WileyPlus hiding price https://www.wileyplus.com/introduction-to-information-systems/
</t>
        </r>
      </text>
    </comment>
    <comment ref="BL153" authorId="0" shapeId="0" xr:uid="{00000000-0006-0000-0100-000096000000}">
      <text>
        <r>
          <rPr>
            <b/>
            <sz val="9"/>
            <color indexed="81"/>
            <rFont val="Tahoma"/>
            <family val="2"/>
          </rPr>
          <t>Jeff Gallant:</t>
        </r>
        <r>
          <rPr>
            <sz val="9"/>
            <color indexed="81"/>
            <rFont val="Tahoma"/>
            <family val="2"/>
          </rPr>
          <t xml:space="preserve">
ZNCM Data</t>
        </r>
      </text>
    </comment>
    <comment ref="D154" authorId="0" shapeId="0" xr:uid="{8C75D7BE-1B55-4CAA-A35D-06063BB88E3B}">
      <text>
        <r>
          <rPr>
            <sz val="11"/>
            <color theme="1"/>
            <rFont val="Calibri"/>
            <family val="2"/>
            <scheme val="minor"/>
          </rPr>
          <t xml:space="preserve">Used to be listed as 501633. Not sure what happened. </t>
        </r>
      </text>
    </comment>
    <comment ref="BQ156" authorId="0" shapeId="0" xr:uid="{00000000-0006-0000-0100-000098000000}">
      <text>
        <r>
          <rPr>
            <sz val="11"/>
            <color theme="1"/>
            <rFont val="Calibri"/>
            <family val="2"/>
            <scheme val="minor"/>
          </rPr>
          <t>Average:
1) $105.00 https://global.oup.com/ushe/product/volds-theoretical-criminology-9780199964154?cc=us&amp;lang=en&amp;
2) $105.00 https://www.routledge.com/Criminology-Explaining-Crime-and-Its-Context-9th-Edition/Brown-Esbensen-Geis/p/book/9780323356480</t>
        </r>
      </text>
    </comment>
    <comment ref="BQ157" authorId="0" shapeId="0" xr:uid="{00000000-0006-0000-0100-000099000000}">
      <text>
        <r>
          <rPr>
            <sz val="11"/>
            <color theme="1"/>
            <rFont val="Calibri"/>
            <family val="2"/>
            <scheme val="minor"/>
          </rPr>
          <t>Average:
1) $105.00 https://global.oup.com/ushe/product/volds-theoretical-criminology-9780199964154?cc=us&amp;lang=en&amp;
2) $105.00 https://www.routledge.com/Criminology-Explaining-Crime-and-Its-Context-9th-Edition/Brown-Esbensen-Geis/p/book/9780323356480</t>
        </r>
      </text>
    </comment>
    <comment ref="CA157" authorId="0" shapeId="0" xr:uid="{00000000-0006-0000-0100-00009A000000}">
      <text>
        <r>
          <rPr>
            <b/>
            <sz val="9"/>
            <color indexed="81"/>
            <rFont val="Tahoma"/>
            <family val="2"/>
          </rPr>
          <t>Jeff Gallant:</t>
        </r>
        <r>
          <rPr>
            <sz val="9"/>
            <color indexed="81"/>
            <rFont val="Tahoma"/>
            <family val="2"/>
          </rPr>
          <t xml:space="preserve">
Summers were marked as "D/k." Both were reported as continued, but b didn't have any actual numbers other than Spr/Fall 0s. </t>
        </r>
      </text>
    </comment>
    <comment ref="BQ158" authorId="0" shapeId="0" xr:uid="{00000000-0006-0000-0100-00009B000000}">
      <text>
        <r>
          <rPr>
            <sz val="11"/>
            <color theme="1"/>
            <rFont val="Calibri"/>
            <family val="2"/>
            <scheme val="minor"/>
          </rPr>
          <t>Large departmental average</t>
        </r>
      </text>
    </comment>
    <comment ref="BQ159" authorId="0" shapeId="0" xr:uid="{00000000-0006-0000-0100-00009C000000}">
      <text>
        <r>
          <rPr>
            <sz val="11"/>
            <color theme="1"/>
            <rFont val="Calibri"/>
            <family val="2"/>
            <scheme val="minor"/>
          </rPr>
          <t>Text is $132.18 https://www.amazon.com/gp/product/0134801148/ref=as_li_tl?ie=UTF8&amp;tag=webdevfoundat-20&amp;camp=1789&amp;creative=9325&amp;linkCode=as2&amp;creativeASIN=0134801148&amp;linkId=0e73c7307b792573d6752e5f7d1f484c
Impossible to determine what current Adobe price would be given Creative Cloud has a very different pricing model. Most likely more expensive now, but keeping original estimate</t>
        </r>
      </text>
    </comment>
    <comment ref="S161" authorId="0" shapeId="0" xr:uid="{00000000-0006-0000-0100-00009D000000}">
      <text>
        <r>
          <rPr>
            <sz val="11"/>
            <color theme="1"/>
            <rFont val="Calibri"/>
            <family val="2"/>
            <scheme val="minor"/>
          </rPr>
          <t>World Lit II delayed due to peer review</t>
        </r>
      </text>
    </comment>
    <comment ref="BQ161" authorId="0" shapeId="0" xr:uid="{00000000-0006-0000-0100-00009E000000}">
      <text>
        <r>
          <rPr>
            <sz val="11"/>
            <color theme="1"/>
            <rFont val="Calibri"/>
            <family val="2"/>
            <scheme val="minor"/>
          </rPr>
          <t xml:space="preserve">Departmental average with a very conservative figure based on used text observations in class
</t>
        </r>
      </text>
    </comment>
    <comment ref="BQ162" authorId="0" shapeId="0" xr:uid="{00000000-0006-0000-0100-00009F000000}">
      <text>
        <r>
          <rPr>
            <sz val="11"/>
            <color theme="1"/>
            <rFont val="Calibri"/>
            <family val="2"/>
            <scheme val="minor"/>
          </rPr>
          <t>Institution published text</t>
        </r>
      </text>
    </comment>
    <comment ref="BQ165" authorId="0" shapeId="0" xr:uid="{00000000-0006-0000-0100-0000A0000000}">
      <text>
        <r>
          <rPr>
            <sz val="11"/>
            <color theme="1"/>
            <rFont val="Calibri"/>
            <family val="2"/>
            <scheme val="minor"/>
          </rPr>
          <t>Departmental average</t>
        </r>
      </text>
    </comment>
    <comment ref="BL167" authorId="0" shapeId="0" xr:uid="{00000000-0006-0000-0100-0000A1000000}">
      <text>
        <r>
          <rPr>
            <b/>
            <sz val="9"/>
            <color indexed="81"/>
            <rFont val="Tahoma"/>
            <family val="2"/>
          </rPr>
          <t>Jeff Gallant:</t>
        </r>
        <r>
          <rPr>
            <sz val="9"/>
            <color indexed="81"/>
            <rFont val="Tahoma"/>
            <family val="2"/>
          </rPr>
          <t xml:space="preserve">
Email, ZNCM</t>
        </r>
      </text>
    </comment>
    <comment ref="BL168" authorId="0" shapeId="0" xr:uid="{00000000-0006-0000-0100-0000A2000000}">
      <text>
        <r>
          <rPr>
            <b/>
            <sz val="9"/>
            <color indexed="81"/>
            <rFont val="Tahoma"/>
            <family val="2"/>
          </rPr>
          <t>Jeff Gallant:</t>
        </r>
        <r>
          <rPr>
            <sz val="9"/>
            <color indexed="81"/>
            <rFont val="Tahoma"/>
            <family val="2"/>
          </rPr>
          <t xml:space="preserve">
Email
</t>
        </r>
      </text>
    </comment>
    <comment ref="BQ170" authorId="0" shapeId="0" xr:uid="{00000000-0006-0000-0100-0000A3000000}">
      <text>
        <r>
          <rPr>
            <sz val="11"/>
            <color theme="1"/>
            <rFont val="Calibri"/>
            <family val="2"/>
            <scheme val="minor"/>
          </rPr>
          <t xml:space="preserve">Summer 2018 check ends here since all other proposals are under a year old. </t>
        </r>
      </text>
    </comment>
    <comment ref="CA172" authorId="0" shapeId="0" xr:uid="{00000000-0006-0000-0100-0000A4000000}">
      <text>
        <r>
          <rPr>
            <b/>
            <sz val="9"/>
            <color indexed="81"/>
            <rFont val="Tahoma"/>
            <family val="2"/>
          </rPr>
          <t>Jeff Gallant:</t>
        </r>
        <r>
          <rPr>
            <sz val="9"/>
            <color indexed="81"/>
            <rFont val="Tahoma"/>
            <family val="2"/>
          </rPr>
          <t xml:space="preserve">
Marked as continued, but without an update on the numbers</t>
        </r>
      </text>
    </comment>
    <comment ref="X208" authorId="8" shapeId="0" xr:uid="{00000000-0006-0000-0100-0000A5000000}">
      <text>
        <r>
          <rPr>
            <b/>
            <sz val="9"/>
            <color indexed="81"/>
            <rFont val="Tahoma"/>
            <family val="2"/>
          </rPr>
          <t>Author:</t>
        </r>
        <r>
          <rPr>
            <sz val="9"/>
            <color indexed="81"/>
            <rFont val="Tahoma"/>
            <family val="2"/>
          </rPr>
          <t xml:space="preserve">
Data delay</t>
        </r>
      </text>
    </comment>
    <comment ref="AA230" authorId="0" shapeId="0" xr:uid="{00000000-0006-0000-0100-0000A6000000}">
      <text>
        <r>
          <rPr>
            <sz val="11"/>
            <color theme="1"/>
            <rFont val="Calibri"/>
            <family val="2"/>
            <scheme val="minor"/>
          </rPr>
          <t>Average</t>
        </r>
      </text>
    </comment>
    <comment ref="BQ230" authorId="0" shapeId="0" xr:uid="{00000000-0006-0000-0100-0000A7000000}">
      <text>
        <r>
          <rPr>
            <sz val="11"/>
            <color theme="1"/>
            <rFont val="Calibri"/>
            <family val="2"/>
            <scheme val="minor"/>
          </rPr>
          <t>Average</t>
        </r>
      </text>
    </comment>
    <comment ref="CF230" authorId="0" shapeId="0" xr:uid="{61A294E4-7E78-4928-B3C1-4073FFF19BA9}">
      <text>
        <r>
          <rPr>
            <sz val="11"/>
            <color theme="1"/>
            <rFont val="Calibri"/>
            <family val="2"/>
            <scheme val="minor"/>
          </rPr>
          <t>Average</t>
        </r>
      </text>
    </comment>
    <comment ref="AB252" authorId="0" shapeId="0" xr:uid="{00000000-0006-0000-0100-0000A8000000}">
      <text>
        <r>
          <rPr>
            <b/>
            <sz val="9"/>
            <color indexed="81"/>
            <rFont val="Tahoma"/>
            <family val="2"/>
          </rPr>
          <t>Jeff Gallant:</t>
        </r>
        <r>
          <rPr>
            <sz val="9"/>
            <color indexed="81"/>
            <rFont val="Tahoma"/>
            <family val="2"/>
          </rPr>
          <t xml:space="preserve">
Pretty sure the original students per semester count was a section count, because all of the annual numbers point to 926 per year. Averaging these here. </t>
        </r>
      </text>
    </comment>
    <comment ref="BM252" authorId="0" shapeId="0" xr:uid="{00000000-0006-0000-0100-0000A9000000}">
      <text>
        <r>
          <rPr>
            <b/>
            <sz val="9"/>
            <color indexed="81"/>
            <rFont val="Tahoma"/>
            <family val="2"/>
          </rPr>
          <t>Jeff Gallant:</t>
        </r>
        <r>
          <rPr>
            <sz val="9"/>
            <color indexed="81"/>
            <rFont val="Tahoma"/>
            <family val="2"/>
          </rPr>
          <t xml:space="preserve">
Pretty sure the original students per semester count was a section count, because all of the annual numbers point to 926 per year. Averaging these here. </t>
        </r>
      </text>
    </comment>
    <comment ref="CB252" authorId="0" shapeId="0" xr:uid="{6DAA9482-1497-4786-B7DE-B13BFA7870D3}">
      <text>
        <r>
          <rPr>
            <b/>
            <sz val="9"/>
            <color indexed="81"/>
            <rFont val="Tahoma"/>
            <family val="2"/>
          </rPr>
          <t>Jeff Gallant:</t>
        </r>
        <r>
          <rPr>
            <sz val="9"/>
            <color indexed="81"/>
            <rFont val="Tahoma"/>
            <family val="2"/>
          </rPr>
          <t xml:space="preserve">
Pretty sure the original students per semester count was a section count, because all of the annual numbers point to 926 per year. Averaging these here. </t>
        </r>
      </text>
    </comment>
    <comment ref="A311" authorId="9" shapeId="0" xr:uid="{34DA768B-34CD-4205-A427-E080CAB8289C}">
      <text>
        <t>[Threaded comment]
Your version of Excel allows you to read this threaded comment; however, any edits to it will get removed if the file is opened in a newer version of Excel. Learn more: https://go.microsoft.com/fwlink/?linkid=870924
Comment:
    On hold due to a COVID-19 departmental review</t>
      </text>
    </comment>
    <comment ref="Z388" authorId="10" shapeId="0" xr:uid="{DCBB4563-B025-4C31-9DA4-E65165FA8E22}">
      <text>
        <t>[Threaded comment]
Your version of Excel allows you to read this threaded comment; however, any edits to it will get removed if the file is opened in a newer version of Excel. Learn more: https://go.microsoft.com/fwlink/?linkid=870924
Comment:
    He put the total sections in the total students area, but this is the right number from the Statement of Transformation.</t>
      </text>
    </comment>
    <comment ref="Z392" authorId="11" shapeId="0" xr:uid="{E4213987-AEC1-4DF7-B6C0-2B48F3E9641C}">
      <text>
        <t>[Threaded comment]
Your version of Excel allows you to read this threaded comment; however, any edits to it will get removed if the file is opened in a newer version of Excel. Learn more: https://go.microsoft.com/fwlink/?linkid=870924
Comment:
    This is for Year 2, current semester figures are for Year 1</t>
      </text>
    </comment>
  </commentList>
</comments>
</file>

<file path=xl/sharedStrings.xml><?xml version="1.0" encoding="utf-8"?>
<sst xmlns="http://schemas.openxmlformats.org/spreadsheetml/2006/main" count="12719" uniqueCount="2304">
  <si>
    <t>Textbook Transformation Grants (Cumulative)</t>
  </si>
  <si>
    <t>Total Students Affected</t>
  </si>
  <si>
    <t>Total Textbook Cost Savings</t>
  </si>
  <si>
    <t>ALG Grand Totals (Cumulative)</t>
  </si>
  <si>
    <t>Category</t>
  </si>
  <si>
    <t>2020</t>
  </si>
  <si>
    <t>2019</t>
  </si>
  <si>
    <t>2018</t>
  </si>
  <si>
    <t>2017</t>
  </si>
  <si>
    <t>2016</t>
  </si>
  <si>
    <t>2015</t>
  </si>
  <si>
    <t>Spring Students (Grants)</t>
  </si>
  <si>
    <t>Summer Students (Grants)</t>
  </si>
  <si>
    <t>n/a</t>
  </si>
  <si>
    <t>Fall Students (Grants)</t>
  </si>
  <si>
    <t>Calendar Year Students</t>
  </si>
  <si>
    <t>Spring Savings (Grants)</t>
  </si>
  <si>
    <t>Summer Savings (Grants)</t>
  </si>
  <si>
    <t>Fall Savings (Grants)</t>
  </si>
  <si>
    <t>Calendar Year Savings</t>
  </si>
  <si>
    <t>About Our Calculations</t>
  </si>
  <si>
    <t>Grant #</t>
  </si>
  <si>
    <t>PO #</t>
  </si>
  <si>
    <t>Payment Req 1</t>
  </si>
  <si>
    <t>Payment Req 2</t>
  </si>
  <si>
    <t>Round #</t>
  </si>
  <si>
    <t>Fiscal Year</t>
  </si>
  <si>
    <t>Type</t>
  </si>
  <si>
    <t xml:space="preserve">Institution </t>
  </si>
  <si>
    <t>Total Award</t>
  </si>
  <si>
    <t>Project Lead</t>
  </si>
  <si>
    <t>Email Address</t>
  </si>
  <si>
    <t>Course Names</t>
  </si>
  <si>
    <t>Course Numbers</t>
  </si>
  <si>
    <t>Subject Area</t>
  </si>
  <si>
    <t>Core Curriculum</t>
  </si>
  <si>
    <t>Created Materials</t>
  </si>
  <si>
    <t xml:space="preserve">OpenStax? </t>
  </si>
  <si>
    <t>Materials Adopted or Adapted</t>
  </si>
  <si>
    <t>Final Report: Perceptions</t>
  </si>
  <si>
    <t>Final Report: Outcomes</t>
  </si>
  <si>
    <t>Final Report: Retention</t>
  </si>
  <si>
    <t>Annual Savings</t>
  </si>
  <si>
    <t>Annual Students</t>
  </si>
  <si>
    <t>Savings Per Student</t>
  </si>
  <si>
    <t>Students Per Summer</t>
  </si>
  <si>
    <t>Students Per Fall</t>
  </si>
  <si>
    <t>Students Per Spring</t>
  </si>
  <si>
    <t>1st Implementation Sem.</t>
  </si>
  <si>
    <t xml:space="preserve">Scaled Up? </t>
  </si>
  <si>
    <t>Scaling Up Grant Number</t>
  </si>
  <si>
    <t>Update Occurs</t>
  </si>
  <si>
    <t>Sustainability Check 1 (2017-2018) Status</t>
  </si>
  <si>
    <t>Spring 2015 Students</t>
  </si>
  <si>
    <t>Spring 2015 Savings</t>
  </si>
  <si>
    <t>Total AY 2014-2015 Students</t>
  </si>
  <si>
    <t>Total AY 2014-2015 Savings</t>
  </si>
  <si>
    <t>Summer 2015 Students</t>
  </si>
  <si>
    <t>Summer 2015 Savings</t>
  </si>
  <si>
    <t>Fall 2015 Students</t>
  </si>
  <si>
    <t>Fall 2015 Savings</t>
  </si>
  <si>
    <t>Spring 2016 Students</t>
  </si>
  <si>
    <t>Spring 2016 Savings</t>
  </si>
  <si>
    <t>Total AY 2015-2016 Students</t>
  </si>
  <si>
    <t>Total AY 2015-2016 Savings</t>
  </si>
  <si>
    <t>Summer 2016 Students</t>
  </si>
  <si>
    <t>Summer 2016 Savings</t>
  </si>
  <si>
    <t>Fall 2016 Students</t>
  </si>
  <si>
    <t>Fall 2016 Savings</t>
  </si>
  <si>
    <t>Spring 2017 Students</t>
  </si>
  <si>
    <t>Spring 2017 Savings</t>
  </si>
  <si>
    <t>Total AY 2016-2017 Students</t>
  </si>
  <si>
    <t>Total AY 2016-2017 Savings</t>
  </si>
  <si>
    <t>Summer 2017 Students</t>
  </si>
  <si>
    <t>Summer 2017 Savings</t>
  </si>
  <si>
    <t>Fall 2017 Students</t>
  </si>
  <si>
    <t>Fall 2017 Savings</t>
  </si>
  <si>
    <t>Spring 2018 Students</t>
  </si>
  <si>
    <t>Spring 2018 Savings</t>
  </si>
  <si>
    <t>Total AY 2017-2018 Students</t>
  </si>
  <si>
    <t>Total AY 2017-2018 Savings</t>
  </si>
  <si>
    <t>Sustainability Check 2 (2018-2019) Status</t>
  </si>
  <si>
    <t>Check 2 Students Summer</t>
  </si>
  <si>
    <t>Check 2 Students Fall</t>
  </si>
  <si>
    <t>Check 2 Students Spring</t>
  </si>
  <si>
    <t>Check 2 Students Total</t>
  </si>
  <si>
    <t>Summer 2018 Price Check</t>
  </si>
  <si>
    <t>Check 2 Students Annual Savings</t>
  </si>
  <si>
    <t>Summer 2018 Students</t>
  </si>
  <si>
    <t>Summer 2018 Savings</t>
  </si>
  <si>
    <t>Fall 2018 Students</t>
  </si>
  <si>
    <t>Fall 2018 Savings</t>
  </si>
  <si>
    <t>Spring 2019 Students</t>
  </si>
  <si>
    <t>Spring 2019 Savings</t>
  </si>
  <si>
    <t>Total AY 2018-2019 Students</t>
  </si>
  <si>
    <t>Total AY 2018-2019 Savings</t>
  </si>
  <si>
    <t>Check 3 Status</t>
  </si>
  <si>
    <t>Check 3 Students Summer</t>
  </si>
  <si>
    <t>Check 3 Students Fall</t>
  </si>
  <si>
    <t>Check 3 Students Spring</t>
  </si>
  <si>
    <t>Check 3 Students Total</t>
  </si>
  <si>
    <t>Check 3 Per Student Savings</t>
  </si>
  <si>
    <t>Check 3 Total Annual Savings</t>
  </si>
  <si>
    <t>Starting Semester</t>
  </si>
  <si>
    <t>Summer 2019 Students</t>
  </si>
  <si>
    <t>Summer 2019 Savings</t>
  </si>
  <si>
    <t>Fall 2019 Students</t>
  </si>
  <si>
    <t>Fall 2019 Savings</t>
  </si>
  <si>
    <t>Spring 2020 Students</t>
  </si>
  <si>
    <t>Spring 2020 Savings</t>
  </si>
  <si>
    <t>Total AY 2019-2020 Students</t>
  </si>
  <si>
    <t>Total AY 2019-2020 Savings</t>
  </si>
  <si>
    <t>Grand Total Students</t>
  </si>
  <si>
    <t>Grand Total Savings</t>
  </si>
  <si>
    <t>Savings per $1 Awarded</t>
  </si>
  <si>
    <t>002</t>
  </si>
  <si>
    <t>R1: No PO</t>
  </si>
  <si>
    <t>01</t>
  </si>
  <si>
    <t>Standard/Large</t>
  </si>
  <si>
    <t>Middle Georgia State University</t>
  </si>
  <si>
    <t>Julie Lester</t>
  </si>
  <si>
    <t>julie.lester@mga.edu</t>
  </si>
  <si>
    <t>American Government</t>
  </si>
  <si>
    <t>POLS 1101</t>
  </si>
  <si>
    <t>Political Science</t>
  </si>
  <si>
    <t>Y</t>
  </si>
  <si>
    <t>OpenStax American Government</t>
  </si>
  <si>
    <t>Neutral</t>
  </si>
  <si>
    <t>Spring 2015</t>
  </si>
  <si>
    <t>N</t>
  </si>
  <si>
    <t>Continued</t>
  </si>
  <si>
    <t>006</t>
  </si>
  <si>
    <t>Kennesaw State University</t>
  </si>
  <si>
    <t>Camille Payne</t>
  </si>
  <si>
    <t>lpayne3@kennesaw.edu</t>
  </si>
  <si>
    <t>Nursing Research for Evidence-Based Practice</t>
  </si>
  <si>
    <t>NURS 4402</t>
  </si>
  <si>
    <t xml:space="preserve">Nursing </t>
  </si>
  <si>
    <t>OpenStax Introductory Statistics</t>
  </si>
  <si>
    <t>Negative</t>
  </si>
  <si>
    <t>Not Measured</t>
  </si>
  <si>
    <t>Unknown</t>
  </si>
  <si>
    <t>Discontinued</t>
  </si>
  <si>
    <t>007</t>
  </si>
  <si>
    <t>Lake Ritter</t>
  </si>
  <si>
    <t>lritter@kennesaw.edu</t>
  </si>
  <si>
    <t>Calculus II</t>
  </si>
  <si>
    <t>MATH 2254</t>
  </si>
  <si>
    <t>Mathematical Subjects</t>
  </si>
  <si>
    <t>Calculus: Late Transcendentals</t>
  </si>
  <si>
    <t>Positive</t>
  </si>
  <si>
    <t>008</t>
  </si>
  <si>
    <t>Loleta Sartin</t>
  </si>
  <si>
    <t>loleta.sartin@mga.edu</t>
  </si>
  <si>
    <t>Critical and Contemporary Issues in Education</t>
  </si>
  <si>
    <t>EDUC 2110</t>
  </si>
  <si>
    <t>Educator Preparation</t>
  </si>
  <si>
    <t>Various OER</t>
  </si>
  <si>
    <t>010</t>
  </si>
  <si>
    <t>University of Georgia</t>
  </si>
  <si>
    <t>Brian Dotts</t>
  </si>
  <si>
    <t>bdotts@uga.edu</t>
  </si>
  <si>
    <t>Exploring Socio-Cultural Diversity</t>
  </si>
  <si>
    <t>EDUC 2120</t>
  </si>
  <si>
    <t>OER and Library</t>
  </si>
  <si>
    <t>013</t>
  </si>
  <si>
    <t>Dalton State College</t>
  </si>
  <si>
    <t>Molly Zhou</t>
  </si>
  <si>
    <t>mzhou@daltonstate.edu</t>
  </si>
  <si>
    <t>Exploring Teaching and Learning</t>
  </si>
  <si>
    <t>EDUC 2130</t>
  </si>
  <si>
    <t>014</t>
  </si>
  <si>
    <t>Georgia State University</t>
  </si>
  <si>
    <t>William Johnson</t>
  </si>
  <si>
    <t>william.johnson@gpc.edu</t>
  </si>
  <si>
    <t>Introduction to Computing</t>
  </si>
  <si>
    <t>CSCI 1100</t>
  </si>
  <si>
    <t>Computing Disciplines</t>
  </si>
  <si>
    <t>016</t>
  </si>
  <si>
    <t>Valdosta State University</t>
  </si>
  <si>
    <t>Christine James</t>
  </si>
  <si>
    <t>chjames@valdosta.edu</t>
  </si>
  <si>
    <t>Principles of Logic and Argumentation</t>
  </si>
  <si>
    <t>PHIL 2020</t>
  </si>
  <si>
    <t>Philosophy and Religion</t>
  </si>
  <si>
    <t>Introduction to Philosophy</t>
  </si>
  <si>
    <t>Critical Thinking Web</t>
  </si>
  <si>
    <t>017</t>
  </si>
  <si>
    <t>Timothy Henkel</t>
  </si>
  <si>
    <t>tphenkel@valdosta.edu</t>
  </si>
  <si>
    <t>Evolution and Biodiversity, Organismal Biology</t>
  </si>
  <si>
    <t>BIOL 1010, BIOL 1030</t>
  </si>
  <si>
    <t>Biological Sciences</t>
  </si>
  <si>
    <t>OpenStax Concepts of Biology</t>
  </si>
  <si>
    <t>Spring 2016</t>
  </si>
  <si>
    <t>018</t>
  </si>
  <si>
    <t>Anthony Scheffler</t>
  </si>
  <si>
    <t>ajscheffler@valdosta.edu</t>
  </si>
  <si>
    <t>Science and Technology in Early Childhood Education</t>
  </si>
  <si>
    <t>ECED 4500</t>
  </si>
  <si>
    <t>023</t>
  </si>
  <si>
    <t>Georgia Southwestern State University</t>
  </si>
  <si>
    <t>Judy Grissett</t>
  </si>
  <si>
    <t>judy.grissett@gsw.edu</t>
  </si>
  <si>
    <t>Introduction to General Psychology</t>
  </si>
  <si>
    <t>PSYC 1101</t>
  </si>
  <si>
    <t>Psychology</t>
  </si>
  <si>
    <t>Saylor Introduction to Psychology</t>
  </si>
  <si>
    <t>Fall 2015</t>
  </si>
  <si>
    <t>024</t>
  </si>
  <si>
    <t>Georgia Southern University</t>
  </si>
  <si>
    <t>Jared Schlieper</t>
  </si>
  <si>
    <t>jared.schlieper@armstrong.edu</t>
  </si>
  <si>
    <t>Calculus I, Calculus II, Calculus III</t>
  </si>
  <si>
    <t>MATH 1161, MATH 2072, MATH 2083</t>
  </si>
  <si>
    <t>Calculus I</t>
  </si>
  <si>
    <t>APEX Calculus</t>
  </si>
  <si>
    <t>027</t>
  </si>
  <si>
    <t>Georgia Institute of Technology</t>
  </si>
  <si>
    <t>Young Choi</t>
  </si>
  <si>
    <t>christina.choi@gatech.edu</t>
  </si>
  <si>
    <t>Human Factors in Design</t>
  </si>
  <si>
    <t>ID 2320</t>
  </si>
  <si>
    <t>Engineering</t>
  </si>
  <si>
    <t>029</t>
  </si>
  <si>
    <t>East Georgia State College</t>
  </si>
  <si>
    <t>Tori Kearns</t>
  </si>
  <si>
    <t>tkearns@ega.edu</t>
  </si>
  <si>
    <t>NOBA Modules</t>
  </si>
  <si>
    <t>030</t>
  </si>
  <si>
    <t>Seneca Vaught</t>
  </si>
  <si>
    <t>svaught3@kennesaw.edu</t>
  </si>
  <si>
    <t>Issues in African and African Diaspora Studies</t>
  </si>
  <si>
    <t>AADS 1102</t>
  </si>
  <si>
    <t>Arts and Sciences</t>
  </si>
  <si>
    <t>031</t>
  </si>
  <si>
    <t>University of North Georgia</t>
  </si>
  <si>
    <t>Michael Goodroe</t>
  </si>
  <si>
    <t>michael.goodroe@ung.edu</t>
  </si>
  <si>
    <t>Introductory Algebra, Intermediate Algebra, College Algebra</t>
  </si>
  <si>
    <t>MATH 0097, MATH 0099, MATH 1111</t>
  </si>
  <si>
    <t>Support for College Algebra, College Algebra</t>
  </si>
  <si>
    <t>033</t>
  </si>
  <si>
    <t>Columbus State University</t>
  </si>
  <si>
    <t>Susan Hrach</t>
  </si>
  <si>
    <t>hrach_susan@columbusstate.edu</t>
  </si>
  <si>
    <t>World Literature I</t>
  </si>
  <si>
    <t>ENGL 2111</t>
  </si>
  <si>
    <t>English</t>
  </si>
  <si>
    <t>034</t>
  </si>
  <si>
    <t>Albany State University</t>
  </si>
  <si>
    <t>Anthony Cooper</t>
  </si>
  <si>
    <t>anthony.cooper@asurams.edu</t>
  </si>
  <si>
    <t>Human Anatomy and Physiology</t>
  </si>
  <si>
    <t>BIOL 2411</t>
  </si>
  <si>
    <t>OpenStax Anatomy and Physiology</t>
  </si>
  <si>
    <t>036</t>
  </si>
  <si>
    <t>South Georgia State College</t>
  </si>
  <si>
    <t>Molly Smith</t>
  </si>
  <si>
    <t>molly.smith@sgsc.edu</t>
  </si>
  <si>
    <t>Introductory Biology II</t>
  </si>
  <si>
    <t>BIOL 1020</t>
  </si>
  <si>
    <t>037</t>
  </si>
  <si>
    <t>Mike Keleher</t>
  </si>
  <si>
    <t>mkeleher@kennesaw.edu</t>
  </si>
  <si>
    <t>Spirits, Beers, and Brews</t>
  </si>
  <si>
    <t>CSH 4630</t>
  </si>
  <si>
    <t>038</t>
  </si>
  <si>
    <t>Arun Saha</t>
  </si>
  <si>
    <t>arun.saha@asurams.edu</t>
  </si>
  <si>
    <t>Introductory Physics II</t>
  </si>
  <si>
    <t>PHYS 1112</t>
  </si>
  <si>
    <t>Physics and Astronomy</t>
  </si>
  <si>
    <t>Introductory Physics II</t>
  </si>
  <si>
    <t>OpenStax College Physics</t>
  </si>
  <si>
    <t>039</t>
  </si>
  <si>
    <t>Georgia Highlands College</t>
  </si>
  <si>
    <t>Allen Dutch</t>
  </si>
  <si>
    <t>adutch@highlands.edu</t>
  </si>
  <si>
    <t>First-Year Experience</t>
  </si>
  <si>
    <t>FCST 1010</t>
  </si>
  <si>
    <t>041</t>
  </si>
  <si>
    <t>Augusta University</t>
  </si>
  <si>
    <t>Charlotte Chatto</t>
  </si>
  <si>
    <t>cchatto@augusta.edu</t>
  </si>
  <si>
    <t>Integration for Practice: Neuromuscular</t>
  </si>
  <si>
    <t>PTHP 8351</t>
  </si>
  <si>
    <t xml:space="preserve">Original </t>
  </si>
  <si>
    <t>042</t>
  </si>
  <si>
    <t>Guangzhi Zheng</t>
  </si>
  <si>
    <t>gzheng@kennesaw.edu</t>
  </si>
  <si>
    <t>Introduction to Web Development</t>
  </si>
  <si>
    <t>IT 3502</t>
  </si>
  <si>
    <t>043</t>
  </si>
  <si>
    <t>Amy Sandy</t>
  </si>
  <si>
    <t>sandy_amy@columbusstate.edu</t>
  </si>
  <si>
    <t>Principles of Biology I, Principles of Biology II</t>
  </si>
  <si>
    <t>BIOL 1215</t>
  </si>
  <si>
    <t>Principles of Biology I &amp; II</t>
  </si>
  <si>
    <t>044</t>
  </si>
  <si>
    <t>Lu Kang</t>
  </si>
  <si>
    <t>lkang1@kennesaw.edu</t>
  </si>
  <si>
    <t xml:space="preserve">Principles of Chemistry I </t>
  </si>
  <si>
    <t>CHEM 1211</t>
  </si>
  <si>
    <t>Chemistry</t>
  </si>
  <si>
    <t>Introduction to Chemistry</t>
  </si>
  <si>
    <t>045</t>
  </si>
  <si>
    <t>Marcela Chiorescu</t>
  </si>
  <si>
    <t>marcela.chiorescu@gcsu.edu</t>
  </si>
  <si>
    <t>College Algebra</t>
  </si>
  <si>
    <t>MATH 1111</t>
  </si>
  <si>
    <t>Stitz-Zeager College Algebra</t>
  </si>
  <si>
    <t>046</t>
  </si>
  <si>
    <t>Matthew Roessing</t>
  </si>
  <si>
    <t>matt.roessing@gcsu.edu</t>
  </si>
  <si>
    <t>Environment of Business</t>
  </si>
  <si>
    <t>LENB 3135</t>
  </si>
  <si>
    <t>Business Administration, Management, and Economics</t>
  </si>
  <si>
    <t>047</t>
  </si>
  <si>
    <t>Marina Smitherman</t>
  </si>
  <si>
    <t>msmitherman@daltonstate.edu</t>
  </si>
  <si>
    <t>Human Anatomy and Physiology I, Human Anatomy and Physiology II</t>
  </si>
  <si>
    <t>BIOL 2212, BIOL 2213</t>
  </si>
  <si>
    <t>048</t>
  </si>
  <si>
    <t>Gordon State College</t>
  </si>
  <si>
    <t>Wesley Venus</t>
  </si>
  <si>
    <t>wvenus@gordonstate.edu</t>
  </si>
  <si>
    <t>English Composition I</t>
  </si>
  <si>
    <t>ENGL 1101</t>
  </si>
  <si>
    <t>061</t>
  </si>
  <si>
    <t>02</t>
  </si>
  <si>
    <t>Susan Willey</t>
  </si>
  <si>
    <t>willey@gsu.edu</t>
  </si>
  <si>
    <t>BUSA 2106</t>
  </si>
  <si>
    <t>064</t>
  </si>
  <si>
    <t>Shaun Ault</t>
  </si>
  <si>
    <t>svault@valdosta.edu</t>
  </si>
  <si>
    <t>Analytic Geometry and Calculus I</t>
  </si>
  <si>
    <t>MATH 2261</t>
  </si>
  <si>
    <t>068</t>
  </si>
  <si>
    <t>Stephanie da Silva</t>
  </si>
  <si>
    <t>dasilva_stephanie@columbusstate.edu</t>
  </si>
  <si>
    <t>Psychology Research Design and Methodology</t>
  </si>
  <si>
    <t>PSYC 3211</t>
  </si>
  <si>
    <t>076</t>
  </si>
  <si>
    <t>Susan Burran</t>
  </si>
  <si>
    <t>sburran@daltonstate.edu</t>
  </si>
  <si>
    <t>BIOL 1107, BIOL 1108</t>
  </si>
  <si>
    <t>OpenStax Biology</t>
  </si>
  <si>
    <t>081</t>
  </si>
  <si>
    <t>Jim Konzelman</t>
  </si>
  <si>
    <t>jim.konzelman@ung.edu</t>
  </si>
  <si>
    <t>Principles of Chemistry I, Principles of Chemistry II</t>
  </si>
  <si>
    <t>CHEM 1211, CHEM 1212</t>
  </si>
  <si>
    <t>Principles of Chemistry I &amp; II</t>
  </si>
  <si>
    <t>OpenStax Chemistry</t>
  </si>
  <si>
    <t>082</t>
  </si>
  <si>
    <t>Exploratory Activities in Physical Education, Art, and Music</t>
  </si>
  <si>
    <t>EDUC 3214</t>
  </si>
  <si>
    <t>083</t>
  </si>
  <si>
    <t>Richard Stephens</t>
  </si>
  <si>
    <t>stephens_richard2@columbusstate.edu</t>
  </si>
  <si>
    <t>Introduction to Statistics</t>
  </si>
  <si>
    <t>STAT 1127</t>
  </si>
  <si>
    <t>092</t>
  </si>
  <si>
    <t>Hema Mason</t>
  </si>
  <si>
    <t>hema.mason@asurams.edu</t>
  </si>
  <si>
    <t>OpenStax Psychology</t>
  </si>
  <si>
    <t>Summer 2015</t>
  </si>
  <si>
    <t>096</t>
  </si>
  <si>
    <t>Wanjun Hu</t>
  </si>
  <si>
    <t>wanjun.hu@asurams.edu</t>
  </si>
  <si>
    <t>Precalculus</t>
  </si>
  <si>
    <t>MATH 1113</t>
  </si>
  <si>
    <t>OpenStax Precalculus</t>
  </si>
  <si>
    <t>098</t>
  </si>
  <si>
    <t>Soumitra Chattopadhyay</t>
  </si>
  <si>
    <t>schattop@highlands.edu</t>
  </si>
  <si>
    <t>Introductory Physics</t>
  </si>
  <si>
    <t>PHYS 1111</t>
  </si>
  <si>
    <t>Introductory Physics I</t>
  </si>
  <si>
    <t>Ru Story-Huffman</t>
  </si>
  <si>
    <t>ru.story-huffman@gsw.edu</t>
  </si>
  <si>
    <t>Foundations of Information Literacy, Instructional Technology</t>
  </si>
  <si>
    <t>LIBR 1101, EDUC 3200</t>
  </si>
  <si>
    <t>Charles Huffman</t>
  </si>
  <si>
    <t>charles.huffman@gsw.edu</t>
  </si>
  <si>
    <t>OpenStax Psychology, OpenStax Sociology</t>
  </si>
  <si>
    <t>Clayton State University</t>
  </si>
  <si>
    <t>Jesse Zinn</t>
  </si>
  <si>
    <t>jessezinn@clayton.edu</t>
  </si>
  <si>
    <t>Microeconomics, Macroeconomics</t>
  </si>
  <si>
    <t>ECON 2105, ECON 2106</t>
  </si>
  <si>
    <t>Principles of Microeconomics, Principles of Macroeconomics</t>
  </si>
  <si>
    <t>OpenStax Microeconomics, OpenStax Macroeconomics</t>
  </si>
  <si>
    <t>Rebecca Weaver</t>
  </si>
  <si>
    <t>rweaver@gsu.edu</t>
  </si>
  <si>
    <t>English Composition I, English Composition II</t>
  </si>
  <si>
    <t>ENGL 1101, ENGL 1102</t>
  </si>
  <si>
    <t>English Composition I &amp; II</t>
  </si>
  <si>
    <t xml:space="preserve">Saylor Writing for Success </t>
  </si>
  <si>
    <t>Robin Snipes</t>
  </si>
  <si>
    <t>snipes_robin@columbusstate.edu</t>
  </si>
  <si>
    <t>Strategic Management</t>
  </si>
  <si>
    <t>BUSA 4185</t>
  </si>
  <si>
    <t>Kelly McFaden</t>
  </si>
  <si>
    <t>kmcfaden@ung.edu</t>
  </si>
  <si>
    <t>Critical and Contemporary Issues in Education, Exploring Socio-Cultural Diversity, Exploring Teaching and Learning</t>
  </si>
  <si>
    <t>EDUC 2110, EDUC 2120, EDUC 2130</t>
  </si>
  <si>
    <t>Samuel Mutiti</t>
  </si>
  <si>
    <t>samuel.mutiti@gcsu.edu</t>
  </si>
  <si>
    <t>Introduction to Environmental Science</t>
  </si>
  <si>
    <t>ENSC 1000</t>
  </si>
  <si>
    <t xml:space="preserve">Jonathan Cannon </t>
  </si>
  <si>
    <t>jonathan.cannon@mga.edu</t>
  </si>
  <si>
    <t>Survey of Chemistry I, Survey of Chemistry II</t>
  </si>
  <si>
    <t>CHEM 1151, CHEM 1152</t>
  </si>
  <si>
    <t>Survey of Chemistry I &amp; II</t>
  </si>
  <si>
    <t>LibreTexts Chemistry</t>
  </si>
  <si>
    <t>Fort Valley State University</t>
  </si>
  <si>
    <t>Samuel Cartwright</t>
  </si>
  <si>
    <t>scartwright@fvsu.edu</t>
  </si>
  <si>
    <t>College Algebra, Precalculus</t>
  </si>
  <si>
    <t>MATH 1111, MATH 1113</t>
  </si>
  <si>
    <t>Critical and Contemporary Issues in Education, Exploring Socio-Cultural Diversity</t>
  </si>
  <si>
    <t>EDUC 2110, EDUC 2120</t>
  </si>
  <si>
    <t>College of Coastal Georgia</t>
  </si>
  <si>
    <t>German Vargas</t>
  </si>
  <si>
    <t>gvargas@ccga.edu</t>
  </si>
  <si>
    <t>Pre-Algebra, Trigonometry, Precalculus, Introduction to Statistics</t>
  </si>
  <si>
    <t>MATH 1111, MATH 1112, MATH 1113, MATH 2112</t>
  </si>
  <si>
    <t>Precalculus, Trigonometry</t>
  </si>
  <si>
    <t>OpenStax Algebra and Trigonometry, OpenStax Statistics</t>
  </si>
  <si>
    <t>Megan Mittelstadt</t>
  </si>
  <si>
    <t>megan.mittelstadt@uga.edu</t>
  </si>
  <si>
    <t>Lei Li</t>
  </si>
  <si>
    <t>lli13@kennesaw.edu</t>
  </si>
  <si>
    <t>Advanced Databases, Business Intelligence, Database Design and Applications</t>
  </si>
  <si>
    <t>CSE 3153, IT 4153, IT 4713, IT 5433</t>
  </si>
  <si>
    <t>Human Anatomy and Physiology I</t>
  </si>
  <si>
    <t>Theresa Grove</t>
  </si>
  <si>
    <t>tjgrove@valdosta.edu</t>
  </si>
  <si>
    <t>Principles of Biology I</t>
  </si>
  <si>
    <t>BIOL 1107</t>
  </si>
  <si>
    <t>Support for College Algebra, Intermediate Algebra, College Algebra, Precalculus, Calculus I</t>
  </si>
  <si>
    <t>MATH 0097, MATH 0099, MATH 1111, MATH 1113, MATH 1450</t>
  </si>
  <si>
    <t>Support for College Algebra, College Algebra, Precalculus, Calculus I</t>
  </si>
  <si>
    <t>Kevin Floyd</t>
  </si>
  <si>
    <t>kevin.floyd@mga.edu</t>
  </si>
  <si>
    <t>Web Development, Web Programming</t>
  </si>
  <si>
    <t>ITEC 2380, ITEC 3280, ITEC 4248</t>
  </si>
  <si>
    <t>03</t>
  </si>
  <si>
    <t>Hassan El-Najjar</t>
  </si>
  <si>
    <t>helnajjar@daltonstate.edu</t>
  </si>
  <si>
    <t>Introduction to Sociology</t>
  </si>
  <si>
    <t>SOCI 1101</t>
  </si>
  <si>
    <t>Sociology</t>
  </si>
  <si>
    <t xml:space="preserve">OpenStax Sociology </t>
  </si>
  <si>
    <t>Dr. Jenny Crisp</t>
  </si>
  <si>
    <t>jcrisp@daltonstate.edu</t>
  </si>
  <si>
    <t>Learning Support English, Foundations of English, Corequisite Support in English</t>
  </si>
  <si>
    <t>ENGL 0098, ENGL 0989, ENGL 0999</t>
  </si>
  <si>
    <t>Foundations for English Composition</t>
  </si>
  <si>
    <t>Barbara Tucker</t>
  </si>
  <si>
    <t>btucker@daltonstate.edu</t>
  </si>
  <si>
    <t>Public Speaking</t>
  </si>
  <si>
    <t>COMM 1110</t>
  </si>
  <si>
    <t>Communication</t>
  </si>
  <si>
    <t>Summer 2016</t>
  </si>
  <si>
    <t>Antoinette Miller</t>
  </si>
  <si>
    <t>antoinettemiller@clayton.edu</t>
  </si>
  <si>
    <t>Chrissy Spencer</t>
  </si>
  <si>
    <t>chrissy.spencer@biology.gatech.edu</t>
  </si>
  <si>
    <t>Introduction to Biological Principles</t>
  </si>
  <si>
    <t>BIOL 1510, BIOL 1511</t>
  </si>
  <si>
    <t>Brian Amsden</t>
  </si>
  <si>
    <t>bamsden@clayton.edu</t>
  </si>
  <si>
    <t>Stand Up, Speak Out</t>
  </si>
  <si>
    <t>Jennifer Pitts</t>
  </si>
  <si>
    <t>pitts_jennifer@columbusstate.edu</t>
  </si>
  <si>
    <t>Principles of Information Technology Management</t>
  </si>
  <si>
    <t>MISM 3115</t>
  </si>
  <si>
    <t>Health Informatics</t>
  </si>
  <si>
    <t>Getting the Most out of Information Systems</t>
  </si>
  <si>
    <t>Deborah Liss-Green</t>
  </si>
  <si>
    <t>deborah.lissgreen@darton.edu</t>
  </si>
  <si>
    <t>Theatre Appreciation</t>
  </si>
  <si>
    <t>THEA 1100</t>
  </si>
  <si>
    <t>Fine and Applied Arts</t>
  </si>
  <si>
    <t>Theatrical Worlds</t>
  </si>
  <si>
    <t>Ginny Zhan</t>
  </si>
  <si>
    <t>gzhan@kennesaw.edu</t>
  </si>
  <si>
    <t>Introduction to Asian Cultures</t>
  </si>
  <si>
    <t>ASIA 1102</t>
  </si>
  <si>
    <t>Tamara Powell</t>
  </si>
  <si>
    <t>tpowel25@kennesaw.edu</t>
  </si>
  <si>
    <t>Technical Writing, Workplace Writing</t>
  </si>
  <si>
    <t>TCOM 2010, WRIT 3140</t>
  </si>
  <si>
    <t>Fall 2020</t>
  </si>
  <si>
    <t>Georgia Gwinnett College</t>
  </si>
  <si>
    <t>Shuhua Lai</t>
  </si>
  <si>
    <t>slai@ggc.edu</t>
  </si>
  <si>
    <t>Digital Media</t>
  </si>
  <si>
    <t>ITEC 2110</t>
  </si>
  <si>
    <t>Carlton Usher</t>
  </si>
  <si>
    <t>cusher@kennesaw.edu</t>
  </si>
  <si>
    <t>KSU 1111</t>
  </si>
  <si>
    <t>Tatiana Krivosheev</t>
  </si>
  <si>
    <t>tatianakrivosheev@clayton.edu</t>
  </si>
  <si>
    <t>Principles of Physics I, Principles of Physics II, Introductory Physics I, Introductory Physics II, Principles of Chemistry I, Principles of Chemistry II, Organic Chemistry I, Organic Chemistry II</t>
  </si>
  <si>
    <t>PHYS 2211, PHYS 2212, PHYS 1111, PHYS 1112, CHEM 1211, CHEM 1212, CHEM 2411, CHEM 2412</t>
  </si>
  <si>
    <t>Principles of Physics I, Principles of Physics II, Introductory Physics I, Introductory Physics II, Principles of Chemistry I, Principles of Chemistry II</t>
  </si>
  <si>
    <t>J. Sean Callahan</t>
  </si>
  <si>
    <t>scallaha@highlands.edu</t>
  </si>
  <si>
    <t>Shayla Williams</t>
  </si>
  <si>
    <t>shayla.williams@asurams.edu</t>
  </si>
  <si>
    <t>Introduction to Biology</t>
  </si>
  <si>
    <t>BIOL 1111</t>
  </si>
  <si>
    <t>Introductory Biology I</t>
  </si>
  <si>
    <t>Daniel Farr</t>
  </si>
  <si>
    <t>dfarr4@kennesaw.edu</t>
  </si>
  <si>
    <t>04</t>
  </si>
  <si>
    <t>Stephanie Harvey</t>
  </si>
  <si>
    <t>stephanie.harvey@gsw.edu</t>
  </si>
  <si>
    <t>Essentials of Biology I, Essentials of Biology II</t>
  </si>
  <si>
    <t xml:space="preserve">Principles of Biology I &amp; II </t>
  </si>
  <si>
    <t>Valerie Hastings</t>
  </si>
  <si>
    <t>vthastings@ung.edu</t>
  </si>
  <si>
    <t>Elementary French I, Elementary French II</t>
  </si>
  <si>
    <t>FREN 1001, FREN 1002</t>
  </si>
  <si>
    <t>Foreign Languages</t>
  </si>
  <si>
    <t>Elementary French I &amp; II</t>
  </si>
  <si>
    <t>Michael Fuchs</t>
  </si>
  <si>
    <t>MichaelFuchs@Clayton.edu</t>
  </si>
  <si>
    <t>Music Appreciation</t>
  </si>
  <si>
    <t>MUSC 2101</t>
  </si>
  <si>
    <t>CUNY Music: Its Language, History, and Culture</t>
  </si>
  <si>
    <t>Fall 2016</t>
  </si>
  <si>
    <t>151a</t>
  </si>
  <si>
    <t>Andrea Allen</t>
  </si>
  <si>
    <t>andreaallen@clayton.edu</t>
  </si>
  <si>
    <t>Research Methods in Criminal Justice</t>
  </si>
  <si>
    <t>SOC 4501, CRJU 4501, CRJU 3020</t>
  </si>
  <si>
    <t>Criminal Justice</t>
  </si>
  <si>
    <t>Social Science Research: Principles, Methods, and Practices</t>
  </si>
  <si>
    <t>151b</t>
  </si>
  <si>
    <t>Scott Jacques</t>
  </si>
  <si>
    <t>sjacques1@gsu.edu</t>
  </si>
  <si>
    <t>Duplicate</t>
  </si>
  <si>
    <t>Neal Smith</t>
  </si>
  <si>
    <t>nsmith12@augusta.edu</t>
  </si>
  <si>
    <t>MATH 2210</t>
  </si>
  <si>
    <t>Chelda Smith</t>
  </si>
  <si>
    <t>cheldasmith@georgiasouthern.edu</t>
  </si>
  <si>
    <t>Cultural Issues</t>
  </si>
  <si>
    <t>ESED 5234</t>
  </si>
  <si>
    <t>Jennifer Brown</t>
  </si>
  <si>
    <t>brown_jennifer2@columbusstate.edu</t>
  </si>
  <si>
    <t>Curriculum Design for Student Achievement</t>
  </si>
  <si>
    <t>EDUC 6226</t>
  </si>
  <si>
    <t>Jocelyn Steward</t>
  </si>
  <si>
    <t>jocelynsteward@clayton.edu</t>
  </si>
  <si>
    <t>Health Care Economics, Health Care Finance, Health Care Econometrics, Health Care Accounting, Ethical Issues in Health Care</t>
  </si>
  <si>
    <t>HCMG 3320, HCMG 4560, HCMG 5020, HCMG 5030, HSCI 3550</t>
  </si>
  <si>
    <t>CUNY Medical Ethics</t>
  </si>
  <si>
    <t>Zephyrinus Okonkwo</t>
  </si>
  <si>
    <t>Zephyrinus.Okonkwo@asurams.edu</t>
  </si>
  <si>
    <t>MATH 2411</t>
  </si>
  <si>
    <t>Ellen Cotter</t>
  </si>
  <si>
    <t>ellen.cotter@gsw.edu</t>
  </si>
  <si>
    <t>Human Growth and Development</t>
  </si>
  <si>
    <t>PSYC 2103</t>
  </si>
  <si>
    <t>Introduction to Human Development</t>
  </si>
  <si>
    <t>Boundless Psychology: Human Development</t>
  </si>
  <si>
    <t>Savannah State University</t>
  </si>
  <si>
    <t>Cecil Jones</t>
  </si>
  <si>
    <t>jonesce@savannahstate.edu</t>
  </si>
  <si>
    <t>Principles of Biology II</t>
  </si>
  <si>
    <t>BIOL 1108</t>
  </si>
  <si>
    <t>Mark Laughlin</t>
  </si>
  <si>
    <t>Mark.Laughlin@gsw.edu</t>
  </si>
  <si>
    <t>MUSC 1100</t>
  </si>
  <si>
    <t>UNG Understanding Music: Past and Present</t>
  </si>
  <si>
    <t>Alicia Briganti</t>
  </si>
  <si>
    <t>abriganti@daltonstate.edu</t>
  </si>
  <si>
    <t>University of West Georgia</t>
  </si>
  <si>
    <t>Mark Kunkel</t>
  </si>
  <si>
    <t>fgallag1@my.westga.edu</t>
  </si>
  <si>
    <t>Fall 2017</t>
  </si>
  <si>
    <t>Kathleen Barrett</t>
  </si>
  <si>
    <t>kbarrett@westga.edu</t>
  </si>
  <si>
    <t>DeLoris Hesse</t>
  </si>
  <si>
    <t>hesse@uga.edu</t>
  </si>
  <si>
    <t>CBIO 2200, CBIO 2210</t>
  </si>
  <si>
    <t>374.e</t>
  </si>
  <si>
    <t>Spring 2019</t>
  </si>
  <si>
    <t>Edwynn Wallace</t>
  </si>
  <si>
    <t>edwynn.wallace@mga.edu</t>
  </si>
  <si>
    <t>Principles of Physics I, Principles of Physics II</t>
  </si>
  <si>
    <t>PHYS 1111, PHYS 1112</t>
  </si>
  <si>
    <t>Principles of Physics I &amp; II</t>
  </si>
  <si>
    <t>Joseph Comeau</t>
  </si>
  <si>
    <t>joseph.comeau@gsw.edu</t>
  </si>
  <si>
    <t>Contemporary Social Problems, Social Research Methods, Experimental Psychology</t>
  </si>
  <si>
    <t>SOCI 1160, SOCI 4440 PSYC 4431</t>
  </si>
  <si>
    <t>Saylor Social Problems: Continuity and Change</t>
  </si>
  <si>
    <t>Minsu Kim</t>
  </si>
  <si>
    <t>Minsu.kim@ung.edu</t>
  </si>
  <si>
    <t>Calculus II, College Algebra, Elementary Statistics, Precalculus</t>
  </si>
  <si>
    <t>MATH 1111, MATH 1113, MATH 2400, MATH 2460</t>
  </si>
  <si>
    <t>Calculus II, College Algebra, Precalculus</t>
  </si>
  <si>
    <t>Dereth Drake</t>
  </si>
  <si>
    <t>djdrake@valdosta.edu</t>
  </si>
  <si>
    <t xml:space="preserve">Introductory Physics I, Introductory Physics II </t>
  </si>
  <si>
    <t>Introductory Physics I &amp; II </t>
  </si>
  <si>
    <t>Sharon Pearcey</t>
  </si>
  <si>
    <t>spearcey@kennesaw.edu</t>
  </si>
  <si>
    <t>Science of Psychology, Research Methods and Statistics, Experimental Design and Analysis</t>
  </si>
  <si>
    <t>PSYC 2000, PSYC 2300, PSYC 3301</t>
  </si>
  <si>
    <t>MATH 2200</t>
  </si>
  <si>
    <t>OpenIntro Statistics</t>
  </si>
  <si>
    <t>05</t>
  </si>
  <si>
    <t>Chavonda Mills</t>
  </si>
  <si>
    <t>Chavonda.Mills@gcsu.edu</t>
  </si>
  <si>
    <t>Biochemistry I, Biochemistry II</t>
  </si>
  <si>
    <t>CHEM 3510, CHEM 3711, CHEM 3712</t>
  </si>
  <si>
    <t>Biochemistry: Free for All</t>
  </si>
  <si>
    <t>Todd Mueller</t>
  </si>
  <si>
    <t>tmueller@ggc.edu</t>
  </si>
  <si>
    <t>GGC Music Appreciation</t>
  </si>
  <si>
    <t>204a</t>
  </si>
  <si>
    <t>Jason Davis</t>
  </si>
  <si>
    <t>jasondavis@clayton.edu</t>
  </si>
  <si>
    <t>Introduction to Criminal Justice</t>
  </si>
  <si>
    <t>CRJU 1100, CRJU 1150</t>
  </si>
  <si>
    <t>Spring 2017</t>
  </si>
  <si>
    <t>204b</t>
  </si>
  <si>
    <t>Bridget Melton</t>
  </si>
  <si>
    <t>bmelton@georgiasouthern.edu</t>
  </si>
  <si>
    <t>Introduction to Exercise Science</t>
  </si>
  <si>
    <t>KINS 2535</t>
  </si>
  <si>
    <t>Kinesiology</t>
  </si>
  <si>
    <t>Tricia Brown</t>
  </si>
  <si>
    <t>tmbrown@georgiasouthern.edu</t>
  </si>
  <si>
    <t>Quantitative Skills and Reasoning</t>
  </si>
  <si>
    <t>MATH 1001</t>
  </si>
  <si>
    <t>Quantitative Reasoning</t>
  </si>
  <si>
    <t>Math in Society</t>
  </si>
  <si>
    <t>Chaogui Zhang</t>
  </si>
  <si>
    <t>ChaoguiZhang@clayton.edu</t>
  </si>
  <si>
    <t>College Algebra, Trigonometry and Analytic Geometry, Precalculus</t>
  </si>
  <si>
    <t>MATH 1111, MATH 1112, MATH 1113</t>
  </si>
  <si>
    <t>College Algebra, Trigonometry, Precalculus</t>
  </si>
  <si>
    <t>OpenStax Algebra and Trigonometry, OpenStax Precalculus</t>
  </si>
  <si>
    <t>Ken Ellinger</t>
  </si>
  <si>
    <t>kellinger@daltonstate.edu</t>
  </si>
  <si>
    <t>Thomas Harnden</t>
  </si>
  <si>
    <t>tharnden@highlands.edu</t>
  </si>
  <si>
    <t>Introduction to Biology, General Zoology</t>
  </si>
  <si>
    <t>BIOL 1010, BIOL 2154</t>
  </si>
  <si>
    <t>Georgina Hammock</t>
  </si>
  <si>
    <t>ghammock@gru.edu</t>
  </si>
  <si>
    <t>Christina Wolfe</t>
  </si>
  <si>
    <t>cwolfe@highlands.edu</t>
  </si>
  <si>
    <t>Chi Zhang</t>
  </si>
  <si>
    <t>chizhang@kennesaw.edu</t>
  </si>
  <si>
    <t>Foundations of Health Information Technology</t>
  </si>
  <si>
    <t>IT 3503, IT 6503</t>
  </si>
  <si>
    <t>231.a</t>
  </si>
  <si>
    <t>Open Math</t>
  </si>
  <si>
    <t>231.b</t>
  </si>
  <si>
    <t>Abraham Baldwin Agricultural College</t>
  </si>
  <si>
    <t>April Abbott</t>
  </si>
  <si>
    <t>aabbott@abac.edu</t>
  </si>
  <si>
    <t>OpenStax Algebra and Trigonometry</t>
  </si>
  <si>
    <t>Fall 2018</t>
  </si>
  <si>
    <t>231.c</t>
  </si>
  <si>
    <t>Atlanta Metropolitan State College</t>
  </si>
  <si>
    <t>Gyuheui Choi</t>
  </si>
  <si>
    <t>gchoi@atlm.edu</t>
  </si>
  <si>
    <t>Elementary Statistics</t>
  </si>
  <si>
    <t>MATH 1114</t>
  </si>
  <si>
    <t>231.d</t>
  </si>
  <si>
    <t>Jing Kersey</t>
  </si>
  <si>
    <t>jkersey@ega.edu</t>
  </si>
  <si>
    <t>College Algebra, Introduction to Statistics</t>
  </si>
  <si>
    <t>MATH 1111, MATH 1121</t>
  </si>
  <si>
    <t>231.e</t>
  </si>
  <si>
    <t>Alvina Atkinson</t>
  </si>
  <si>
    <t>aatkinso@ggc.edu</t>
  </si>
  <si>
    <t>231.f</t>
  </si>
  <si>
    <t>Melanie Largin</t>
  </si>
  <si>
    <t>mlargin@highlands.edu</t>
  </si>
  <si>
    <t>College Algebra, Precalculus, Elementary Statistics</t>
  </si>
  <si>
    <t>MATH 1111, MATH 1113, MATH 2200</t>
  </si>
  <si>
    <t>06</t>
  </si>
  <si>
    <t>Sheryne Southard</t>
  </si>
  <si>
    <t>SheryneSouthard@clayton.edu</t>
  </si>
  <si>
    <t>Legal Issues for Managers, Legal Environment of Business</t>
  </si>
  <si>
    <t>TECH 3115, BLAW 2106</t>
  </si>
  <si>
    <t>Saylor Foundations of Business Law and the Legal Environment</t>
  </si>
  <si>
    <t>Mariana Stone</t>
  </si>
  <si>
    <t>Mariana.Stone@ung.edu</t>
  </si>
  <si>
    <t>Elementary Spanish</t>
  </si>
  <si>
    <t>SPAN 1001</t>
  </si>
  <si>
    <t>Elementary Spanish I</t>
  </si>
  <si>
    <t>Shana Kerr</t>
  </si>
  <si>
    <t>shana.kerr@biosci.gatech.edu</t>
  </si>
  <si>
    <t>Introductory and Honors Organismal Biology</t>
  </si>
  <si>
    <t>BIOL 1520, BIOL 1521</t>
  </si>
  <si>
    <t>Dee McKinney</t>
  </si>
  <si>
    <t>dmckinney@ega.edu</t>
  </si>
  <si>
    <t>World Civilization until 1648</t>
  </si>
  <si>
    <t>HIST 1111</t>
  </si>
  <si>
    <t>History</t>
  </si>
  <si>
    <t>Survey of World History I</t>
  </si>
  <si>
    <t>Thomas Gonzalez</t>
  </si>
  <si>
    <t>tgonzalez@daltonstate.edu</t>
  </si>
  <si>
    <t>Calculus and Analytic Geometry</t>
  </si>
  <si>
    <t>MATH 2253, MATH 2254, MATH 2255</t>
  </si>
  <si>
    <t>missing</t>
  </si>
  <si>
    <t>Dovile Budryte</t>
  </si>
  <si>
    <t>dbudryte@ggc.edu</t>
  </si>
  <si>
    <t>Microbiology</t>
  </si>
  <si>
    <t>BIOL 2215</t>
  </si>
  <si>
    <t>OpenStax Microbiology</t>
  </si>
  <si>
    <t>Brian Pope</t>
  </si>
  <si>
    <t>bpope@ccga.edu</t>
  </si>
  <si>
    <t>Introduction to Psychology</t>
  </si>
  <si>
    <t>Francis Flaherty</t>
  </si>
  <si>
    <t>flaherty@valdosta.edu</t>
  </si>
  <si>
    <t>Principles of Physics I</t>
  </si>
  <si>
    <t>PHYS 2211</t>
  </si>
  <si>
    <t>OpenStax University Physics Volume I</t>
  </si>
  <si>
    <t>Plants, Society, and the Environment</t>
  </si>
  <si>
    <t>Resources, Society, and the Environment</t>
  </si>
  <si>
    <t>Martiana Sega</t>
  </si>
  <si>
    <t>msega@ega.edu</t>
  </si>
  <si>
    <t>Principles of Biology</t>
  </si>
  <si>
    <t xml:space="preserve">Principles of Biology I </t>
  </si>
  <si>
    <t>cartwris@fvsu.edu</t>
  </si>
  <si>
    <t>Calculus I, Calculus II, Calculus for Business and Economics, Differential Equations</t>
  </si>
  <si>
    <t>MATH 1154, MATH 2164, MATH 1150, MATH 3233</t>
  </si>
  <si>
    <t>Calculus I, Calculus II</t>
  </si>
  <si>
    <t>OpenStax Calculus Volume I, OpenStax Calculus Volume II</t>
  </si>
  <si>
    <t>07</t>
  </si>
  <si>
    <t>Barbara Hall</t>
  </si>
  <si>
    <t>bhall12@gsu.edu</t>
  </si>
  <si>
    <t>Applied Grammar and Writing II, Applied Grammar and Writing III</t>
  </si>
  <si>
    <t>ENSL 0081, ENSL 0091</t>
  </si>
  <si>
    <t>Saylor Business English for Success</t>
  </si>
  <si>
    <t>Colleen Knight</t>
  </si>
  <si>
    <t>cknight@ccga.edu</t>
  </si>
  <si>
    <t>Principles of Chemistry I, Principles of Chemistry II, Organic Chemistry I, Organic Chemistry II</t>
  </si>
  <si>
    <t>CHEM 1211, CHEM 1212, CHEM 2211, CHEM 2212</t>
  </si>
  <si>
    <t>Low-Cost Text</t>
  </si>
  <si>
    <t>Lea Padgett</t>
  </si>
  <si>
    <t>lpadgett@georgiasouthern.edu</t>
  </si>
  <si>
    <t>Hashim Saber</t>
  </si>
  <si>
    <t>hashim.saber@ung.edu</t>
  </si>
  <si>
    <t>Calculus I, Calculus II, Linear Algebra</t>
  </si>
  <si>
    <t>MATH 1450, MATH 2470, MATH 3650</t>
  </si>
  <si>
    <t>APEX Calculus, Various OER</t>
  </si>
  <si>
    <t>Lisa Jellum</t>
  </si>
  <si>
    <t>ljellum@highlands.edu</t>
  </si>
  <si>
    <t>Concepts of Fitness and Wellness, Walking and Jogging</t>
  </si>
  <si>
    <t>PHED 1010, PHED 1130</t>
  </si>
  <si>
    <t>Da'Mon Andrews</t>
  </si>
  <si>
    <t>dandrews@ega.edu</t>
  </si>
  <si>
    <t>Foundations for College Algebra</t>
  </si>
  <si>
    <t>MATH 0989</t>
  </si>
  <si>
    <t>Beginning and Intermediate Algebra</t>
  </si>
  <si>
    <t>Jason Allard</t>
  </si>
  <si>
    <t>jmallard@valdosta.edu</t>
  </si>
  <si>
    <t>Introduction to Weather and Climate</t>
  </si>
  <si>
    <t>GEOG 1112</t>
  </si>
  <si>
    <t>Geological Sciences and Geography</t>
  </si>
  <si>
    <t>08</t>
  </si>
  <si>
    <t>Larry Gibson</t>
  </si>
  <si>
    <t>larry.gibson@ung.edu</t>
  </si>
  <si>
    <t>Anatomy and Physiology I, Anatomy and Physiology II</t>
  </si>
  <si>
    <t>BIOL 2120, BIOL 2130</t>
  </si>
  <si>
    <t>Christopher Ward</t>
  </si>
  <si>
    <t>christopherward@clayton.edu</t>
  </si>
  <si>
    <t>World History I</t>
  </si>
  <si>
    <t>UNG World History: Cultures, States, and Societies to 1500</t>
  </si>
  <si>
    <t>Scott Kersey</t>
  </si>
  <si>
    <t>skersey@georgiasouthern.edu</t>
  </si>
  <si>
    <t>Calculus I, Statistics I</t>
  </si>
  <si>
    <t>MATH 1441, STAT 2231</t>
  </si>
  <si>
    <t>OpenStax Calculus Volume I, OpenStax Introductory Statistics</t>
  </si>
  <si>
    <t>David Dorrell</t>
  </si>
  <si>
    <t>ddorrell@ggc.edu</t>
  </si>
  <si>
    <t>Introduction to Human Geography</t>
  </si>
  <si>
    <t>GEOG 1101</t>
  </si>
  <si>
    <t>Introduction to Human Geography: A Disciplinary Approach</t>
  </si>
  <si>
    <t>Hongjie Wang</t>
  </si>
  <si>
    <t>hongjie.wang@armstrong.edu</t>
  </si>
  <si>
    <t>World Civilizations I</t>
  </si>
  <si>
    <t>Federica Goldoni</t>
  </si>
  <si>
    <t>fgoldoni@ggc.edu</t>
  </si>
  <si>
    <t>Elementary Spanish I, Elementary Spanish II</t>
  </si>
  <si>
    <t>SPAN 1001, SPAN 1002</t>
  </si>
  <si>
    <t>Elementary Spanish I &amp; II</t>
  </si>
  <si>
    <t>Amanda Rees</t>
  </si>
  <si>
    <t>rees_amanda@columbusstate.edu</t>
  </si>
  <si>
    <t>World Regional Geography</t>
  </si>
  <si>
    <t>Constantin Ogloblin</t>
  </si>
  <si>
    <t>coglobli@georgiasouthern.edu</t>
  </si>
  <si>
    <t>Business Economics</t>
  </si>
  <si>
    <t>ECON 2106</t>
  </si>
  <si>
    <t>Principles of Microeconomics</t>
  </si>
  <si>
    <t>OpenStax Microeconomics</t>
  </si>
  <si>
    <t>Summer 2017</t>
  </si>
  <si>
    <t>mkunkel@westga.edu</t>
  </si>
  <si>
    <t>Exploring Social and Cultural Diversity, Exploring Teaching and Learning</t>
  </si>
  <si>
    <t>EDUC 2120, EDUC 2130</t>
  </si>
  <si>
    <t>Thomas Anderson</t>
  </si>
  <si>
    <t>tanderson47@gsu.edu</t>
  </si>
  <si>
    <t>Film Aesthetics</t>
  </si>
  <si>
    <t>FLME 1010</t>
  </si>
  <si>
    <t>Georgia Film Academy Film Production</t>
  </si>
  <si>
    <t>Janice Crook-Hill</t>
  </si>
  <si>
    <t>janice.crook-hill@ung.edu</t>
  </si>
  <si>
    <t>Introduction to Ecology</t>
  </si>
  <si>
    <t>BIOL 1102</t>
  </si>
  <si>
    <t>Jayme Feagin</t>
  </si>
  <si>
    <t>jfeagin@highlands.edu</t>
  </si>
  <si>
    <t>American History I, American History II</t>
  </si>
  <si>
    <t>HIST 2111, HIST 2112</t>
  </si>
  <si>
    <t>Survey of U.S. History I &amp; II</t>
  </si>
  <si>
    <t>The American Yawp</t>
  </si>
  <si>
    <t>?</t>
  </si>
  <si>
    <t>Ethical Hacking, Wireless Security, Infrastructure Defense, Professional Practices and Ethics</t>
  </si>
  <si>
    <t>IT 6843, IT 6833, IT 6883, CSE 3801</t>
  </si>
  <si>
    <t>Sarah Tesar</t>
  </si>
  <si>
    <t>stesar@highlands.edu</t>
  </si>
  <si>
    <t>Teresa Adams</t>
  </si>
  <si>
    <t>tadams40@gsu.edu</t>
  </si>
  <si>
    <t>Introduction to Information Systems</t>
  </si>
  <si>
    <t>CIS 2010</t>
  </si>
  <si>
    <t>09</t>
  </si>
  <si>
    <t>Jason Christian</t>
  </si>
  <si>
    <t>jachrist@highlands.edu</t>
  </si>
  <si>
    <t>Introductory Medical Microbiology</t>
  </si>
  <si>
    <t>BIOL 2161</t>
  </si>
  <si>
    <t>Patty Wagner</t>
  </si>
  <si>
    <t>patty.wagner@ung.edu</t>
  </si>
  <si>
    <t>Mathematical Models</t>
  </si>
  <si>
    <t>MATH 1101</t>
  </si>
  <si>
    <t>Introduction to Mathematical Modeling</t>
  </si>
  <si>
    <t>Evelina Sterling</t>
  </si>
  <si>
    <t>esterlin@kennesaw.edu</t>
  </si>
  <si>
    <t>Social Problems</t>
  </si>
  <si>
    <t>SOCI 2251</t>
  </si>
  <si>
    <t>Introduction to Social Problems</t>
  </si>
  <si>
    <t>Social Problems: Continuity and Change</t>
  </si>
  <si>
    <t>Spring 2018</t>
  </si>
  <si>
    <t>314a</t>
  </si>
  <si>
    <t>Criminology</t>
  </si>
  <si>
    <t>CRJU 3410, CRJU 3100</t>
  </si>
  <si>
    <t>314b</t>
  </si>
  <si>
    <t>Tiffani Reardon</t>
  </si>
  <si>
    <t>treardo2@kennesaw.edu</t>
  </si>
  <si>
    <t>Composition I and II</t>
  </si>
  <si>
    <t>Open Comp-Owl-Sition</t>
  </si>
  <si>
    <t>Shuting Xu</t>
  </si>
  <si>
    <t>sxu@ggc.edu</t>
  </si>
  <si>
    <t>Web Technologies</t>
  </si>
  <si>
    <t>ITEC 2130</t>
  </si>
  <si>
    <t>Web Technologies Course Materials</t>
  </si>
  <si>
    <t>Donna Governor</t>
  </si>
  <si>
    <t>donna.governor@ung.edu</t>
  </si>
  <si>
    <t>Science Methods for Elementary School Teachers; Science Methods for Teachers (P-12)</t>
  </si>
  <si>
    <t>SIED 4184, SIED 4500</t>
  </si>
  <si>
    <t>Anita Turlington</t>
  </si>
  <si>
    <t>anita.turlington@ung.edu</t>
  </si>
  <si>
    <t>World Literature II</t>
  </si>
  <si>
    <t>ENGL 2112</t>
  </si>
  <si>
    <t>World Literature II (Delayed)</t>
  </si>
  <si>
    <t>Lacy Hodges</t>
  </si>
  <si>
    <t>lacy.hodges@gatech.edu</t>
  </si>
  <si>
    <t>First Year Seminar</t>
  </si>
  <si>
    <t>GT 1000</t>
  </si>
  <si>
    <t>GT1000: First-Year Seminar</t>
  </si>
  <si>
    <t>April Kay</t>
  </si>
  <si>
    <t>akay@daltonstate.edu</t>
  </si>
  <si>
    <t>Microbiology; General Microbiology</t>
  </si>
  <si>
    <t>BIOL 2215, 3340</t>
  </si>
  <si>
    <t>Elizabeth Dose</t>
  </si>
  <si>
    <t>edose@highlands.edu</t>
  </si>
  <si>
    <t>PsychWiki</t>
  </si>
  <si>
    <t>Principles of Nutrition, Principles of Human Nutrition</t>
  </si>
  <si>
    <t>BIOL 2190, PHED 2202</t>
  </si>
  <si>
    <t>Principles of Nutrition</t>
  </si>
  <si>
    <t>Social Psychology</t>
  </si>
  <si>
    <t>PSYC 3311, SOCI 3311</t>
  </si>
  <si>
    <t>Principles of Social Psychology</t>
  </si>
  <si>
    <t>Sharryse Henderson</t>
  </si>
  <si>
    <t>shenders@highlands.edu</t>
  </si>
  <si>
    <t>Anatomy and Physiology I and II</t>
  </si>
  <si>
    <t>BIOL 2121, BIOL 2122</t>
  </si>
  <si>
    <t>Psychological Adjustment</t>
  </si>
  <si>
    <t>PSYC 2101</t>
  </si>
  <si>
    <t>Introduction to the Psychology of Adjustment</t>
  </si>
  <si>
    <t>Jia Lu</t>
  </si>
  <si>
    <t>jlu@valdosta.edu</t>
  </si>
  <si>
    <t>Resources, Society, and Environment (Introduction to Environmental Geosciences)</t>
  </si>
  <si>
    <t>GEOG 1125</t>
  </si>
  <si>
    <t>513976A</t>
  </si>
  <si>
    <t>Travis McKie-Voerste</t>
  </si>
  <si>
    <t>tmckie@daltonstate.edu</t>
  </si>
  <si>
    <t>In-Progress</t>
  </si>
  <si>
    <t>Summer 2018</t>
  </si>
  <si>
    <t>Patcharin Marion</t>
  </si>
  <si>
    <t>tragoonsirisakp@fvsu.edu</t>
  </si>
  <si>
    <t>Elementary Statistics, Calculus III</t>
  </si>
  <si>
    <t>MATH 2113, MATH 2174</t>
  </si>
  <si>
    <t>Calculus III</t>
  </si>
  <si>
    <t>Meng Han</t>
  </si>
  <si>
    <t>mhan9@kennesaw.edu</t>
  </si>
  <si>
    <t>Overview of Mobile Systems, Data Communication and Networking, Wireless Security, IT Design Studio, Information Security Concepts and Administration</t>
  </si>
  <si>
    <t>CSE 3203, IT 4323, IT 4833, IT 6203, IT 6823</t>
  </si>
  <si>
    <t>SheryneSouthard@Clayton.edu</t>
  </si>
  <si>
    <t>Supervision in the Workforce, Ethics for Administrative and Technical Managers, Applied Economics, Global Technology</t>
  </si>
  <si>
    <t>TECH 3101, TECH 3104, TECH 3111, TECH 4115</t>
  </si>
  <si>
    <t>514193A</t>
  </si>
  <si>
    <t>William Baird</t>
  </si>
  <si>
    <t>william.baird@armstrong.edu</t>
  </si>
  <si>
    <t>PHYS 2211K</t>
  </si>
  <si>
    <t>Lily Zheng</t>
  </si>
  <si>
    <t>liqiu.zheng@asurams.edu</t>
  </si>
  <si>
    <t>Physical Science II</t>
  </si>
  <si>
    <t>PHYS 1012</t>
  </si>
  <si>
    <t>Kasey Karen</t>
  </si>
  <si>
    <t>kasey.karen@gcsu.edu</t>
  </si>
  <si>
    <t>Bioethics</t>
  </si>
  <si>
    <t>BIOL 4310, BIOL 5310</t>
  </si>
  <si>
    <t>Jeffrey Yunek</t>
  </si>
  <si>
    <t>jyunek@kennesaw.edu</t>
  </si>
  <si>
    <t>Aural Skills I, Aural Skills II, Aural Skills III, Aural Skills IV</t>
  </si>
  <si>
    <t>MUSI 1111, MUSI 1112, MUSI 2111, MUSI 2112</t>
  </si>
  <si>
    <t>Foundation of Criminal Justice</t>
  </si>
  <si>
    <t>CRJU 1101</t>
  </si>
  <si>
    <t>Sarah Hepler</t>
  </si>
  <si>
    <t>shepler2@gsu.edu</t>
  </si>
  <si>
    <t>OpenStax Sociology</t>
  </si>
  <si>
    <t>Abnormal Psychology Cross-Cultural Psychology</t>
  </si>
  <si>
    <t>PSYC 3390, PSYC 4401</t>
  </si>
  <si>
    <t>Katie Bridges</t>
  </si>
  <si>
    <t>kbridges@highlands.edu</t>
  </si>
  <si>
    <t>Fundamentals of Computer Applications</t>
  </si>
  <si>
    <t>BUSA 2205</t>
  </si>
  <si>
    <t>In-progress</t>
  </si>
  <si>
    <t>College Algebra, Trigonometry, Statistics</t>
  </si>
  <si>
    <t>MATH 1111, MATH 1112, MATH 2000</t>
  </si>
  <si>
    <t>College Algebra, Trigonometry</t>
  </si>
  <si>
    <t>zephyrinus.okonkwo@asurams.edu</t>
  </si>
  <si>
    <t>World Civilizations I, World Civilizations II</t>
  </si>
  <si>
    <t>HIST 1111, HIST 1112</t>
  </si>
  <si>
    <t>Survey of World History I &amp; II</t>
  </si>
  <si>
    <t>M001</t>
  </si>
  <si>
    <t>Mini</t>
  </si>
  <si>
    <t>Liberte</t>
  </si>
  <si>
    <t>Mini-Grant</t>
  </si>
  <si>
    <t>M002</t>
  </si>
  <si>
    <t>M004</t>
  </si>
  <si>
    <t>M005</t>
  </si>
  <si>
    <t>ITEC 2110 Revised</t>
  </si>
  <si>
    <t>M006</t>
  </si>
  <si>
    <t>Educational Learning Theories</t>
  </si>
  <si>
    <t>M007</t>
  </si>
  <si>
    <t>M009</t>
  </si>
  <si>
    <t>Introduction to General Psychology, Introduction to Sociology</t>
  </si>
  <si>
    <t>PSYC 1101, SOCI 1101</t>
  </si>
  <si>
    <t>M010</t>
  </si>
  <si>
    <t>M011</t>
  </si>
  <si>
    <t>Juanjuan Peng</t>
  </si>
  <si>
    <t>jpeng@georgiasouthern.edu</t>
  </si>
  <si>
    <t>World History II: The Emergence of the Modern Global Community (World Civilizations II)</t>
  </si>
  <si>
    <t>HIST 1112</t>
  </si>
  <si>
    <t>Survey of World History II</t>
  </si>
  <si>
    <t>Calculus I for Engineers (special sections)</t>
  </si>
  <si>
    <t>MATH 1441</t>
  </si>
  <si>
    <t>Susan Finazzo</t>
  </si>
  <si>
    <t>sfinazzo@gsu.edu</t>
  </si>
  <si>
    <t>Introduction to Biology I</t>
  </si>
  <si>
    <t>BIOL 1103</t>
  </si>
  <si>
    <t>Intermediate Spanish I &amp; II</t>
  </si>
  <si>
    <t>SPAN 2001, SPAN 2002</t>
  </si>
  <si>
    <t>Rebecca Rutherfoord</t>
  </si>
  <si>
    <t>brutherf@kennesaw.edu</t>
  </si>
  <si>
    <t>Hardware/Software Concepts, Software Acquisition &amp; Project Management, Management of IT &amp; Human Computer Interaction, IT Policy and Law, Discrete Structures</t>
  </si>
  <si>
    <t>IT 3123, IT 3223, IT 4683, IT 4723, CSE 2300</t>
  </si>
  <si>
    <t>Introduction to Human Geography, Earth from Above</t>
  </si>
  <si>
    <t>GEOG 1101, GEOG 1102</t>
  </si>
  <si>
    <t>Camille Pace</t>
  </si>
  <si>
    <t>cpace@highlands.edu</t>
  </si>
  <si>
    <t>Dr. Deena McKinney</t>
  </si>
  <si>
    <t>Western Civilization since 1648 (Western Civilization II)</t>
  </si>
  <si>
    <t>Survey of Western Civilization II</t>
  </si>
  <si>
    <t>Norbert Pienta</t>
  </si>
  <si>
    <t>npienta@uga.edu</t>
  </si>
  <si>
    <t>Basics of Chemistry, Freshman Chemistry I, Freshman Chemistry II</t>
  </si>
  <si>
    <t>CHEM 1210, CHEM 1211, CHEM 1212</t>
  </si>
  <si>
    <t>Charity Bryan</t>
  </si>
  <si>
    <t>cbryan4@kennesaw.edu</t>
  </si>
  <si>
    <t>Behavioral and Psychological Aspects of Physical Education and Coaching, Service as Leadership, Programming and Problem Solving I</t>
  </si>
  <si>
    <t>HPE 3100, LDRS 3400, CSE 1301</t>
  </si>
  <si>
    <t>Kencho Tenzin</t>
  </si>
  <si>
    <t>ktenzin@highlands.edu</t>
  </si>
  <si>
    <t>PHIL 2010</t>
  </si>
  <si>
    <t>Lindsey Hand</t>
  </si>
  <si>
    <t>lhand4@kennesaw.edu</t>
  </si>
  <si>
    <t>Communication Sources and Investigation</t>
  </si>
  <si>
    <t>COM 2020</t>
  </si>
  <si>
    <t>Sherry Green</t>
  </si>
  <si>
    <t>shgreen@highlands.edu</t>
  </si>
  <si>
    <t>The American Police Systems, Exploring Teaching and Learning</t>
  </si>
  <si>
    <t>CRJU 2111, EDUC 2130</t>
  </si>
  <si>
    <t>IT Policy and Law, IT Service Delivery, IT System Acquisition and Integration, Database Security &amp; Auditing, Data Visualization</t>
  </si>
  <si>
    <t>IT 6103, IT 6413, IT 6423, IT 6863, IT 7113</t>
  </si>
  <si>
    <t>James Castle</t>
  </si>
  <si>
    <t>jcastle@uga.edu</t>
  </si>
  <si>
    <t>Adapted PE, Beg Badminton, Beg Basketball, Challenge Course, Beg Bowling, Outdoor Adventure, Beg Bkpkg-Hiking, Beg Golf, Intermediate Golf, Advanced Golf, Self Defense, Beg Racquetball, Inter Racquetball, Softball, Soccer, Ultimate, Beg Swimming, Inter Swimming, Beg Scuba, Beg Tennis, Inter Tennis, Beg Volleyball, Inter Volleyball, Intro to Wt Train, Fitness for Life Group Fitness, FFL Indoor Cycling, FFL Body Condition, FFL Jogging, FFL Swimming, FFL Walking, Directed Study</t>
  </si>
  <si>
    <t>PEDB 1010, 1020, 1040, 1070, 1080, 1090, 1100, 1120, 1130, 1140, 1150, 1230, 1240, 1260, 1270, 1280, 1300, 1310, 1331, 1350, 1360, 1380, 1390, 1400, 1900, 1910, 1920, 1930, 1940, 1950, 1990</t>
  </si>
  <si>
    <t>Jacqueline Belwood</t>
  </si>
  <si>
    <t>jbelwood@highlands.edu</t>
  </si>
  <si>
    <t>BIOL 2107, BIOL 2108</t>
  </si>
  <si>
    <t>M013</t>
  </si>
  <si>
    <t>Ru Story Huffman</t>
  </si>
  <si>
    <t>Fundamentals of Information Literacy</t>
  </si>
  <si>
    <t>LIBR 1101</t>
  </si>
  <si>
    <t>Libraries</t>
  </si>
  <si>
    <t>M014</t>
  </si>
  <si>
    <t>Barbara G. Tucker</t>
  </si>
  <si>
    <t>M015</t>
  </si>
  <si>
    <t>M016</t>
  </si>
  <si>
    <t>Edward Forringer</t>
  </si>
  <si>
    <t>eforring@ggc.edu</t>
  </si>
  <si>
    <t>Introductory Physics I &amp; II</t>
  </si>
  <si>
    <t>M017</t>
  </si>
  <si>
    <t>M018</t>
  </si>
  <si>
    <t>Dr. Kathleen Dolan</t>
  </si>
  <si>
    <t>kdolan@gsu.edu</t>
  </si>
  <si>
    <t>M020</t>
  </si>
  <si>
    <t>M021</t>
  </si>
  <si>
    <t>Amber K. Lupo</t>
  </si>
  <si>
    <t>lupo_amber@columbusstate.edu</t>
  </si>
  <si>
    <t>M022</t>
  </si>
  <si>
    <t>Gary Fisk, Ph.D.</t>
  </si>
  <si>
    <t>gary.fisk@gsw.edu</t>
  </si>
  <si>
    <t>Psychological Statistics</t>
  </si>
  <si>
    <t>PSYC 3301</t>
  </si>
  <si>
    <t>M023</t>
  </si>
  <si>
    <t>M024</t>
  </si>
  <si>
    <t>514197A</t>
  </si>
  <si>
    <t>Technical Communication, Workplace Writing</t>
  </si>
  <si>
    <t>M025</t>
  </si>
  <si>
    <t>Althea Moser</t>
  </si>
  <si>
    <t>amoser@highlands.edu</t>
  </si>
  <si>
    <t>Concepts of Fitness and Health</t>
  </si>
  <si>
    <t>PHED 1010</t>
  </si>
  <si>
    <t>M026</t>
  </si>
  <si>
    <t>Michael Lewkowicz</t>
  </si>
  <si>
    <t xml:space="preserve">mlewkowi@ggc.edu </t>
  </si>
  <si>
    <t>M027</t>
  </si>
  <si>
    <t>Jennifer P. Pitts</t>
  </si>
  <si>
    <t>Principles of IT Management</t>
  </si>
  <si>
    <t>M028</t>
  </si>
  <si>
    <t>Dr. Carol Hoban</t>
  </si>
  <si>
    <t>choban@highlands.edu</t>
  </si>
  <si>
    <t>M030</t>
  </si>
  <si>
    <t>Hashim A Saber</t>
  </si>
  <si>
    <t>Calculus I, Calculus III, Linear Algebra, Differential Equations</t>
  </si>
  <si>
    <t>MATH 1450, MATH 2470, MATH 3000, MATH 3650</t>
  </si>
  <si>
    <t>Calculus I &amp; III</t>
  </si>
  <si>
    <t>M031</t>
  </si>
  <si>
    <t>Aurora Ramos Nunez</t>
  </si>
  <si>
    <t>aramosnunez@ccga.edu</t>
  </si>
  <si>
    <t>M032</t>
  </si>
  <si>
    <t>Dr. Sarah Tesar</t>
  </si>
  <si>
    <t xml:space="preserve">Principles of Chemistry I, Principles of Chemistry II </t>
  </si>
  <si>
    <t>Principles of Chemistry I &amp; II </t>
  </si>
  <si>
    <t>M033</t>
  </si>
  <si>
    <t>Judy Orton Grissett</t>
  </si>
  <si>
    <t>Research Methods in Psychology</t>
  </si>
  <si>
    <t>PSYC 2300</t>
  </si>
  <si>
    <t>374.a</t>
  </si>
  <si>
    <t>S2018 Pilots</t>
  </si>
  <si>
    <t>Rebecca Gerdes-McClain  </t>
  </si>
  <si>
    <t>gerdesmcclain_rebecca@columbusstate.edu</t>
  </si>
  <si>
    <t>Supplemental English Composition, Composition I, Composition II</t>
  </si>
  <si>
    <t xml:space="preserve">ENGL 0999, ENGL 1101, ENGL 1102 </t>
  </si>
  <si>
    <t>Composition I &amp; II</t>
  </si>
  <si>
    <t>In Progress</t>
  </si>
  <si>
    <t>Fall 2019</t>
  </si>
  <si>
    <t>374.b</t>
  </si>
  <si>
    <t>cfox4@gsu.edu</t>
  </si>
  <si>
    <t>374.c</t>
  </si>
  <si>
    <t>Sue Mastrario</t>
  </si>
  <si>
    <t>smastrario@abac.edu</t>
  </si>
  <si>
    <t>BIOL 2011, BIOL 2012</t>
  </si>
  <si>
    <t>374.d</t>
  </si>
  <si>
    <t>J. Franklin Williamson </t>
  </si>
  <si>
    <t>fwilliamson@gordonstate.edu</t>
  </si>
  <si>
    <t>American History I</t>
  </si>
  <si>
    <t>HIST 2111</t>
  </si>
  <si>
    <t xml:space="preserve">American History I </t>
  </si>
  <si>
    <t>12</t>
  </si>
  <si>
    <t>Yong Shi</t>
  </si>
  <si>
    <t>yshi5@kennesaw.edu</t>
  </si>
  <si>
    <t>Cloud Computing Undergraduate, Cloud Computing Graduate, Mobile Software Development Undergraduate, Mobile Software Development Graduate, Computer Organization and Architecture, User Interface Engineering, Machine Learning</t>
  </si>
  <si>
    <t>CS 4524, CS 7125, CS 4322, CS 7455, CS 3503, CS 4712, CS 7267</t>
  </si>
  <si>
    <t>Dawn Baunach</t>
  </si>
  <si>
    <t>dbaunach@kennesaw.edu</t>
  </si>
  <si>
    <t>Statistics for Sociology</t>
  </si>
  <si>
    <t>SOCI 3303</t>
  </si>
  <si>
    <t>Paul Hadavas</t>
  </si>
  <si>
    <t>phadavas@georgiasouthern.edu</t>
  </si>
  <si>
    <t>Survey of Calculus</t>
  </si>
  <si>
    <t>MATH 1232</t>
  </si>
  <si>
    <t>Anne Gaquere-Parker</t>
  </si>
  <si>
    <t>agaquere@westga.edu</t>
  </si>
  <si>
    <t>Survey of Chemistry I</t>
  </si>
  <si>
    <t>CHEM 1151</t>
  </si>
  <si>
    <t xml:space="preserve">Survey of Chemistry I </t>
  </si>
  <si>
    <t>Yan Yang</t>
  </si>
  <si>
    <t>yyang@westga.edu</t>
  </si>
  <si>
    <t>Educational Psychology</t>
  </si>
  <si>
    <t>CEPD 4101</t>
  </si>
  <si>
    <t>Brett Larson</t>
  </si>
  <si>
    <t>blarson@ega.edu</t>
  </si>
  <si>
    <t>Summer 2019</t>
  </si>
  <si>
    <t>wbaird@georgiasouthern.edu</t>
  </si>
  <si>
    <t>Principles of Physics II</t>
  </si>
  <si>
    <t>PHYS 2212K</t>
  </si>
  <si>
    <t>Antara Dutta</t>
  </si>
  <si>
    <t>adutta@gsu.edu</t>
  </si>
  <si>
    <t>Craig Soaries</t>
  </si>
  <si>
    <t>csoaries@gordonstate.edu</t>
  </si>
  <si>
    <t>Introduction to Humanities I &amp; II</t>
  </si>
  <si>
    <t>HUMN 1501 and HUMN 1502</t>
  </si>
  <si>
    <t>Advanced Web Development, Introduction to Web Development</t>
  </si>
  <si>
    <t>IT 4203, IT3203</t>
  </si>
  <si>
    <t>Peter Higgins</t>
  </si>
  <si>
    <t>phiggins@gordonstate.edu</t>
  </si>
  <si>
    <t>Students Taking Academic Responsibility</t>
  </si>
  <si>
    <t>STAR 0098</t>
  </si>
  <si>
    <t>Learning Support</t>
  </si>
  <si>
    <t>Soma Mukhopadhyay</t>
  </si>
  <si>
    <t>smukhopadhyay@augusta.edu</t>
  </si>
  <si>
    <t>Human Anatomy &amp; Physiology I &amp; II</t>
  </si>
  <si>
    <t>BIOL 2111 &amp; BIOL 2112</t>
  </si>
  <si>
    <t>Candice Chatman</t>
  </si>
  <si>
    <t>cflowe@atlm.edu</t>
  </si>
  <si>
    <t>Principles of Biology I, Principles of Biology I Lab, Principles of Biology II, Principles of Biology II Lab</t>
  </si>
  <si>
    <t>BIOL 1107, BLAB 1107, BIOL 1108, BLAB 1108</t>
  </si>
  <si>
    <t>Reza Parizi</t>
  </si>
  <si>
    <t>rparizi1@kennesaw.edu</t>
  </si>
  <si>
    <t>Introduction to software engineering, Software engineering, Emerging software engineering processes</t>
  </si>
  <si>
    <t>SWE 3313, SWE 6623, SWE 6733</t>
  </si>
  <si>
    <t>GEOG 1102</t>
  </si>
  <si>
    <t>Andrea Scapolo</t>
  </si>
  <si>
    <t>ascapolo@kennesaw.edu</t>
  </si>
  <si>
    <t>Elementary Italian I , Elementary Italian II</t>
  </si>
  <si>
    <t>ITAL 1001, ITAL 1002</t>
  </si>
  <si>
    <t>Elementary Italian I &amp; II</t>
  </si>
  <si>
    <t>Gwendolyn Michelle Boyce</t>
  </si>
  <si>
    <t>mboyce@highlands.edu</t>
  </si>
  <si>
    <t>Clinical Calculations; Pharmacology; Conceptual Nursing for Paramedics and LPNs</t>
  </si>
  <si>
    <t>NURS 1152; NURS 1002; NURS 1400</t>
  </si>
  <si>
    <t>515523 (b) 515600 (a)</t>
  </si>
  <si>
    <t>2/7/2019 (b) 3/4/19 (a)</t>
  </si>
  <si>
    <t>Introduction to Cultural Diversity</t>
  </si>
  <si>
    <t>PSYC 2222</t>
  </si>
  <si>
    <t>Shreyas Desai</t>
  </si>
  <si>
    <t>sdesai@atlm.edu</t>
  </si>
  <si>
    <t>College Algebra and Mathematical Modeling</t>
  </si>
  <si>
    <t>MATH 1111, MATH 1101</t>
  </si>
  <si>
    <t xml:space="preserve">College Algebra, Mathematical Modeling </t>
  </si>
  <si>
    <t>M035</t>
  </si>
  <si>
    <t>lli@kennesaw.edu</t>
  </si>
  <si>
    <t>Databases: Design and Application</t>
  </si>
  <si>
    <t>IT 5433</t>
  </si>
  <si>
    <t>M036</t>
  </si>
  <si>
    <t>Kimberly Subacz</t>
  </si>
  <si>
    <t>ksubacz@highlands.edu</t>
  </si>
  <si>
    <t>General Zoology</t>
  </si>
  <si>
    <t>BIOL 2145</t>
  </si>
  <si>
    <t>M037</t>
  </si>
  <si>
    <t>BIOL 2107</t>
  </si>
  <si>
    <t>M038</t>
  </si>
  <si>
    <t>Brandy Rogers</t>
  </si>
  <si>
    <t>brogers@highlands.edu</t>
  </si>
  <si>
    <t>BIOL 2108</t>
  </si>
  <si>
    <t>M039</t>
  </si>
  <si>
    <t>Mark Pergrem</t>
  </si>
  <si>
    <t>mpergrem@highlands.edu</t>
  </si>
  <si>
    <t>Introduction to Physics</t>
  </si>
  <si>
    <t>M040</t>
  </si>
  <si>
    <t>Database Systems</t>
  </si>
  <si>
    <t>CSE 3153</t>
  </si>
  <si>
    <t>M041</t>
  </si>
  <si>
    <t>Levent Bulut</t>
  </si>
  <si>
    <t>lbulut@valdosta.edu</t>
  </si>
  <si>
    <t>M042</t>
  </si>
  <si>
    <t>Sandip Das</t>
  </si>
  <si>
    <t>sdas2@kennesaw.edu</t>
  </si>
  <si>
    <t>Engineering Electronics</t>
  </si>
  <si>
    <t>EE 3401</t>
  </si>
  <si>
    <t>M043</t>
  </si>
  <si>
    <t>Dr. Chi Zhang</t>
  </si>
  <si>
    <t>czhang4@kennesaw.edu</t>
  </si>
  <si>
    <t>M044</t>
  </si>
  <si>
    <t>M046</t>
  </si>
  <si>
    <t>Jenny Crisp</t>
  </si>
  <si>
    <t>M047</t>
  </si>
  <si>
    <t>Patcharin Tragoonsirisak Marion</t>
  </si>
  <si>
    <t>MATH 1154</t>
  </si>
  <si>
    <t>M048</t>
  </si>
  <si>
    <t>M050</t>
  </si>
  <si>
    <t>Hyrum D. Carroll</t>
  </si>
  <si>
    <t>carroll_hyrum@columbusstate.edu</t>
  </si>
  <si>
    <t>Computer Science I</t>
  </si>
  <si>
    <t>CPSC 1301</t>
  </si>
  <si>
    <t>M051</t>
  </si>
  <si>
    <t>Foundations of Biology</t>
  </si>
  <si>
    <t>BIOL 1010</t>
  </si>
  <si>
    <t>M052</t>
  </si>
  <si>
    <t>Jachrist@highlands.edu</t>
  </si>
  <si>
    <t>Anatomy and Physiology II</t>
  </si>
  <si>
    <t>BIOL 2122</t>
  </si>
  <si>
    <t>M053</t>
  </si>
  <si>
    <t>Natalie Stickney</t>
  </si>
  <si>
    <t>nstickney@gsu.edu</t>
  </si>
  <si>
    <t>CPR and First Aid</t>
  </si>
  <si>
    <t>KH 2006</t>
  </si>
  <si>
    <t>M054</t>
  </si>
  <si>
    <t>Hossain Shahriar</t>
  </si>
  <si>
    <t>hshahria@kennesaw.edu</t>
  </si>
  <si>
    <t>Ethical Hacking for Effective Defense</t>
  </si>
  <si>
    <t>IT 4843</t>
  </si>
  <si>
    <t>M055</t>
  </si>
  <si>
    <t>Aisha Adams</t>
  </si>
  <si>
    <t>adams_aisha@columbusstate.edu</t>
  </si>
  <si>
    <t>402.a</t>
  </si>
  <si>
    <t>Reacting Pilots</t>
  </si>
  <si>
    <t>Special</t>
  </si>
  <si>
    <t>D. Jason Slone</t>
  </si>
  <si>
    <t>dslone@georgiasouthern.edu</t>
  </si>
  <si>
    <t>World History II, World Religions, Introduction to Religious Studies, First Year Experience</t>
  </si>
  <si>
    <t>FYE 120, HIST 1112, IDS 2000, RELS 2100, RELS 2130, POLS 1150, CRJU 2010</t>
  </si>
  <si>
    <t>World History II</t>
  </si>
  <si>
    <t>402.b</t>
  </si>
  <si>
    <t>H. Robert Baker</t>
  </si>
  <si>
    <t>robertbaker@gsu.edu</t>
  </si>
  <si>
    <t>US History, Bills of Rights</t>
  </si>
  <si>
    <t>HIST 2110, HIST 4460</t>
  </si>
  <si>
    <t>US History II</t>
  </si>
  <si>
    <t>402.c</t>
  </si>
  <si>
    <t>Janice Hume</t>
  </si>
  <si>
    <t>jhume@uga.edu</t>
  </si>
  <si>
    <t>History of American Mass Media</t>
  </si>
  <si>
    <t>JRLC 5490</t>
  </si>
  <si>
    <t>402.d</t>
  </si>
  <si>
    <t>Andrew Owsiak</t>
  </si>
  <si>
    <t>aowsiak@uga.edu</t>
  </si>
  <si>
    <t>Decision Making in International Relations, Crisis Diplomacy, The Politics of Cyber Security</t>
  </si>
  <si>
    <t>INTL 4260, INTL 4285</t>
  </si>
  <si>
    <t>402.e</t>
  </si>
  <si>
    <t>Montgomery Wolf</t>
  </si>
  <si>
    <t>mwolf@uga.edu</t>
  </si>
  <si>
    <t>Reacting to the Past</t>
  </si>
  <si>
    <t>HIST 3115</t>
  </si>
  <si>
    <t>402.f</t>
  </si>
  <si>
    <t>Peggy Elliott</t>
  </si>
  <si>
    <t>peggy.elliott@gcsu.edu</t>
  </si>
  <si>
    <t>End of the British Empire in Africa</t>
  </si>
  <si>
    <t>GC2Y 2000</t>
  </si>
  <si>
    <t>13</t>
  </si>
  <si>
    <t>Hyesung Park</t>
  </si>
  <si>
    <t>hpark7@ggc.edu</t>
  </si>
  <si>
    <t>Programming Fundamentals</t>
  </si>
  <si>
    <t>ITEC 2140</t>
  </si>
  <si>
    <t>48</t>
  </si>
  <si>
    <t>288</t>
  </si>
  <si>
    <t>Spring 2020</t>
  </si>
  <si>
    <t>Sherly Abraham</t>
  </si>
  <si>
    <t>sabraham1@ggc.edu</t>
  </si>
  <si>
    <t>Introduction to Databases</t>
  </si>
  <si>
    <t>ITEC 3200</t>
  </si>
  <si>
    <t>28</t>
  </si>
  <si>
    <t>168</t>
  </si>
  <si>
    <t>Gregory Gullette</t>
  </si>
  <si>
    <t>ggullette@ggc.edu</t>
  </si>
  <si>
    <t>Introduction to Anthropology</t>
  </si>
  <si>
    <t>ANTH 1102</t>
  </si>
  <si>
    <t>Anthropology</t>
  </si>
  <si>
    <t>0</t>
  </si>
  <si>
    <t>196</t>
  </si>
  <si>
    <t>Yi Ding</t>
  </si>
  <si>
    <t>yding1@ggc.edu</t>
  </si>
  <si>
    <t>Introduction to Information Systems; Management Information Systems</t>
  </si>
  <si>
    <t>ITEC 2201, BUSA 3100</t>
  </si>
  <si>
    <t>40</t>
  </si>
  <si>
    <t>160</t>
  </si>
  <si>
    <t>Lixin Li</t>
  </si>
  <si>
    <t>lli@georgiasouthern.edu</t>
  </si>
  <si>
    <t>Data Structure; Theoretical Foundations</t>
  </si>
  <si>
    <t>CSCI 3230; CSCI 3236</t>
  </si>
  <si>
    <t>25</t>
  </si>
  <si>
    <t>33</t>
  </si>
  <si>
    <t>27</t>
  </si>
  <si>
    <t>Sherika Derico</t>
  </si>
  <si>
    <t>derico_sherika@columbusstate.edu</t>
  </si>
  <si>
    <t>Professional Clinical Nursing; Health Assessment; Pathophysiology; Evidence Based Practice</t>
  </si>
  <si>
    <t>NURS 3191; NURS 3293; NURS 3194; NURS 31295</t>
  </si>
  <si>
    <t>80</t>
  </si>
  <si>
    <t>187</t>
  </si>
  <si>
    <t>291</t>
  </si>
  <si>
    <t>Kimberly Shaw</t>
  </si>
  <si>
    <t>shaw_kimberly@columbusstate.edu</t>
  </si>
  <si>
    <t>Introductory Physics 1 and Principles of Physics 1</t>
  </si>
  <si>
    <t>PHYS 1111 and PHYS 2211</t>
  </si>
  <si>
    <t>Principles of Physics I, Introductory Physics I</t>
  </si>
  <si>
    <t>24</t>
  </si>
  <si>
    <t>72</t>
  </si>
  <si>
    <t>120</t>
  </si>
  <si>
    <t>Rosa Williams</t>
  </si>
  <si>
    <t>williams_rosa@columbusstate.edu</t>
  </si>
  <si>
    <t>Descriptive Astronomy 1: The Solar System</t>
  </si>
  <si>
    <t>ASTR 1105</t>
  </si>
  <si>
    <t>41</t>
  </si>
  <si>
    <t>Aselia Urmanbetova</t>
  </si>
  <si>
    <t>aselia.urmanbetova@gatech.edu</t>
  </si>
  <si>
    <t>Principles of Macroeconomics</t>
  </si>
  <si>
    <t>ECON2105</t>
  </si>
  <si>
    <t>50</t>
  </si>
  <si>
    <t>400</t>
  </si>
  <si>
    <t>Christopher Saldana</t>
  </si>
  <si>
    <t>christopher.saldana@me.gatech.edu</t>
  </si>
  <si>
    <t>Creative Decisions and Design</t>
  </si>
  <si>
    <t>ME 2110</t>
  </si>
  <si>
    <t>100</t>
  </si>
  <si>
    <t>275</t>
  </si>
  <si>
    <t>225</t>
  </si>
  <si>
    <t>Gwendolyn Boyce</t>
  </si>
  <si>
    <t>Introduction to Nursing, Foundations of Nursing,</t>
  </si>
  <si>
    <t>NURS 1000, NURS 1100, NURS 1200, NURS 1400, 2500, 2600, 2650</t>
  </si>
  <si>
    <t>128</t>
  </si>
  <si>
    <t>192</t>
  </si>
  <si>
    <t>Esther Morgan-Ellis</t>
  </si>
  <si>
    <t>esther.morgan-ellis@ung.edu</t>
  </si>
  <si>
    <t>60</t>
  </si>
  <si>
    <t>597</t>
  </si>
  <si>
    <t>518</t>
  </si>
  <si>
    <t>Lli13@kennesaw.edu</t>
  </si>
  <si>
    <t>IT 5413: Software Design and Development IT 5423: Computer Networks and System Administration IT 6773: Practical Data Analytics IT 7833: IT Strategy, Policy, and Governance IT 7993: IT Capstone</t>
  </si>
  <si>
    <t>IT 5413,IT 5423, IT 6773, IT 7833, IT 7993</t>
  </si>
  <si>
    <t>220</t>
  </si>
  <si>
    <t>190</t>
  </si>
  <si>
    <t>Mathematics Modeling</t>
  </si>
  <si>
    <t>23</t>
  </si>
  <si>
    <t>200</t>
  </si>
  <si>
    <t>102</t>
  </si>
  <si>
    <t>Quintero Moore</t>
  </si>
  <si>
    <t>qmoore@atlm.edu</t>
  </si>
  <si>
    <t>Human Anatomy and Physiology I and II Lab</t>
  </si>
  <si>
    <t>BLAB 2241 and BLAB 2242</t>
  </si>
  <si>
    <t>Deon OBryant</t>
  </si>
  <si>
    <t>dobryant@atlm.edu</t>
  </si>
  <si>
    <t>Fundamentals of Microbiology/Fundamentals of Microbiology Lab</t>
  </si>
  <si>
    <t>BIOL 2215/BLAB 2215</t>
  </si>
  <si>
    <t>Programming Principles, Adv Programming &amp; Applications, Adv Mobile Development, Data Communications &amp; Networking, The Internet of Things</t>
  </si>
  <si>
    <t>IT 1113, IT 3883, IT 4213, IT 4323, IT 4893</t>
  </si>
  <si>
    <t>178</t>
  </si>
  <si>
    <t>411</t>
  </si>
  <si>
    <t>293</t>
  </si>
  <si>
    <t>Yelizaveta Moss</t>
  </si>
  <si>
    <t>ygmoss@ung.edu</t>
  </si>
  <si>
    <t>Film Appreciation</t>
  </si>
  <si>
    <t>MDST 1110</t>
  </si>
  <si>
    <t>36</t>
  </si>
  <si>
    <t>320</t>
  </si>
  <si>
    <t>268</t>
  </si>
  <si>
    <t>Foundations of Criminal Justice (Intro. to Criminal Justice)</t>
  </si>
  <si>
    <t>280</t>
  </si>
  <si>
    <t>M058</t>
  </si>
  <si>
    <t>MATH 1450</t>
  </si>
  <si>
    <t>M059</t>
  </si>
  <si>
    <t>Jasmine Crumsey Forde</t>
  </si>
  <si>
    <t>jcrumsey@uga.edu</t>
  </si>
  <si>
    <t>Ecological Basis of Environmental Issues</t>
  </si>
  <si>
    <t>ECOL 1000</t>
  </si>
  <si>
    <t>M060</t>
  </si>
  <si>
    <t>Dr. Guangzhi Zheng</t>
  </si>
  <si>
    <t>Business Intelligence</t>
  </si>
  <si>
    <t>IT 6713</t>
  </si>
  <si>
    <t>M062</t>
  </si>
  <si>
    <t>Deborah Lee, M.S.</t>
  </si>
  <si>
    <t>dlee@ega.edu</t>
  </si>
  <si>
    <t>M063</t>
  </si>
  <si>
    <t>Dr. Kyle Chapman</t>
  </si>
  <si>
    <t>kc31223@uga.edu</t>
  </si>
  <si>
    <t>MATH 2250, MATH 2260</t>
  </si>
  <si>
    <t>M064</t>
  </si>
  <si>
    <t>Suzanne Ellenberger</t>
  </si>
  <si>
    <t>suzanne.ellenberger@uga.edu</t>
  </si>
  <si>
    <t>Freshman Chemistry I</t>
  </si>
  <si>
    <t>M065</t>
  </si>
  <si>
    <t>Basics of Chemistry</t>
  </si>
  <si>
    <t>CHEM 1210</t>
  </si>
  <si>
    <t>M066</t>
  </si>
  <si>
    <t>Lisa Connell</t>
  </si>
  <si>
    <t>lconnell@westga.edu</t>
  </si>
  <si>
    <t>Elementary French II, Intermediate French I</t>
  </si>
  <si>
    <t>FREN 1002, FREN 2001</t>
  </si>
  <si>
    <t>M067</t>
  </si>
  <si>
    <t>Freshman Chemistry II</t>
  </si>
  <si>
    <t>CHEM 1212</t>
  </si>
  <si>
    <t>M068</t>
  </si>
  <si>
    <t>M069</t>
  </si>
  <si>
    <t>Kathryn Morris Dye</t>
  </si>
  <si>
    <t>kathryn.dye@sgsc.edu</t>
  </si>
  <si>
    <t>M071</t>
  </si>
  <si>
    <t>Clément Aubert</t>
  </si>
  <si>
    <t>caubert@augusta.edu</t>
  </si>
  <si>
    <t>CSCI 3410</t>
  </si>
  <si>
    <t>M073</t>
  </si>
  <si>
    <t>Rabia Shahbaz</t>
  </si>
  <si>
    <t>rshahbaz@ggc.edu</t>
  </si>
  <si>
    <t>M074</t>
  </si>
  <si>
    <t>John Weatherford</t>
  </si>
  <si>
    <t>johnweatherford@uga.edu</t>
  </si>
  <si>
    <t>New Media Production</t>
  </si>
  <si>
    <t>NMIX 4110</t>
  </si>
  <si>
    <t>14</t>
  </si>
  <si>
    <t>Jacobus Boers</t>
  </si>
  <si>
    <t>jboers@gsu.edu</t>
  </si>
  <si>
    <t>Global Business</t>
  </si>
  <si>
    <t>BUSA 4000, BUSA 4001</t>
  </si>
  <si>
    <t>No</t>
  </si>
  <si>
    <t>Summer 2020</t>
  </si>
  <si>
    <t>Lydia Ray</t>
  </si>
  <si>
    <t>ray_lydia@columbusstate.edu</t>
  </si>
  <si>
    <t>Computer Science II; Data Structures; Information Security</t>
  </si>
  <si>
    <t>CPSC 1302, CPSC 2108, CPSC 2106</t>
  </si>
  <si>
    <t>Selena He</t>
  </si>
  <si>
    <t>she4@kennesaw.edu</t>
  </si>
  <si>
    <t>Data Structures; Data Structures Lab; Operating Systems; Algorithm Analysis; Modeling &amp; Simulation</t>
  </si>
  <si>
    <t>CS3305, CS3305L, CS3502, CS4306, CS4632</t>
  </si>
  <si>
    <t>World Regional Geography and Introduction to Cartographic Techniques</t>
  </si>
  <si>
    <t>GEOG 1130, GEOG 3305</t>
  </si>
  <si>
    <t>World Literature</t>
  </si>
  <si>
    <t>ENGL 2110</t>
  </si>
  <si>
    <t>Aubrey Dyer</t>
  </si>
  <si>
    <t>aubreydyer@clayton.edu</t>
  </si>
  <si>
    <t>Principles of Chemistry I and Principles of Chemistry II</t>
  </si>
  <si>
    <t>Yes</t>
  </si>
  <si>
    <t>68</t>
  </si>
  <si>
    <t>183</t>
  </si>
  <si>
    <t>189</t>
  </si>
  <si>
    <t>Tom Aiello</t>
  </si>
  <si>
    <t>taiello@gordonstate.edu</t>
  </si>
  <si>
    <t>Western Civilization II</t>
  </si>
  <si>
    <t>HIST 1122</t>
  </si>
  <si>
    <t>35</t>
  </si>
  <si>
    <t>140</t>
  </si>
  <si>
    <t>Rachel Epstein</t>
  </si>
  <si>
    <t>rachel.epstein@gcsu.edu</t>
  </si>
  <si>
    <t>90</t>
  </si>
  <si>
    <t>240</t>
  </si>
  <si>
    <t>Cyntoria Johnson</t>
  </si>
  <si>
    <t>cjohnson5@gsu.edu</t>
  </si>
  <si>
    <t>American Criminal Courts</t>
  </si>
  <si>
    <t>CRJU 2700</t>
  </si>
  <si>
    <t>Introduction to Data Analytics and Technology; Big Data System Administration</t>
  </si>
  <si>
    <t>IT 3703, IT 4733</t>
  </si>
  <si>
    <t>70</t>
  </si>
  <si>
    <t>105</t>
  </si>
  <si>
    <t>Freshman Chemistry I and Freshman Chemistry II</t>
  </si>
  <si>
    <t>3,000</t>
  </si>
  <si>
    <t>2,600</t>
  </si>
  <si>
    <t>1080</t>
  </si>
  <si>
    <t>840</t>
  </si>
  <si>
    <t>William Bogner</t>
  </si>
  <si>
    <t>wbogner@gsu.edu</t>
  </si>
  <si>
    <t>Business, Value and You (Introduction to Business)</t>
  </si>
  <si>
    <t>BUSA 1105</t>
  </si>
  <si>
    <t>Brian Ray</t>
  </si>
  <si>
    <t>bray@abac.edu</t>
  </si>
  <si>
    <t>Thomas Colbert</t>
  </si>
  <si>
    <t>tcolbert@augusta.edu</t>
  </si>
  <si>
    <t>Introductory Physics I and Introductory Physics II</t>
  </si>
  <si>
    <t>PHYS1111, PHYS1112</t>
  </si>
  <si>
    <t>223</t>
  </si>
  <si>
    <t>30</t>
  </si>
  <si>
    <t>270</t>
  </si>
  <si>
    <t>Inseok Song</t>
  </si>
  <si>
    <t>song@uga.edu</t>
  </si>
  <si>
    <t>Astronomy of the Solar System</t>
  </si>
  <si>
    <t>ASTR 1010</t>
  </si>
  <si>
    <t>235</t>
  </si>
  <si>
    <t>92</t>
  </si>
  <si>
    <t>Shainaz Landge</t>
  </si>
  <si>
    <t>slandge@georgiasouthern.edu</t>
  </si>
  <si>
    <t>Organic Chemistry I and Organic Chemistry II</t>
  </si>
  <si>
    <t>CHEM 3401, CHEM 3402</t>
  </si>
  <si>
    <t>Darren Broome</t>
  </si>
  <si>
    <t>dbroome@gordonstate.edu</t>
  </si>
  <si>
    <t>Elementary Spanish I and Elementary Spanish II</t>
  </si>
  <si>
    <t>150</t>
  </si>
  <si>
    <t>Michael Cotterell</t>
  </si>
  <si>
    <t>mepcott@uga.edu</t>
  </si>
  <si>
    <t>Computer Science II (Software Development)</t>
  </si>
  <si>
    <t>CSCI 1302</t>
  </si>
  <si>
    <t>Neil Boumpani</t>
  </si>
  <si>
    <t>nboumpani@gordonstate.edu</t>
  </si>
  <si>
    <t>210</t>
  </si>
  <si>
    <t>Beulah Narendrapurapu</t>
  </si>
  <si>
    <t>bnarendrapurapu@georgiasouthern.edu</t>
  </si>
  <si>
    <t>Comprehensive General Chemistry</t>
  </si>
  <si>
    <t>CHEM 1310</t>
  </si>
  <si>
    <t>384</t>
  </si>
  <si>
    <t>685</t>
  </si>
  <si>
    <t>538</t>
  </si>
  <si>
    <t>Mohamed Jamaloodeen</t>
  </si>
  <si>
    <t>mjamaloo@ggc.edu</t>
  </si>
  <si>
    <t>Discrete Math</t>
  </si>
  <si>
    <t>MATH 2300</t>
  </si>
  <si>
    <t>56</t>
  </si>
  <si>
    <t>M75</t>
  </si>
  <si>
    <t>M78</t>
  </si>
  <si>
    <t>Fundamentals of Speech</t>
  </si>
  <si>
    <t>M79</t>
  </si>
  <si>
    <t>Jayme Akers Feagin</t>
  </si>
  <si>
    <t>American History II</t>
  </si>
  <si>
    <t>HIST 2112</t>
  </si>
  <si>
    <t>M80</t>
  </si>
  <si>
    <t>Mark E. Knauss</t>
  </si>
  <si>
    <t>mknauss@highlands.edu</t>
  </si>
  <si>
    <t>M81</t>
  </si>
  <si>
    <t>Dr. Reza Parizi</t>
  </si>
  <si>
    <t>Fundamentals of Blockchain and Smart Contracts</t>
  </si>
  <si>
    <t>SWE 4490</t>
  </si>
  <si>
    <t>M82</t>
  </si>
  <si>
    <t>Fitness Walking and Jogging</t>
  </si>
  <si>
    <t>PHED 1130</t>
  </si>
  <si>
    <t>M83</t>
  </si>
  <si>
    <t>Tashia Caughran</t>
  </si>
  <si>
    <t>tashia.caughran@ung.edu</t>
  </si>
  <si>
    <t>Principles of Chemistry I and II</t>
  </si>
  <si>
    <t>CHEM 1211, CHEM 1151</t>
  </si>
  <si>
    <t>M84</t>
  </si>
  <si>
    <t>World Civilizations II</t>
  </si>
  <si>
    <t>M85</t>
  </si>
  <si>
    <t>Kim Correll</t>
  </si>
  <si>
    <t>kcorrell@daltonstate.edu</t>
  </si>
  <si>
    <t>M86</t>
  </si>
  <si>
    <t>Survey of Chemistry II, Survey of Biochemistry, Biochemistry I &amp; II</t>
  </si>
  <si>
    <t>CHEM 1152, CHEM 3100, CHEM 4841K,, CHEM 4842K</t>
  </si>
  <si>
    <t>M87</t>
  </si>
  <si>
    <t>Ethical Hacking and Networking Security</t>
  </si>
  <si>
    <t>IT 6843</t>
  </si>
  <si>
    <t>M89</t>
  </si>
  <si>
    <t>Donald Wayne Suggs</t>
  </si>
  <si>
    <t>dwsuggs@uga.edu</t>
  </si>
  <si>
    <t>Quantitative Chemical Analysis Lab</t>
  </si>
  <si>
    <t>CHEM 2300L</t>
  </si>
  <si>
    <t>M90</t>
  </si>
  <si>
    <t>Quantitative Analysis</t>
  </si>
  <si>
    <t>CHEM 2300</t>
  </si>
  <si>
    <t>M91</t>
  </si>
  <si>
    <t>Michael J. Dancs</t>
  </si>
  <si>
    <t>michaeldancs@clayton.edu</t>
  </si>
  <si>
    <t>Introductory Statistics</t>
  </si>
  <si>
    <t>MATH 1404</t>
  </si>
  <si>
    <t>M92</t>
  </si>
  <si>
    <t>M94</t>
  </si>
  <si>
    <t>Jack Zheng</t>
  </si>
  <si>
    <t>Data Visualization</t>
  </si>
  <si>
    <t>IT 7113</t>
  </si>
  <si>
    <t>15</t>
  </si>
  <si>
    <t>Shoshana Katzman</t>
  </si>
  <si>
    <t>skatzman@ggc.edu</t>
  </si>
  <si>
    <t>Cell Biology</t>
  </si>
  <si>
    <t>BIOL 3400</t>
  </si>
  <si>
    <t>216</t>
  </si>
  <si>
    <t>$130.65</t>
  </si>
  <si>
    <t>Web Development</t>
  </si>
  <si>
    <t>ITEC 4450</t>
  </si>
  <si>
    <t>Rodger Bates</t>
  </si>
  <si>
    <t>rodgerbates@clayton.edu</t>
  </si>
  <si>
    <t>Introductory Sociology</t>
  </si>
  <si>
    <t>$119</t>
  </si>
  <si>
    <t>Policing in America, Social Science &amp; the American Crime Problem, Ethical Issues in Criminal Justice, Statistical Analysis in Criminal Justice</t>
  </si>
  <si>
    <t>CRJU 2110, CRJU 2200, CRJU 3060, CRJU 3610</t>
  </si>
  <si>
    <t>1655</t>
  </si>
  <si>
    <t>215</t>
  </si>
  <si>
    <t>720</t>
  </si>
  <si>
    <t>Shane Peterson</t>
  </si>
  <si>
    <t>speter71@kennesaw.edu</t>
  </si>
  <si>
    <t>Elementary German 1 and 2, Intermediate German 1 and 2</t>
  </si>
  <si>
    <t>GRMN 1001, GRMN 1002, GRMN 2001, GRMN 2002</t>
  </si>
  <si>
    <t>175</t>
  </si>
  <si>
    <t>161</t>
  </si>
  <si>
    <t>1650</t>
  </si>
  <si>
    <t>750</t>
  </si>
  <si>
    <t>Cengiz Gunay</t>
  </si>
  <si>
    <t>cgunay@ggc.edu</t>
  </si>
  <si>
    <t>Software Development II</t>
  </si>
  <si>
    <t>ITEC 3870</t>
  </si>
  <si>
    <t>62</t>
  </si>
  <si>
    <t>$324</t>
  </si>
  <si>
    <t>38</t>
  </si>
  <si>
    <t>Electronic Health Record Systems, Clinical Processes &amp; Workflows: Analysis and Redesign, Health Information Security and Privacy, Database Administration, Thesis</t>
  </si>
  <si>
    <t>IT 6513, IT 6523, IT 6533, IT 6733, IT 7999</t>
  </si>
  <si>
    <t>307</t>
  </si>
  <si>
    <t>95</t>
  </si>
  <si>
    <t>Technical Writing</t>
  </si>
  <si>
    <t>TCOM 2010</t>
  </si>
  <si>
    <t>1500</t>
  </si>
  <si>
    <t>$131.25</t>
  </si>
  <si>
    <t>250</t>
  </si>
  <si>
    <t>625</t>
  </si>
  <si>
    <t>Professional Development &amp; Entrepreneurship, Operations Systems Concepts &amp; Administration,  Advanced Web Security &amp; Applications,  Network Configuration &amp; Administration,  Virtual IT Systems</t>
  </si>
  <si>
    <t>IT3003, IT3423, IT4403, IT4333, IT4673</t>
  </si>
  <si>
    <t>490</t>
  </si>
  <si>
    <t>Julia Farmer</t>
  </si>
  <si>
    <t>jfarmer@westga.edu</t>
  </si>
  <si>
    <t>Elementary Spanish I, Elementary Spanish II, Intermediate Spanish I</t>
  </si>
  <si>
    <t>SPAN 1001, SPAN 1002, SPAN 2001</t>
  </si>
  <si>
    <t>845</t>
  </si>
  <si>
    <t>$157.05</t>
  </si>
  <si>
    <t>55</t>
  </si>
  <si>
    <t>355</t>
  </si>
  <si>
    <t>435</t>
  </si>
  <si>
    <t>Introduction to Abnormal Psychology</t>
  </si>
  <si>
    <t>PSYC 2165</t>
  </si>
  <si>
    <t>315</t>
  </si>
  <si>
    <t>$221.65</t>
  </si>
  <si>
    <t>Shantanu Chakraborty</t>
  </si>
  <si>
    <t>shchakraborty@valdosta.edu</t>
  </si>
  <si>
    <t>The Universe of Energy (Physical Science)</t>
  </si>
  <si>
    <t>PHSC 1100</t>
  </si>
  <si>
    <t>$239.95</t>
  </si>
  <si>
    <t>20</t>
  </si>
  <si>
    <t>Shafat Mubin</t>
  </si>
  <si>
    <t>smubin@valdosta.edu</t>
  </si>
  <si>
    <t>Introduction to the Universe</t>
  </si>
  <si>
    <t>ASTR 1000</t>
  </si>
  <si>
    <t>180</t>
  </si>
  <si>
    <t>Sociology of the Family</t>
  </si>
  <si>
    <t>SOCI 3364</t>
  </si>
  <si>
    <t>110</t>
  </si>
  <si>
    <t>$225</t>
  </si>
  <si>
    <t>Samuel Dolo</t>
  </si>
  <si>
    <t>dolos@savannahstate.edu</t>
  </si>
  <si>
    <t>Paola Spoletini</t>
  </si>
  <si>
    <t>pspoleti@kennesaw.edu</t>
  </si>
  <si>
    <t>Requirements Engineering, Software Testing and Verification, Formal Methods</t>
  </si>
  <si>
    <t>SWE 6613, SWE 6673, SWE 6883</t>
  </si>
  <si>
    <t>$347.66</t>
  </si>
  <si>
    <t>65</t>
  </si>
  <si>
    <t>45</t>
  </si>
  <si>
    <t>M096</t>
  </si>
  <si>
    <t>Fundamentals of Biology Lab</t>
  </si>
  <si>
    <t>BIOL 1101</t>
  </si>
  <si>
    <t>M097</t>
  </si>
  <si>
    <t>Wireless Security</t>
  </si>
  <si>
    <t>IT 6833</t>
  </si>
  <si>
    <t>M098</t>
  </si>
  <si>
    <t>James Rutherfoord</t>
  </si>
  <si>
    <t>jruther3@kennesaw.edu</t>
  </si>
  <si>
    <t>Discrete Structures</t>
  </si>
  <si>
    <t>CSE 2300</t>
  </si>
  <si>
    <t>M099</t>
  </si>
  <si>
    <t>Professional Practices and Ethics</t>
  </si>
  <si>
    <t>CSE 3801</t>
  </si>
  <si>
    <t>M100</t>
  </si>
  <si>
    <t>MATH 2164</t>
  </si>
  <si>
    <t>M101</t>
  </si>
  <si>
    <t>Joycelyn Streator</t>
  </si>
  <si>
    <t>jstreator@ggc.edu</t>
  </si>
  <si>
    <t>M102</t>
  </si>
  <si>
    <t>Medical Microbiology</t>
  </si>
  <si>
    <t>M103</t>
  </si>
  <si>
    <t>MATH 1401</t>
  </si>
  <si>
    <t>M105</t>
  </si>
  <si>
    <t>M106</t>
  </si>
  <si>
    <t>Todd Lindley</t>
  </si>
  <si>
    <t>tlindley1@ggc.edu</t>
  </si>
  <si>
    <t>M107</t>
  </si>
  <si>
    <t>Issues in Digital Accessibility, Technical Writing</t>
  </si>
  <si>
    <t>TCOM 2050, TCOM 2010</t>
  </si>
  <si>
    <t>Institution</t>
  </si>
  <si>
    <t>Sum of Grand Total Students</t>
  </si>
  <si>
    <t>USG Students Affected Rank</t>
  </si>
  <si>
    <t>Sum of Grand Total Savings</t>
  </si>
  <si>
    <t xml:space="preserve">USG Student Savings Rank </t>
  </si>
  <si>
    <t>Grand Total</t>
  </si>
  <si>
    <t>eCore Data: 2017 Factbook</t>
  </si>
  <si>
    <t>eCore Factbook 2018</t>
  </si>
  <si>
    <t>Course</t>
  </si>
  <si>
    <t>Book Cost</t>
  </si>
  <si>
    <t>OER Term Implemented</t>
  </si>
  <si>
    <t xml:space="preserve">ALG Funded? </t>
  </si>
  <si>
    <t>FY14 Enrollment</t>
  </si>
  <si>
    <t>FY14 Savings</t>
  </si>
  <si>
    <t>FY15 Enrollment</t>
  </si>
  <si>
    <t>FY15 Savings</t>
  </si>
  <si>
    <t>FY16 Enrollment</t>
  </si>
  <si>
    <t>FY16 Savings</t>
  </si>
  <si>
    <t>Enrollment Summer 2016</t>
  </si>
  <si>
    <t>Enrollment Fall 2016</t>
  </si>
  <si>
    <t>Enrollment Spring 2017</t>
  </si>
  <si>
    <t>FY2017 Enrollment</t>
  </si>
  <si>
    <t>FY2017 Savings</t>
  </si>
  <si>
    <t>Enrollment Summer 2017</t>
  </si>
  <si>
    <t>Enrollment Fall 2017</t>
  </si>
  <si>
    <t>Enrollment Spring 2018</t>
  </si>
  <si>
    <t>FY2018 Enrollment</t>
  </si>
  <si>
    <t>FY2018 OER Cost Savings</t>
  </si>
  <si>
    <t>Enrollment Summer 2018</t>
  </si>
  <si>
    <t>Enrollment Fall 2018</t>
  </si>
  <si>
    <t>Enrollment Spring 2019</t>
  </si>
  <si>
    <t>FY2019 Enrollment</t>
  </si>
  <si>
    <t>FY2019 OER Cost Savings</t>
  </si>
  <si>
    <t>Total OER Cost Savings</t>
  </si>
  <si>
    <t>Total Students</t>
  </si>
  <si>
    <t>Summer 2013</t>
  </si>
  <si>
    <t>SLA 2011 FacDev.</t>
  </si>
  <si>
    <t>Fall 2013</t>
  </si>
  <si>
    <t>Christy Email 5/24</t>
  </si>
  <si>
    <t>MATH 1501</t>
  </si>
  <si>
    <t>Spring 2014</t>
  </si>
  <si>
    <t>ENGL 1102</t>
  </si>
  <si>
    <t>SLA 2014</t>
  </si>
  <si>
    <t>PHYS 1211K</t>
  </si>
  <si>
    <t>Summer 2014</t>
  </si>
  <si>
    <t>Fall 2014</t>
  </si>
  <si>
    <t>ENGL 2131</t>
  </si>
  <si>
    <t>ETEC 1101</t>
  </si>
  <si>
    <t>ENVS 2202</t>
  </si>
  <si>
    <t>CHEM 1211K</t>
  </si>
  <si>
    <t>CHEM 1212K</t>
  </si>
  <si>
    <t>GEOL 1011K</t>
  </si>
  <si>
    <t>COMM 1100</t>
  </si>
  <si>
    <t>SLA 2016</t>
  </si>
  <si>
    <t>ENGL 2132</t>
  </si>
  <si>
    <t>BIOL 1011K</t>
  </si>
  <si>
    <t>SPAN 2001</t>
  </si>
  <si>
    <t>SPAN 2002</t>
  </si>
  <si>
    <t>ARTS 1100</t>
  </si>
  <si>
    <t>Totals</t>
  </si>
  <si>
    <t>Complete</t>
  </si>
  <si>
    <t>Delayed</t>
  </si>
  <si>
    <t>Confirmed via Fall 2017 Survey or OpenStax Adoption Confirmation in Monthly Report</t>
  </si>
  <si>
    <t>Confirmed discontinuation of OER</t>
  </si>
  <si>
    <t>Not involved in savings metrics</t>
  </si>
  <si>
    <t>Row Labels</t>
  </si>
  <si>
    <t>Count of Sustainability Check 2 (2018-2019) Status</t>
  </si>
  <si>
    <t>(Multiple Items)</t>
  </si>
  <si>
    <t>Column Labels</t>
  </si>
  <si>
    <t>N - D</t>
  </si>
  <si>
    <t>P - C</t>
  </si>
  <si>
    <t>Grants Annual Savings</t>
  </si>
  <si>
    <t>Grants Annual Students Affected</t>
  </si>
  <si>
    <t>eCore Annual Students Affected (FY2019)</t>
  </si>
  <si>
    <t>eCore Annual Savings (FY2019)</t>
  </si>
  <si>
    <t xml:space="preserve">The number of students affected and the cost of required materials is reported by each grant team. eCore reports their numbers through the eCore Factbook. 2019's Factbook eliminated eCore's detailed OER Savings table, so we now obtain our numbers directly from eCore through their own tracking spreadsheet. </t>
  </si>
  <si>
    <t>Total Grants Awarded (including Mini-Grants)</t>
  </si>
  <si>
    <t xml:space="preserve">Mini-grants are not counted in savings metrics since they are intended to improve OER and create new ancillary materials, thus making OER adoption easier - these grants are not intended for replacing additional commercial textbooks in courses. However, funding for mini-grant awards are included in the ROI metric of savings per $1 awarded in order to keep this metric as conservative as possible. </t>
  </si>
  <si>
    <t>Annual Impact Projections apply to all continued projects only. These are per Fiscal/Academic Year (Summer, Fall, Spring) and estimates account for when all projects are implemented for a full year. Because new projects started within the current year, the annual projections with all projects implemented will not equal the year's cumulative savings data.</t>
  </si>
  <si>
    <t xml:space="preserve">The first semester of each project is counted regardless of the sustainability check status, because the first semester of implementation is guaranteed unless a Final Report contradicts this. If a Final Report comes back from an entirely failed project, we will zero the first semester out as well. </t>
  </si>
  <si>
    <t xml:space="preserve">In AY 2016-2017, the first sustainability check was performed by a large survey. Because this check happened over a year after the first projects, any project whose 2016-2017 status is "Unknown" or "Discontinued" is zeroed out.  In AY 2018-2019, the second sustainability check was performed by survey. Any project whose 2018-2019 status is "Unknown" or "Discontinued" is zeroed out past Summer 2018. In 2019-2020, the same happened with Sustainability Check 3, zeroing out "Unknown or "Discontinued" past Summer 2019.  Each Sustainability Check allows Project Leads to update the # of students per each semester and the cost of the replaced commercial materials. In SC1, we updated this cost through a price check with bookstore and retail sites. </t>
  </si>
  <si>
    <t>Timed Out</t>
  </si>
  <si>
    <t>Over three years old, no response</t>
  </si>
  <si>
    <t xml:space="preserve">Total Grants Awarded (excluding Mini-Grants) </t>
  </si>
  <si>
    <t xml:space="preserve">Textbook Cost Savings Per $1 Awarded (excluding Mini-Grants) </t>
  </si>
  <si>
    <t>Textbook Cost Savings Per $1 Awarded (including Mini-Grants)</t>
  </si>
  <si>
    <t>eCore OER Partnership (Cumulative)</t>
  </si>
  <si>
    <t>Scaled</t>
  </si>
  <si>
    <t>Scaled up in a Scaling Up OER grant or Departmental Scaling grant</t>
  </si>
  <si>
    <t>M109</t>
  </si>
  <si>
    <t>M110</t>
  </si>
  <si>
    <t>M111</t>
  </si>
  <si>
    <t>M113</t>
  </si>
  <si>
    <t>M115</t>
  </si>
  <si>
    <t>M117</t>
  </si>
  <si>
    <t>M118</t>
  </si>
  <si>
    <t>M119</t>
  </si>
  <si>
    <t>M120</t>
  </si>
  <si>
    <t>M121</t>
  </si>
  <si>
    <t>Sarah North</t>
  </si>
  <si>
    <t>snorth@kennesaw.edu</t>
  </si>
  <si>
    <t>Ulrike Ingram</t>
  </si>
  <si>
    <t>uingram@kennesaw.edu</t>
  </si>
  <si>
    <t>Priya Goeser</t>
  </si>
  <si>
    <t>pgoeser@georgiasouthern.edu</t>
  </si>
  <si>
    <t>Skanda Vivek</t>
  </si>
  <si>
    <t>chakes@ggc.edu</t>
  </si>
  <si>
    <t>Lin Li</t>
  </si>
  <si>
    <t>lli19@kennesaw.edu</t>
  </si>
  <si>
    <t>Geoffrey Graybeal</t>
  </si>
  <si>
    <t>lletbetter@gsu.edu</t>
  </si>
  <si>
    <t>William Muse</t>
  </si>
  <si>
    <t>muse_william@columbusstate.edu</t>
  </si>
  <si>
    <t>Christine Whitlock</t>
  </si>
  <si>
    <t>cwhitlock@georgiasouthern.edu</t>
  </si>
  <si>
    <t>anilkumar.devarapu@asurams.edu</t>
  </si>
  <si>
    <t>Houbin Fang</t>
  </si>
  <si>
    <t>fang_houbin@columbusstate.edu</t>
  </si>
  <si>
    <t xml:space="preserve">Jung Ha Kim </t>
  </si>
  <si>
    <t>jhkim@gsu.edu</t>
  </si>
  <si>
    <t>Uttam Kokil</t>
  </si>
  <si>
    <t>ukokil@kennesaw.edu</t>
  </si>
  <si>
    <t>aselia@gatech.edu</t>
  </si>
  <si>
    <t>Beth Mauldin</t>
  </si>
  <si>
    <t>bmauldi1@ggc.edu</t>
  </si>
  <si>
    <t>Sherry Serdikoff</t>
  </si>
  <si>
    <t>serdikoffs@savannahstate.edu</t>
  </si>
  <si>
    <t>Susan McFarlane-Alvarez</t>
  </si>
  <si>
    <t>susanmcfarlane-alvarez@clayton.edu</t>
  </si>
  <si>
    <t>Tara Suswal</t>
  </si>
  <si>
    <t>tsuswal@highlands.edu</t>
  </si>
  <si>
    <t>Rebecca Collins</t>
  </si>
  <si>
    <t>rriggs@georgiasouthern.edu</t>
  </si>
  <si>
    <t>Lisa Yount</t>
  </si>
  <si>
    <t>yountl@savannahstate.edu</t>
  </si>
  <si>
    <t>Introduction to Database Systems, Big Data Analytics, Computer Graphics &amp; Multimedia</t>
  </si>
  <si>
    <t>Introduction to GIS</t>
  </si>
  <si>
    <t>Computing Applications in Mechanical Engineering</t>
  </si>
  <si>
    <t>Physical Science with Laboratory</t>
  </si>
  <si>
    <t>Survey of Engineering Applications from Mathematics, Systems Simulation</t>
  </si>
  <si>
    <t>Entrepreneurial Thinking for Startups, Introduction to Entrepreneurship &amp; Innovation</t>
  </si>
  <si>
    <t>Organic Chemistry I Lab and Organic Chemistry II Lab</t>
  </si>
  <si>
    <t>Intro to FinTech in IT; Machine Learning for Enterprise Applications; Infrastructure Defense; Web &amp; Mobile Security</t>
  </si>
  <si>
    <t>Front End Development I</t>
  </si>
  <si>
    <t>Analytical Chemistry Laboratory</t>
  </si>
  <si>
    <t>Elementary French I/ Elementary French II</t>
  </si>
  <si>
    <t>Research Design and Data Analysis I &amp; II</t>
  </si>
  <si>
    <t>Elementary Statistics Support</t>
  </si>
  <si>
    <t>Data Communication and Networking</t>
  </si>
  <si>
    <t>Critical Thinking and Communication</t>
  </si>
  <si>
    <t>CS3410, CS4265, CS4722</t>
  </si>
  <si>
    <t>GISC 2011 &amp; GISC 2011L (UNG) GEOG 3315 (KSU)</t>
  </si>
  <si>
    <t>ENGR 1121</t>
  </si>
  <si>
    <t>PSCI 1101K</t>
  </si>
  <si>
    <t>ENGR 1100, IET 4451</t>
  </si>
  <si>
    <t>ENI 3101, ENI 3100</t>
  </si>
  <si>
    <t>STAT 1401</t>
  </si>
  <si>
    <t>CHEM 3401L/CHEM 3402L</t>
  </si>
  <si>
    <t>IT 4603; IT 4773; IT 4883; IT 4863</t>
  </si>
  <si>
    <t>TCID 3400</t>
  </si>
  <si>
    <t>CHEM 2734L</t>
  </si>
  <si>
    <t>ECON 2105</t>
  </si>
  <si>
    <t>BEHV 2106, BEHV 2107</t>
  </si>
  <si>
    <t>MATH 0996</t>
  </si>
  <si>
    <t>IT 4323</t>
  </si>
  <si>
    <t>HUMN 1201</t>
  </si>
  <si>
    <t>16</t>
  </si>
  <si>
    <t>Spring 2021</t>
  </si>
  <si>
    <t>Fall 18 All Sections</t>
  </si>
  <si>
    <t>Spring 19 All Sections</t>
  </si>
  <si>
    <t>Summer 19 All Sections</t>
  </si>
  <si>
    <t>Fall 19 All Sections</t>
  </si>
  <si>
    <t>Fall 18 eCore Sections</t>
  </si>
  <si>
    <t>Spring 19 eCore Sections</t>
  </si>
  <si>
    <t>Summer 19 eCore Sections</t>
  </si>
  <si>
    <t>Fall 19 eCore Sections</t>
  </si>
  <si>
    <t>Fall 18 Non-eCore Sections</t>
  </si>
  <si>
    <t>Spring 19 Non-eCore Sections</t>
  </si>
  <si>
    <t>Summer 19 Non-eCore Sections</t>
  </si>
  <si>
    <t>Fall 19 Non-eCore Sections</t>
  </si>
  <si>
    <t>Fall 18 No eCore Low-Cost Sections</t>
  </si>
  <si>
    <t>Fall 18 All Low-Cost Sections</t>
  </si>
  <si>
    <t>Spring 19 All Low-Cost Sections</t>
  </si>
  <si>
    <t>Summer 19 All Low-Cost Sections</t>
  </si>
  <si>
    <t>Fall 19 All Low-Cost Sections</t>
  </si>
  <si>
    <t>Fall 18 All No-Cost Sections</t>
  </si>
  <si>
    <t>Spring 19 All No-Cost Sections</t>
  </si>
  <si>
    <t>Summer 19 All No-Cost Sections</t>
  </si>
  <si>
    <t>Fall 19 All No-Cost Sections</t>
  </si>
  <si>
    <t>Fall 18 All No+Low-Cost Sections</t>
  </si>
  <si>
    <t>Spring 19 All No+Low-Cost Sections</t>
  </si>
  <si>
    <t>Summer 19 All No+Low-Cost Sections</t>
  </si>
  <si>
    <t>Fall 19 All No+Low-Cost Sections</t>
  </si>
  <si>
    <t>Spring 19 No eCore Low-Cost Sections</t>
  </si>
  <si>
    <t>Summer 19 No eCore Low-Cost Sections</t>
  </si>
  <si>
    <t>Fall 19 No eCore Low-Cost Sections</t>
  </si>
  <si>
    <t>Fall 18 No eCore No-Cost Sections</t>
  </si>
  <si>
    <t>Spring 19 No eCore No-Cost Sections</t>
  </si>
  <si>
    <t>Summer 19 No eCore No-Cost Sections</t>
  </si>
  <si>
    <t>Fall 19 No eCore No-Cost Sections</t>
  </si>
  <si>
    <t>Fall 18 No eCore No+Low-Cost Sections</t>
  </si>
  <si>
    <t>Spring 19 No eCore No+Low-Cost Sections</t>
  </si>
  <si>
    <t>Summer 19 No eCore No+Low-Cost Sections</t>
  </si>
  <si>
    <t>Fall 19 No eCore No+Low-Cost Sections</t>
  </si>
  <si>
    <t>Fall 18 All Enroll</t>
  </si>
  <si>
    <t>Spring 19 All Enroll</t>
  </si>
  <si>
    <t>Summer 19 All Enroll</t>
  </si>
  <si>
    <t>Fall 19 All Enroll</t>
  </si>
  <si>
    <t>Fall 18 %LC Sections All</t>
  </si>
  <si>
    <t>Spring 19 %LC Sections All</t>
  </si>
  <si>
    <t>Summer 19 %LC Sections All</t>
  </si>
  <si>
    <t>Fall 19 %LC Sections All</t>
  </si>
  <si>
    <t>Fall 18 %NC Sections All</t>
  </si>
  <si>
    <t>Spring 19 %NC Sections All</t>
  </si>
  <si>
    <t>Summer 19 %NC Sections All</t>
  </si>
  <si>
    <t>Fall 19 %NC Sections All</t>
  </si>
  <si>
    <t>Fall 18 %NC+LC Sections All</t>
  </si>
  <si>
    <t>Spring 19 %NC+LC Sections All</t>
  </si>
  <si>
    <t>Summer 19 %NC+LC Sections All</t>
  </si>
  <si>
    <t>Fall 19 %NC+LC Sections All</t>
  </si>
  <si>
    <t>Fall 18 %LC Sections No eCore</t>
  </si>
  <si>
    <t>Spring 19 %LC Sections No eCore</t>
  </si>
  <si>
    <t>Summer 19 %LC Sections No eCore</t>
  </si>
  <si>
    <t>Fall 19 %LC Sections No eCore</t>
  </si>
  <si>
    <t>Fall 18 %NC Sections No eCore</t>
  </si>
  <si>
    <t>Spring 19 %NC Sections No eCore</t>
  </si>
  <si>
    <t>Summer 19 %NC Sections No eCore</t>
  </si>
  <si>
    <t>Fall 19 %NC Sections No eCore</t>
  </si>
  <si>
    <t>Fall 18 %NC+LC Sections No eCore</t>
  </si>
  <si>
    <t>Spring 19 %NC+LC Sections No eCore</t>
  </si>
  <si>
    <t>Summer 19 %NC+LC Sections No eCore</t>
  </si>
  <si>
    <t>Fall 19 %NC+LC Sections No eCore</t>
  </si>
  <si>
    <t>Fall 18 Non-eCore Enroll</t>
  </si>
  <si>
    <t>Spring 19 Non-eCore Enroll</t>
  </si>
  <si>
    <t>Summer 19 Non-eCore Enroll</t>
  </si>
  <si>
    <t>Fall 19 Non-eCore Enroll</t>
  </si>
  <si>
    <t>Fall 18 LC All Enroll</t>
  </si>
  <si>
    <t>Spring 19 LC All Enroll</t>
  </si>
  <si>
    <t>Summer 19 LC All Enroll</t>
  </si>
  <si>
    <t>Fall 19 LC All Enroll</t>
  </si>
  <si>
    <t>Fall 18 LC All Enroll%</t>
  </si>
  <si>
    <t>Spring 19 LC All Enroll%</t>
  </si>
  <si>
    <t>Summer 19 LC All Enroll%</t>
  </si>
  <si>
    <t>Fall 19 LC All Enroll%</t>
  </si>
  <si>
    <t>Fall 18 NC All Enroll</t>
  </si>
  <si>
    <t>Spring 19 NC All Enroll</t>
  </si>
  <si>
    <t>Summer 19 NC All Enroll</t>
  </si>
  <si>
    <t>Fall 19 NC All Enroll</t>
  </si>
  <si>
    <t>Fall 18 NC All Enroll%</t>
  </si>
  <si>
    <t>Spring 19 NC All Enroll%</t>
  </si>
  <si>
    <t>Summer 19 NC All Enroll%</t>
  </si>
  <si>
    <t>Fall 19 NC All Enroll%</t>
  </si>
  <si>
    <t>Fall 18 LC+NC All Enroll%</t>
  </si>
  <si>
    <t>Spring 19 LC+NC All Enroll</t>
  </si>
  <si>
    <t>Fall 18 LC+NC All Enroll</t>
  </si>
  <si>
    <t>Summer 19 LC+NC All Enroll</t>
  </si>
  <si>
    <t>Fall 19 LC+NC All Enroll</t>
  </si>
  <si>
    <t>Spring 19 LC+NC All Enroll%</t>
  </si>
  <si>
    <t>Summer 19 LC+NC All Enroll%</t>
  </si>
  <si>
    <t>Fall 19 LC+NC All Enroll%</t>
  </si>
  <si>
    <t>Fall 18 LC Non-eCore Enroll</t>
  </si>
  <si>
    <t>Spring 19 LC Non-eCore Enroll</t>
  </si>
  <si>
    <t>Summer 19 LC Non-eCore Enroll</t>
  </si>
  <si>
    <t>Fall 19 LC Non-eCore Enroll</t>
  </si>
  <si>
    <t>Fall 18 LC Non-eCore Enroll%</t>
  </si>
  <si>
    <t>Spring 19 LC Non-eCore Enroll%</t>
  </si>
  <si>
    <t>Summer 19 LC Non-eCore Enroll%</t>
  </si>
  <si>
    <t>Fall 19 LC Non-eCore Enroll%</t>
  </si>
  <si>
    <t>Fall 18 NC Non-eCore Enroll</t>
  </si>
  <si>
    <t>Spring 19 NC Non-eCore Enroll</t>
  </si>
  <si>
    <t>Summer 19 NC Non-eCore Enroll</t>
  </si>
  <si>
    <t>Fall 19 NC Non-eCore Enroll</t>
  </si>
  <si>
    <t>Fall 18 NC Non-eCore Enroll%</t>
  </si>
  <si>
    <t>Spring 19 NC Non-eCore Enroll%</t>
  </si>
  <si>
    <t>Summer 19 NC Non-eCore Enroll%</t>
  </si>
  <si>
    <t>Fall 19 NC Non-eCore Enroll%</t>
  </si>
  <si>
    <t>Fall 18 LC+NC Non-eCore Enroll</t>
  </si>
  <si>
    <t>Spring 19 LC+NC Non-eCore Enroll</t>
  </si>
  <si>
    <t>Summer 19 LC+NC Non-eCore Enroll</t>
  </si>
  <si>
    <t>Fall 19 LC+NC Non-eCore Enroll</t>
  </si>
  <si>
    <t>Fall 18 LC+NC Non-eCore Enroll%</t>
  </si>
  <si>
    <t>Spring 19 LC+NC Non-eCore Enroll%</t>
  </si>
  <si>
    <t>Summer 19 LC+NC Non-eCore Enroll%</t>
  </si>
  <si>
    <t>Fall 19 LC+NC Non-eCore Enroll%</t>
  </si>
  <si>
    <t>Fall 18 Non-eCore None Enroll</t>
  </si>
  <si>
    <t>Spring 19 Non-eCore None Enroll</t>
  </si>
  <si>
    <t xml:space="preserve">Summer 19 Non-eCore None Enroll </t>
  </si>
  <si>
    <t>Fall 19 Non-eCore None Enroll</t>
  </si>
  <si>
    <t>Total NC Non-eCore Enroll</t>
  </si>
  <si>
    <t>Total LC Non-eCore Enroll</t>
  </si>
  <si>
    <t>Total None Non-eCore Enroll</t>
  </si>
  <si>
    <t>Total LC+NC Non-eCore Enroll</t>
  </si>
  <si>
    <t>Total NC All Enroll</t>
  </si>
  <si>
    <t>Total Non-eCore Enroll</t>
  </si>
  <si>
    <t>Total LC+NC All Enroll</t>
  </si>
  <si>
    <t>Total LC All Enroll</t>
  </si>
  <si>
    <t>Total All Enroll</t>
  </si>
  <si>
    <t>% Total LC All Enroll</t>
  </si>
  <si>
    <t>% Total NC All Enroll</t>
  </si>
  <si>
    <t>% Total LC+NC All Enroll</t>
  </si>
  <si>
    <t>% Total LC Non-eCore Enroll</t>
  </si>
  <si>
    <t>% Total NC Non-eCore Enroll</t>
  </si>
  <si>
    <t>% Total LC+NC Non-eCore Enroll</t>
  </si>
  <si>
    <t>% Total None Non-eCore Enroll</t>
  </si>
  <si>
    <t>Georgia College &amp; State University</t>
  </si>
  <si>
    <t>2021</t>
  </si>
  <si>
    <t>Information Security</t>
  </si>
  <si>
    <t>Mobile Software Development</t>
  </si>
  <si>
    <t>British Literature I</t>
  </si>
  <si>
    <t>Survey of Chemistry II</t>
  </si>
  <si>
    <t>Criminal Law</t>
  </si>
  <si>
    <t>Introduction to Social Work</t>
  </si>
  <si>
    <t>PHYS 2212L</t>
  </si>
  <si>
    <t>Newly Created</t>
  </si>
  <si>
    <t>Status</t>
  </si>
  <si>
    <t>Completed</t>
  </si>
  <si>
    <t>Inst. Designer in open project</t>
  </si>
  <si>
    <t>504.a</t>
  </si>
  <si>
    <t>504.b</t>
  </si>
  <si>
    <t>M122</t>
  </si>
  <si>
    <t>M123</t>
  </si>
  <si>
    <t>M124</t>
  </si>
  <si>
    <t>M126</t>
  </si>
  <si>
    <t>M127</t>
  </si>
  <si>
    <t>M128</t>
  </si>
  <si>
    <t>M132</t>
  </si>
  <si>
    <t>M133</t>
  </si>
  <si>
    <t>M134</t>
  </si>
  <si>
    <t>17</t>
  </si>
  <si>
    <t>Amy Erickson</t>
  </si>
  <si>
    <t>Jan Ligon</t>
  </si>
  <si>
    <t>Elizabeth Pope</t>
  </si>
  <si>
    <t>Scott Sykes</t>
  </si>
  <si>
    <t>Lisa Gezon</t>
  </si>
  <si>
    <t>Megumi Fujita</t>
  </si>
  <si>
    <t>Dennis Miller</t>
  </si>
  <si>
    <t>Kaleigh Kendrick</t>
  </si>
  <si>
    <t>John Meyers</t>
  </si>
  <si>
    <t>Umar Khokhar</t>
  </si>
  <si>
    <t>Julie La Corte</t>
  </si>
  <si>
    <t>Jenni Halpin</t>
  </si>
  <si>
    <t>Renata Creekmur</t>
  </si>
  <si>
    <t>Amanda Nichols</t>
  </si>
  <si>
    <t>Antonio Velazquez</t>
  </si>
  <si>
    <t>aerickso@ggc.edu</t>
  </si>
  <si>
    <t>jligon@gsu.edu</t>
  </si>
  <si>
    <t>epope@westga.edu</t>
  </si>
  <si>
    <t>ssykes@westga.edu</t>
  </si>
  <si>
    <t>lgezon@westga.edu</t>
  </si>
  <si>
    <t>mfujita@westga.edu</t>
  </si>
  <si>
    <t>dennismiller@clayton.edu</t>
  </si>
  <si>
    <t>kkendri3@kennesaw.edu</t>
  </si>
  <si>
    <t>JohnMeyers@clayton.edu</t>
  </si>
  <si>
    <t>ukhokhar@ggc.edu</t>
  </si>
  <si>
    <t>jlacorte@gsu.edu</t>
  </si>
  <si>
    <t>halpinj@savannahstate.edu</t>
  </si>
  <si>
    <t>rcreekmu@kennesaw.edu</t>
  </si>
  <si>
    <t>amnichol@highlands.edu</t>
  </si>
  <si>
    <t>velazqueza@savannahstate.edu</t>
  </si>
  <si>
    <t>Intermediate Programming (Java II)</t>
  </si>
  <si>
    <t>Introduction to Research in the Human Sciences</t>
  </si>
  <si>
    <t>Quantitative Skills and Reasoning,  Support for Quantitative Skills and Reasoning</t>
  </si>
  <si>
    <t>Introduction to Physical Anthropology</t>
  </si>
  <si>
    <t>Organic Chemistry I (lecture) and Organic Chemistry II (lecture)</t>
  </si>
  <si>
    <t>Introduction to Computing Principles</t>
  </si>
  <si>
    <t>Introduction to Italian Language and Culture I; Introduction to Italian Language and Culture II; Intermediate Italian Language and Culture I</t>
  </si>
  <si>
    <t>Applied Economics and Legal Issues-Admin./Tech. Managers</t>
  </si>
  <si>
    <t>Intermediate Spanish</t>
  </si>
  <si>
    <t>Minorities in US History</t>
  </si>
  <si>
    <t>Special Topics in Civil Engineering (Timber and Masonry Design)</t>
  </si>
  <si>
    <t>Precalculus, College Algebra, Corequisite College Algebra</t>
  </si>
  <si>
    <t>MATH 1113, MATH 1111, MATH 0999/1111</t>
  </si>
  <si>
    <t>ITEC 2150</t>
  </si>
  <si>
    <t>SW 2000</t>
  </si>
  <si>
    <t>CHEM 1152</t>
  </si>
  <si>
    <t>EDRS 6301</t>
  </si>
  <si>
    <t>MATH 1001, MATH 0997</t>
  </si>
  <si>
    <t>CRJU 4780</t>
  </si>
  <si>
    <t>ANTH 1105</t>
  </si>
  <si>
    <t>CHEM 2411, CHEM 3422</t>
  </si>
  <si>
    <t>CSE 1300</t>
  </si>
  <si>
    <t>ITEC 3300</t>
  </si>
  <si>
    <t>MATH 2211</t>
  </si>
  <si>
    <t>ENGL 2121</t>
  </si>
  <si>
    <t>ITAL 1001, ITAL 1002, ITAL 2001</t>
  </si>
  <si>
    <t>TECH 3111, TECH 3115</t>
  </si>
  <si>
    <t>CS 4322</t>
  </si>
  <si>
    <t>HIST 2111, HIST 2112, HIST 2154</t>
  </si>
  <si>
    <t>ENGT 4903</t>
  </si>
  <si>
    <t>Final Semester</t>
  </si>
  <si>
    <t>Summer 2021</t>
  </si>
  <si>
    <t>Daniel Mancill</t>
  </si>
  <si>
    <t>dmancill@ega.edu</t>
  </si>
  <si>
    <t>Summer 2020 Students</t>
  </si>
  <si>
    <t>Summer 2020 Savings</t>
  </si>
  <si>
    <t>4,250</t>
  </si>
  <si>
    <t>1,100</t>
  </si>
  <si>
    <t>1,000</t>
  </si>
  <si>
    <t>2,250</t>
  </si>
  <si>
    <t>1,660</t>
  </si>
  <si>
    <t>2020 Savings</t>
  </si>
  <si>
    <t>2020 Enrollments</t>
  </si>
  <si>
    <t>2019 Enrollments</t>
  </si>
  <si>
    <t>2019 Savings</t>
  </si>
  <si>
    <t>2018 Savings</t>
  </si>
  <si>
    <t>2018 Enrollments</t>
  </si>
  <si>
    <t>2017 Savings</t>
  </si>
  <si>
    <t>2017 Enrollments</t>
  </si>
  <si>
    <t>2016 Savings</t>
  </si>
  <si>
    <t>2016 Enrollments</t>
  </si>
  <si>
    <t>2015 Savings</t>
  </si>
  <si>
    <t>2015 Enrollments</t>
  </si>
  <si>
    <t>M135</t>
  </si>
  <si>
    <t>M136</t>
  </si>
  <si>
    <t>M137</t>
  </si>
  <si>
    <t>M138</t>
  </si>
  <si>
    <t>M139</t>
  </si>
  <si>
    <t>M140</t>
  </si>
  <si>
    <t>M141</t>
  </si>
  <si>
    <t>M142</t>
  </si>
  <si>
    <t>M143</t>
  </si>
  <si>
    <t>M144</t>
  </si>
  <si>
    <t>M145</t>
  </si>
  <si>
    <t>M146</t>
  </si>
  <si>
    <t>M147</t>
  </si>
  <si>
    <t>M148</t>
  </si>
  <si>
    <t>M149</t>
  </si>
  <si>
    <t>M150</t>
  </si>
  <si>
    <t>M151</t>
  </si>
  <si>
    <t>18</t>
  </si>
  <si>
    <t>Brett Matherne</t>
  </si>
  <si>
    <t>bmatherne@gsu.edu</t>
  </si>
  <si>
    <t>James H. Murphy</t>
  </si>
  <si>
    <t>jmurphy@westga.edu</t>
  </si>
  <si>
    <t>Ariel Cornett</t>
  </si>
  <si>
    <t>kcornett@georgiasouthern.edu</t>
  </si>
  <si>
    <t>Jessica Traylor</t>
  </si>
  <si>
    <t>jtraylor1@gordonstate.edu</t>
  </si>
  <si>
    <t>Katherine Pinzon</t>
  </si>
  <si>
    <t>kpinzon@ggc.edu</t>
  </si>
  <si>
    <t>Dr. Nancy Gup</t>
  </si>
  <si>
    <t>ngup@gsu.edu</t>
  </si>
  <si>
    <t>Dr. Antara Dutta</t>
  </si>
  <si>
    <t>Anastasia Angelopoulou</t>
  </si>
  <si>
    <t>angelopoulou_anastasia@columbusstate.edu</t>
  </si>
  <si>
    <t>Dmitriy Beznosko</t>
  </si>
  <si>
    <t>dmitriybeznosko@clayton.edu</t>
  </si>
  <si>
    <t>Shuguang Hong</t>
  </si>
  <si>
    <t>shong@gsu.edu</t>
  </si>
  <si>
    <t>George L. Israel</t>
  </si>
  <si>
    <t>larry.israel@mga.edu</t>
  </si>
  <si>
    <t>Banhi Nandi</t>
  </si>
  <si>
    <t>banhinandi@gmail.com</t>
  </si>
  <si>
    <t>Anca Doloc Mihu</t>
  </si>
  <si>
    <t>adolocmihu@ggc.edu</t>
  </si>
  <si>
    <t>Dr. Laura K. Clark Hunt</t>
  </si>
  <si>
    <t>Laura.Clark@abac.edu</t>
  </si>
  <si>
    <t>Benjamin K. Wadsworth</t>
  </si>
  <si>
    <t>bwadswo2@kennesaw.edu</t>
  </si>
  <si>
    <t>Jean Mangan</t>
  </si>
  <si>
    <t>jmangan@uga.edu</t>
  </si>
  <si>
    <t>BUSA 4980</t>
  </si>
  <si>
    <t>SMGT 2300</t>
  </si>
  <si>
    <t>IT 4853</t>
  </si>
  <si>
    <t xml:space="preserve">ECON 2106 </t>
  </si>
  <si>
    <t>ELEM 6130</t>
  </si>
  <si>
    <t xml:space="preserve">PSYC 1101 </t>
  </si>
  <si>
    <t xml:space="preserve">MATH 2200 </t>
  </si>
  <si>
    <t>PSYC 2621</t>
  </si>
  <si>
    <t>CPSC 5135</t>
  </si>
  <si>
    <t>HIST 1111 &amp; HIST 1112</t>
  </si>
  <si>
    <t>PHYS 1112K</t>
  </si>
  <si>
    <t>JURI4071; JURI4081</t>
  </si>
  <si>
    <t xml:space="preserve">IT 6103 </t>
  </si>
  <si>
    <t xml:space="preserve">IT 4153 </t>
  </si>
  <si>
    <t xml:space="preserve">CIS 4850 </t>
  </si>
  <si>
    <t xml:space="preserve">PHED 1010 </t>
  </si>
  <si>
    <t>Remote Mentoring of Undergraduate Research Students (ReMentURS)</t>
  </si>
  <si>
    <t>HIST IIII</t>
  </si>
  <si>
    <t>BIOL 2161K</t>
  </si>
  <si>
    <t>FRSC 4630</t>
  </si>
  <si>
    <t xml:space="preserve">CS 4712 </t>
  </si>
  <si>
    <t xml:space="preserve">MUSI 1111 1112 2111 2112 </t>
  </si>
  <si>
    <t>CHEM1152</t>
  </si>
  <si>
    <t>Fall 2021</t>
  </si>
  <si>
    <t>Count of Project Lead</t>
  </si>
  <si>
    <t>Check 4 Per Student Savings</t>
  </si>
  <si>
    <t>Check 4 Total Annual Savings</t>
  </si>
  <si>
    <t>Check 4 Status</t>
  </si>
  <si>
    <t>Check 4 Students Summer</t>
  </si>
  <si>
    <t>Check 4 Students Fall</t>
  </si>
  <si>
    <t>Check 4 Students Spring</t>
  </si>
  <si>
    <t>Check 4 Students Total</t>
  </si>
  <si>
    <t>Fall 2020 Savings</t>
  </si>
  <si>
    <t>Fall 2020 Students</t>
  </si>
  <si>
    <t>Spring 2021 Students</t>
  </si>
  <si>
    <t>Spring 2021 Savings</t>
  </si>
  <si>
    <t>Assist Semester</t>
  </si>
  <si>
    <t>Total AY 2020-2021 Students</t>
  </si>
  <si>
    <t>Total AY 2020-2021 Savings</t>
  </si>
  <si>
    <t>(blank)</t>
  </si>
  <si>
    <t>Impact Data Through Spring 2021</t>
  </si>
  <si>
    <t>Annual Impact Projections (With All Projects Implemented)</t>
  </si>
  <si>
    <t>Classification</t>
  </si>
  <si>
    <t>Spring 20 All Sections</t>
  </si>
  <si>
    <t>Summer 20 All Sections</t>
  </si>
  <si>
    <t>Fall 20 All Sections</t>
  </si>
  <si>
    <t>Spring 20 eCore Sections</t>
  </si>
  <si>
    <t>Summer 20 eCore Sections</t>
  </si>
  <si>
    <t>Fall 20 eCore Sections</t>
  </si>
  <si>
    <t>Spring 20 Non-eCore Sections</t>
  </si>
  <si>
    <t>Summer 20 Non-eCore Sections</t>
  </si>
  <si>
    <t>Fall 20 Non-eCore Sections</t>
  </si>
  <si>
    <t>Spring 20 All Low-Cost Sections</t>
  </si>
  <si>
    <t>Summer 20 All Low-Cost Sections</t>
  </si>
  <si>
    <t>Fall 20 All Low-Cost Sections</t>
  </si>
  <si>
    <t>Spring 20 All No-Cost Sections</t>
  </si>
  <si>
    <t>Summer 20 All No-Cost Sections</t>
  </si>
  <si>
    <t>Fall 20 All No-Cost Sections</t>
  </si>
  <si>
    <t>Spring 20 All No+Low-Cost Sections</t>
  </si>
  <si>
    <t>Summer 20 All No+Low-Cost Sections</t>
  </si>
  <si>
    <t>Fall 20 All No+Low-Cost Sections</t>
  </si>
  <si>
    <t>Spring 20 No eCore Low-Cost Sections</t>
  </si>
  <si>
    <t>Summer 20 No eCore Low-Cost Sections</t>
  </si>
  <si>
    <t>Fall 20 No eCore Low-Cost Sections</t>
  </si>
  <si>
    <t>Spring 20 No eCore No-Cost Sections</t>
  </si>
  <si>
    <t>Summer 20 No eCore No-Cost Sections</t>
  </si>
  <si>
    <t>Fall 20 No eCore No-Cost Sections</t>
  </si>
  <si>
    <t>Spring 20 No eCore No+Low-Cost Sections</t>
  </si>
  <si>
    <t>Summer 20 No eCore No+Low-Cost Sections</t>
  </si>
  <si>
    <t>Fall 20 No eCore No+Low-Cost Sections</t>
  </si>
  <si>
    <t>Spring 20 %LC Sections All</t>
  </si>
  <si>
    <t>Summer 20 %LC Sections All</t>
  </si>
  <si>
    <t>Fall 20 %LC Sections All</t>
  </si>
  <si>
    <t>Spring 20 %NC Sections All</t>
  </si>
  <si>
    <t>Summer 20 %NC Sections All</t>
  </si>
  <si>
    <t>Fall 20 %NC Sections All</t>
  </si>
  <si>
    <t>Spring 20 %NC+LC Sections All</t>
  </si>
  <si>
    <t>Summer 20 %NC+LC Sections All</t>
  </si>
  <si>
    <t>Fall 20 %NC+LC Sections All</t>
  </si>
  <si>
    <t>Spring 20 %LC Sections No eCore</t>
  </si>
  <si>
    <t>Summer 20 %LC Sections No eCore</t>
  </si>
  <si>
    <t>Fall 20 %LC Sections No eCore</t>
  </si>
  <si>
    <t>Spring 20 %NC Sections No eCore</t>
  </si>
  <si>
    <t>Summer 20 %NC Sections No eCore</t>
  </si>
  <si>
    <t>Fall 20 %NC Sections No eCore</t>
  </si>
  <si>
    <t>Spring 20 %NC+LC Sections No eCore</t>
  </si>
  <si>
    <t>Summer 20 %NC+LC Sections No eCore</t>
  </si>
  <si>
    <t>Fall 20 %NC+LC Sections No eCore</t>
  </si>
  <si>
    <t>Spring 20 All Enroll</t>
  </si>
  <si>
    <t>Summer 20 All Enroll</t>
  </si>
  <si>
    <t>Fall 20 All Enroll</t>
  </si>
  <si>
    <t>Spring 20 Non-eCore Enroll</t>
  </si>
  <si>
    <t>Summer 20 Non-eCore Enroll</t>
  </si>
  <si>
    <t>Fall 20 Non-eCore Enroll</t>
  </si>
  <si>
    <t>Spring 20 LC All Enroll</t>
  </si>
  <si>
    <t>Summer 20 LC All Enroll</t>
  </si>
  <si>
    <t>Fall 20 LC All Enroll</t>
  </si>
  <si>
    <t>Spring 20 LC All Enroll%</t>
  </si>
  <si>
    <t>Summer 20 LC All Enroll%</t>
  </si>
  <si>
    <t>Fall 20 LC All Enroll%</t>
  </si>
  <si>
    <t>Spring 20 NC All Enroll</t>
  </si>
  <si>
    <t>Summer 20 NC All Enroll</t>
  </si>
  <si>
    <t>Fall 20 NC All Enroll</t>
  </si>
  <si>
    <t>Spring 20 NC All Enroll%</t>
  </si>
  <si>
    <t>Summer 20 NC All Enroll%</t>
  </si>
  <si>
    <t>Fall 20 NC All Enroll%</t>
  </si>
  <si>
    <t>Spring 20 LC+NC All Enroll</t>
  </si>
  <si>
    <t>Summer 20 LC+NC All Enroll</t>
  </si>
  <si>
    <t>Fall 20 LC+NC All Enroll</t>
  </si>
  <si>
    <t>Spring 20 LC+NC All Enroll%</t>
  </si>
  <si>
    <t>Summer 20 LC+NC All Enroll%</t>
  </si>
  <si>
    <t>Fall 20 LC+NC All Enroll%</t>
  </si>
  <si>
    <t>Spring 20 LC Non-eCore Enroll</t>
  </si>
  <si>
    <t>Summer 20 LC Non-eCore Enroll</t>
  </si>
  <si>
    <t>Fall 20 LC Non-eCore Enroll</t>
  </si>
  <si>
    <t>Spring 20 LC Non-eCore Enroll%</t>
  </si>
  <si>
    <t>Summer 20 LC Non-eCore Enroll%</t>
  </si>
  <si>
    <t>Fall 20 LC Non-eCore Enroll%</t>
  </si>
  <si>
    <t>Spring 20 NC Non-eCore Enroll</t>
  </si>
  <si>
    <t>Summer 20 NC Non-eCore Enroll</t>
  </si>
  <si>
    <t>Fall 20 NC Non-eCore Enroll</t>
  </si>
  <si>
    <t>Spring 20 NC Non-eCore Enroll%</t>
  </si>
  <si>
    <t>Summer 20 NC Non-eCore Enroll%</t>
  </si>
  <si>
    <t>Fall 20 NC Non-eCore Enroll%</t>
  </si>
  <si>
    <t>Spring 20 LC+NC Non-eCore Enroll</t>
  </si>
  <si>
    <t>Summer 20 LC+NC Non-eCore Enroll</t>
  </si>
  <si>
    <t>Fall 20 LC+NC Non-eCore Enroll</t>
  </si>
  <si>
    <t>Spring 20 Non-eCore None Enroll</t>
  </si>
  <si>
    <t>Summer 20 Non-eCore None Enroll</t>
  </si>
  <si>
    <t>Fall 20 Non-eCore None Enroll</t>
  </si>
  <si>
    <t>Spring 20 LC+NC Non-eCore Enroll%</t>
  </si>
  <si>
    <t>Summer 20 LC+NC Non-eCore Enroll%</t>
  </si>
  <si>
    <t>Fall 20 LC+NC Non-eCore Enroll%</t>
  </si>
  <si>
    <t>State Colleges</t>
  </si>
  <si>
    <t>State Universities</t>
  </si>
  <si>
    <t>Research Universities</t>
  </si>
  <si>
    <t>Comprehensive Universities</t>
  </si>
  <si>
    <t>Total All Sections</t>
  </si>
  <si>
    <t>2020 LC Total</t>
  </si>
  <si>
    <t>2020 LC%</t>
  </si>
  <si>
    <t>2020 NC Total</t>
  </si>
  <si>
    <t>2020 NC %</t>
  </si>
  <si>
    <t>2020 NC+LC Total</t>
  </si>
  <si>
    <t>2020 NC+LC %</t>
  </si>
  <si>
    <t>Social Work</t>
  </si>
  <si>
    <t>Environmental Science</t>
  </si>
  <si>
    <t>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</si>
</sst>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409]* #,##0.00_);_([$$-409]* \(#,##0.00\);_([$$-409]* &quot;-&quot;??_);_(@_)"/>
  </numFmts>
  <fonts count="34" x14ac:knownFonts="1">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rgb="FF9C6500"/>
      <name val="Calibri"/>
      <family val="2"/>
      <scheme val="minor"/>
    </font>
    <font>
      <sz val="9"/>
      <color indexed="81"/>
      <name val="Tahoma"/>
      <family val="2"/>
    </font>
    <font>
      <b/>
      <sz val="9"/>
      <color indexed="81"/>
      <name val="Tahoma"/>
      <family val="2"/>
    </font>
    <font>
      <sz val="11"/>
      <color theme="1"/>
      <name val="Calibri"/>
      <family val="2"/>
      <scheme val="minor"/>
    </font>
    <font>
      <u/>
      <sz val="14"/>
      <color theme="10"/>
      <name val="Calibri"/>
      <family val="2"/>
      <scheme val="minor"/>
    </font>
    <font>
      <sz val="11"/>
      <color rgb="FF000000"/>
      <name val="Calibri"/>
      <family val="2"/>
      <scheme val="minor"/>
    </font>
    <font>
      <sz val="24"/>
      <color theme="0"/>
      <name val="Calibri"/>
      <family val="2"/>
      <scheme val="minor"/>
    </font>
    <font>
      <sz val="24"/>
      <color theme="1"/>
      <name val="Calibri"/>
      <family val="2"/>
      <scheme val="minor"/>
    </font>
    <font>
      <b/>
      <sz val="24"/>
      <color theme="1"/>
      <name val="Calibri"/>
      <family val="2"/>
      <scheme val="minor"/>
    </font>
    <font>
      <sz val="16"/>
      <color theme="1"/>
      <name val="Calibri"/>
      <family val="2"/>
      <scheme val="minor"/>
    </font>
    <font>
      <sz val="14"/>
      <color theme="1"/>
      <name val="Calibri"/>
      <family val="2"/>
      <scheme val="minor"/>
    </font>
    <font>
      <b/>
      <sz val="22"/>
      <color theme="0"/>
      <name val="Calibri"/>
      <family val="2"/>
      <scheme val="minor"/>
    </font>
    <font>
      <b/>
      <sz val="14"/>
      <color theme="1"/>
      <name val="Calibri"/>
      <family val="2"/>
      <scheme val="minor"/>
    </font>
    <font>
      <u/>
      <sz val="11"/>
      <color rgb="FF0070C0"/>
      <name val="Calibri"/>
      <family val="2"/>
      <scheme val="minor"/>
    </font>
    <font>
      <sz val="18"/>
      <color theme="1"/>
      <name val="Calibri"/>
      <family val="2"/>
      <scheme val="minor"/>
    </font>
    <font>
      <sz val="8"/>
      <name val="Calibri"/>
      <family val="2"/>
      <scheme val="minor"/>
    </font>
    <font>
      <b/>
      <sz val="18"/>
      <color theme="1"/>
      <name val="Calibri"/>
      <family val="2"/>
      <scheme val="minor"/>
    </font>
    <font>
      <sz val="22"/>
      <color theme="1"/>
      <name val="Calibri"/>
      <family val="2"/>
      <scheme val="minor"/>
    </font>
    <font>
      <u/>
      <sz val="11"/>
      <color rgb="FF0070C0"/>
      <name val="Calibri"/>
      <family val="2"/>
      <scheme val="minor"/>
    </font>
    <font>
      <sz val="11"/>
      <color theme="1"/>
      <name val="Calibri"/>
      <family val="2"/>
      <scheme val="minor"/>
    </font>
    <font>
      <b/>
      <sz val="11"/>
      <color rgb="FF000000"/>
      <name val="Calibri"/>
      <family val="2"/>
      <scheme val="minor"/>
    </font>
    <font>
      <sz val="11"/>
      <name val="Calibri"/>
      <family val="2"/>
      <scheme val="minor"/>
    </font>
    <font>
      <u/>
      <sz val="11"/>
      <color rgb="FF0070C0"/>
      <name val="Calibri"/>
      <family val="2"/>
      <scheme val="minor"/>
    </font>
    <font>
      <sz val="11"/>
      <color theme="1"/>
      <name val="Calibri"/>
      <family val="2"/>
      <scheme val="minor"/>
    </font>
    <font>
      <b/>
      <sz val="11"/>
      <name val="Calibri"/>
      <family val="2"/>
      <scheme val="minor"/>
    </font>
  </fonts>
  <fills count="24">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5"/>
      </patternFill>
    </fill>
    <fill>
      <patternFill patternType="solid">
        <fgColor theme="9"/>
      </patternFill>
    </fill>
    <fill>
      <patternFill patternType="solid">
        <fgColor rgb="FFFFEB9C"/>
      </patternFill>
    </fill>
    <fill>
      <patternFill patternType="solid">
        <fgColor theme="4"/>
      </patternFill>
    </fill>
    <fill>
      <patternFill patternType="solid">
        <fgColor rgb="FF672C94"/>
        <bgColor indexed="64"/>
      </patternFill>
    </fill>
    <fill>
      <patternFill patternType="solid">
        <fgColor rgb="FFFB5003"/>
        <bgColor indexed="64"/>
      </patternFill>
    </fill>
    <fill>
      <patternFill patternType="solid">
        <fgColor rgb="FF002060"/>
        <bgColor indexed="64"/>
      </patternFill>
    </fill>
    <fill>
      <patternFill patternType="solid">
        <fgColor rgb="FFE7E6E6"/>
        <bgColor indexed="64"/>
      </patternFill>
    </fill>
    <fill>
      <patternFill patternType="solid">
        <fgColor rgb="FFFFFF00"/>
        <bgColor indexed="64"/>
      </patternFill>
    </fill>
    <fill>
      <patternFill patternType="solid">
        <fgColor theme="8" tint="0.39997558519241921"/>
        <bgColor indexed="65"/>
      </patternFill>
    </fill>
    <fill>
      <patternFill patternType="solid">
        <fgColor theme="6"/>
        <bgColor theme="6"/>
      </patternFill>
    </fill>
    <fill>
      <patternFill patternType="solid">
        <fgColor theme="6" tint="0.39997558519241921"/>
        <bgColor indexed="65"/>
      </patternFill>
    </fill>
    <fill>
      <patternFill patternType="solid">
        <fgColor rgb="FFFF9797"/>
        <bgColor indexed="64"/>
      </patternFill>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5"/>
      </patternFill>
    </fill>
    <fill>
      <patternFill patternType="solid">
        <fgColor theme="4" tint="-0.499984740745262"/>
        <bgColor indexed="64"/>
      </patternFill>
    </fill>
    <fill>
      <patternFill patternType="solid">
        <fgColor theme="9" tint="0.79998168889431442"/>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right/>
      <top style="thin">
        <color theme="4" tint="0.39997558519241921"/>
      </top>
      <bottom style="thin">
        <color theme="4" tint="0.39997558519241921"/>
      </bottom>
      <diagonal/>
    </border>
    <border>
      <left style="medium">
        <color rgb="FFCCCCCC"/>
      </left>
      <right style="medium">
        <color rgb="FFCCCCCC"/>
      </right>
      <top style="medium">
        <color rgb="FFCCCCCC"/>
      </top>
      <bottom style="medium">
        <color rgb="FFCCCCCC"/>
      </bottom>
      <diagonal/>
    </border>
    <border>
      <left/>
      <right/>
      <top style="double">
        <color theme="4"/>
      </top>
      <bottom style="thin">
        <color theme="4" tint="0.39997558519241921"/>
      </bottom>
      <diagonal/>
    </border>
    <border>
      <left/>
      <right/>
      <top/>
      <bottom style="thin">
        <color theme="4" tint="0.39997558519241921"/>
      </bottom>
      <diagonal/>
    </border>
    <border>
      <left/>
      <right/>
      <top style="double">
        <color theme="4"/>
      </top>
      <bottom/>
      <diagonal/>
    </border>
    <border>
      <left style="thin">
        <color theme="6"/>
      </left>
      <right/>
      <top/>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9">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1" applyNumberFormat="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6" borderId="0" applyNumberFormat="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7" fillId="8" borderId="0" applyNumberFormat="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7" fillId="14" borderId="0" applyNumberFormat="0" applyBorder="0" applyAlignment="0" applyProtection="0"/>
    <xf numFmtId="0" fontId="7" fillId="16" borderId="0" applyNumberFormat="0" applyBorder="0" applyAlignment="0" applyProtection="0"/>
    <xf numFmtId="9" fontId="2" fillId="0" borderId="0" applyFont="0" applyFill="0" applyBorder="0" applyAlignment="0" applyProtection="0"/>
    <xf numFmtId="0" fontId="1" fillId="18" borderId="0" applyNumberFormat="0" applyBorder="0" applyAlignment="0" applyProtection="0"/>
    <xf numFmtId="0" fontId="1" fillId="0" borderId="0"/>
    <xf numFmtId="0" fontId="1" fillId="21" borderId="0" applyNumberFormat="0" applyBorder="0" applyAlignment="0" applyProtection="0"/>
  </cellStyleXfs>
  <cellXfs count="295">
    <xf numFmtId="0" fontId="0" fillId="0" borderId="0" xfId="0"/>
    <xf numFmtId="0" fontId="0" fillId="0" borderId="0" xfId="0" applyAlignment="1">
      <alignment horizontal="left"/>
    </xf>
    <xf numFmtId="0" fontId="3" fillId="2" borderId="0" xfId="1"/>
    <xf numFmtId="0" fontId="4" fillId="3" borderId="0" xfId="2"/>
    <xf numFmtId="0" fontId="5" fillId="4" borderId="1" xfId="3"/>
    <xf numFmtId="0" fontId="0" fillId="0" borderId="0" xfId="0" applyAlignment="1">
      <alignment wrapText="1"/>
    </xf>
    <xf numFmtId="0" fontId="6" fillId="0" borderId="0" xfId="0" applyFont="1"/>
    <xf numFmtId="0" fontId="8" fillId="0" borderId="0" xfId="8"/>
    <xf numFmtId="0" fontId="0" fillId="0" borderId="0" xfId="0" applyAlignment="1">
      <alignment horizontal="left" wrapText="1"/>
    </xf>
    <xf numFmtId="165" fontId="0" fillId="0" borderId="0" xfId="0" applyNumberFormat="1"/>
    <xf numFmtId="1" fontId="0" fillId="0" borderId="0" xfId="0" applyNumberFormat="1"/>
    <xf numFmtId="165" fontId="0" fillId="0" borderId="0" xfId="0" applyNumberFormat="1" applyAlignment="1">
      <alignment horizontal="left"/>
    </xf>
    <xf numFmtId="0" fontId="9" fillId="7" borderId="0" xfId="9"/>
    <xf numFmtId="0" fontId="7" fillId="8" borderId="0" xfId="10" applyAlignment="1">
      <alignment wrapText="1"/>
    </xf>
    <xf numFmtId="165" fontId="6" fillId="0" borderId="0" xfId="0" applyNumberFormat="1" applyFont="1"/>
    <xf numFmtId="0" fontId="13" fillId="0" borderId="0" xfId="8" applyFont="1"/>
    <xf numFmtId="0" fontId="14" fillId="12" borderId="0" xfId="0" applyFont="1" applyFill="1"/>
    <xf numFmtId="0" fontId="0" fillId="0" borderId="0" xfId="0" applyAlignment="1">
      <alignment horizontal="left" vertical="center"/>
    </xf>
    <xf numFmtId="0" fontId="0" fillId="13" borderId="0" xfId="0" applyFill="1"/>
    <xf numFmtId="165" fontId="9" fillId="7" borderId="0" xfId="9" applyNumberFormat="1"/>
    <xf numFmtId="165" fontId="0" fillId="0" borderId="0" xfId="0" applyNumberFormat="1" applyAlignment="1">
      <alignment wrapText="1"/>
    </xf>
    <xf numFmtId="1" fontId="0" fillId="0" borderId="0" xfId="0" applyNumberFormat="1" applyAlignment="1">
      <alignment horizontal="left" vertical="center"/>
    </xf>
    <xf numFmtId="0" fontId="16" fillId="0" borderId="0" xfId="0" applyFont="1" applyAlignment="1">
      <alignment horizontal="center"/>
    </xf>
    <xf numFmtId="0" fontId="16" fillId="0" borderId="0" xfId="0" applyFont="1"/>
    <xf numFmtId="165" fontId="17" fillId="0" borderId="0" xfId="0" applyNumberFormat="1" applyFont="1" applyAlignment="1">
      <alignment horizontal="left"/>
    </xf>
    <xf numFmtId="0" fontId="18" fillId="0" borderId="0" xfId="0" applyFont="1"/>
    <xf numFmtId="164" fontId="18" fillId="0" borderId="0" xfId="0" applyNumberFormat="1" applyFont="1"/>
    <xf numFmtId="165" fontId="18" fillId="0" borderId="0" xfId="0" applyNumberFormat="1" applyFont="1"/>
    <xf numFmtId="0" fontId="19" fillId="0" borderId="0" xfId="0" applyFont="1"/>
    <xf numFmtId="165" fontId="19" fillId="0" borderId="0" xfId="0" applyNumberFormat="1" applyFont="1"/>
    <xf numFmtId="3" fontId="0" fillId="0" borderId="0" xfId="0" applyNumberFormat="1"/>
    <xf numFmtId="3" fontId="0" fillId="0" borderId="0" xfId="0" applyNumberFormat="1" applyAlignment="1">
      <alignment horizontal="left" vertical="center"/>
    </xf>
    <xf numFmtId="3" fontId="17" fillId="0" borderId="0" xfId="0" applyNumberFormat="1" applyFont="1" applyAlignment="1">
      <alignment horizontal="center"/>
    </xf>
    <xf numFmtId="3" fontId="17" fillId="0" borderId="0" xfId="11" applyNumberFormat="1" applyFont="1" applyAlignment="1">
      <alignment horizontal="center"/>
    </xf>
    <xf numFmtId="3" fontId="18" fillId="0" borderId="0" xfId="0" applyNumberFormat="1" applyFont="1"/>
    <xf numFmtId="3" fontId="19" fillId="0" borderId="0" xfId="0" applyNumberFormat="1" applyFont="1"/>
    <xf numFmtId="0" fontId="15" fillId="14" borderId="0" xfId="13" applyFont="1" applyAlignment="1">
      <alignment horizontal="center" vertical="center"/>
    </xf>
    <xf numFmtId="0" fontId="15" fillId="14" borderId="0" xfId="13" applyFont="1" applyAlignment="1">
      <alignment horizontal="center" vertical="center" wrapText="1"/>
    </xf>
    <xf numFmtId="0" fontId="19" fillId="0" borderId="0" xfId="0" applyFont="1" applyAlignment="1">
      <alignment wrapText="1"/>
    </xf>
    <xf numFmtId="3" fontId="19" fillId="0" borderId="0" xfId="0" applyNumberFormat="1" applyFont="1" applyAlignment="1">
      <alignment wrapText="1"/>
    </xf>
    <xf numFmtId="165" fontId="19" fillId="0" borderId="0" xfId="0" applyNumberFormat="1" applyFont="1" applyAlignment="1">
      <alignment wrapText="1"/>
    </xf>
    <xf numFmtId="0" fontId="21" fillId="0" borderId="0" xfId="0" applyFont="1"/>
    <xf numFmtId="165" fontId="21" fillId="0" borderId="0" xfId="0" applyNumberFormat="1" applyFont="1"/>
    <xf numFmtId="165" fontId="21" fillId="0" borderId="0" xfId="0" applyNumberFormat="1" applyFont="1" applyAlignment="1">
      <alignment wrapText="1"/>
    </xf>
    <xf numFmtId="3" fontId="21" fillId="0" borderId="0" xfId="0" applyNumberFormat="1" applyFont="1"/>
    <xf numFmtId="3" fontId="21" fillId="0" borderId="0" xfId="0" applyNumberFormat="1" applyFont="1" applyAlignment="1">
      <alignment wrapText="1"/>
    </xf>
    <xf numFmtId="0" fontId="0" fillId="0" borderId="0" xfId="0" pivotButton="1"/>
    <xf numFmtId="9" fontId="0" fillId="0" borderId="0" xfId="15" applyFont="1"/>
    <xf numFmtId="0" fontId="15" fillId="14" borderId="0" xfId="13" applyFont="1"/>
    <xf numFmtId="0" fontId="23" fillId="0" borderId="0" xfId="0" applyFont="1"/>
    <xf numFmtId="0" fontId="0" fillId="0" borderId="0" xfId="0" applyNumberFormat="1"/>
    <xf numFmtId="0" fontId="19" fillId="0" borderId="0" xfId="0" applyFont="1" applyAlignment="1">
      <alignment horizontal="right"/>
    </xf>
    <xf numFmtId="3" fontId="21" fillId="0" borderId="0" xfId="0" applyNumberFormat="1" applyFont="1" applyAlignment="1">
      <alignment horizontal="right"/>
    </xf>
    <xf numFmtId="165" fontId="19" fillId="0" borderId="0" xfId="0" applyNumberFormat="1" applyFont="1" applyAlignment="1">
      <alignment horizontal="right"/>
    </xf>
    <xf numFmtId="165" fontId="21" fillId="0" borderId="0" xfId="0" applyNumberFormat="1" applyFont="1" applyAlignment="1">
      <alignment horizontal="right"/>
    </xf>
    <xf numFmtId="0" fontId="0" fillId="0" borderId="0" xfId="0" applyFont="1"/>
    <xf numFmtId="8" fontId="0" fillId="0" borderId="0" xfId="0" applyNumberFormat="1" applyAlignment="1">
      <alignment horizontal="left" vertical="center"/>
    </xf>
    <xf numFmtId="3" fontId="0" fillId="0" borderId="0" xfId="0" applyNumberFormat="1" applyFill="1" applyAlignment="1">
      <alignment horizontal="left" vertical="center"/>
    </xf>
    <xf numFmtId="165" fontId="0" fillId="0" borderId="0" xfId="0" applyNumberFormat="1" applyAlignment="1">
      <alignment horizontal="left" vertical="center"/>
    </xf>
    <xf numFmtId="1" fontId="0" fillId="0" borderId="0" xfId="0" applyNumberFormat="1" applyFill="1" applyAlignment="1">
      <alignment horizontal="left" vertical="center"/>
    </xf>
    <xf numFmtId="165" fontId="17" fillId="0" borderId="0" xfId="0" applyNumberFormat="1" applyFont="1" applyAlignment="1">
      <alignment horizontal="center"/>
    </xf>
    <xf numFmtId="0" fontId="17" fillId="0" borderId="0" xfId="0" applyFont="1" applyAlignment="1">
      <alignment horizontal="center"/>
    </xf>
    <xf numFmtId="165" fontId="0" fillId="0" borderId="2" xfId="0" applyNumberFormat="1" applyBorder="1" applyAlignment="1">
      <alignment horizontal="left" vertical="center"/>
    </xf>
    <xf numFmtId="165" fontId="0" fillId="0" borderId="8" xfId="0" applyNumberFormat="1" applyBorder="1" applyAlignment="1">
      <alignment horizontal="left" vertical="center"/>
    </xf>
    <xf numFmtId="165" fontId="0" fillId="0" borderId="0" xfId="0" applyNumberFormat="1" applyFont="1"/>
    <xf numFmtId="1" fontId="6" fillId="0" borderId="0" xfId="0" applyNumberFormat="1" applyFont="1"/>
    <xf numFmtId="1" fontId="19" fillId="0" borderId="0" xfId="0" applyNumberFormat="1" applyFont="1"/>
    <xf numFmtId="166" fontId="19" fillId="0" borderId="0" xfId="11" applyNumberFormat="1" applyFont="1"/>
    <xf numFmtId="166" fontId="21" fillId="0" borderId="0" xfId="11" applyNumberFormat="1" applyFont="1"/>
    <xf numFmtId="0" fontId="0" fillId="0" borderId="0" xfId="0" applyAlignment="1">
      <alignment horizontal="center"/>
    </xf>
    <xf numFmtId="165" fontId="17" fillId="0" borderId="0" xfId="0" applyNumberFormat="1" applyFont="1" applyAlignment="1">
      <alignment horizontal="center"/>
    </xf>
    <xf numFmtId="0" fontId="25" fillId="18" borderId="0" xfId="16" applyFont="1" applyAlignment="1">
      <alignment horizontal="center"/>
    </xf>
    <xf numFmtId="0" fontId="26" fillId="0" borderId="0" xfId="0" applyFont="1" applyAlignment="1">
      <alignment horizontal="center"/>
    </xf>
    <xf numFmtId="0" fontId="0" fillId="0" borderId="0" xfId="0" pivotButton="1" applyAlignment="1">
      <alignment horizontal="center"/>
    </xf>
    <xf numFmtId="10" fontId="0" fillId="19" borderId="9" xfId="15" applyNumberFormat="1" applyFont="1" applyFill="1" applyBorder="1" applyAlignment="1">
      <alignment vertical="center" wrapText="1"/>
    </xf>
    <xf numFmtId="10" fontId="0" fillId="19" borderId="9" xfId="15" applyNumberFormat="1" applyFont="1" applyFill="1" applyBorder="1"/>
    <xf numFmtId="10" fontId="0" fillId="19" borderId="12" xfId="15" applyNumberFormat="1" applyFont="1" applyFill="1" applyBorder="1" applyAlignment="1">
      <alignment vertical="center" wrapText="1"/>
    </xf>
    <xf numFmtId="10" fontId="0" fillId="19" borderId="12" xfId="15" applyNumberFormat="1" applyFont="1" applyFill="1" applyBorder="1"/>
    <xf numFmtId="0" fontId="29" fillId="19" borderId="10" xfId="0" applyFont="1" applyFill="1" applyBorder="1" applyAlignment="1">
      <alignment vertical="center"/>
    </xf>
    <xf numFmtId="0" fontId="14" fillId="19" borderId="10" xfId="0" applyFont="1" applyFill="1" applyBorder="1" applyAlignment="1">
      <alignment vertical="center"/>
    </xf>
    <xf numFmtId="0" fontId="14" fillId="19" borderId="11" xfId="0" applyFont="1" applyFill="1" applyBorder="1" applyAlignment="1">
      <alignment vertical="center"/>
    </xf>
    <xf numFmtId="3" fontId="0" fillId="0" borderId="0" xfId="0" applyNumberFormat="1" applyFont="1"/>
    <xf numFmtId="3" fontId="0" fillId="19" borderId="9" xfId="11" applyNumberFormat="1" applyFont="1" applyFill="1" applyBorder="1" applyAlignment="1">
      <alignment horizontal="center"/>
    </xf>
    <xf numFmtId="3" fontId="0" fillId="19" borderId="12" xfId="11" applyNumberFormat="1" applyFont="1" applyFill="1" applyBorder="1" applyAlignment="1">
      <alignment horizontal="center"/>
    </xf>
    <xf numFmtId="3" fontId="0" fillId="19" borderId="9" xfId="11" applyNumberFormat="1" applyFont="1" applyFill="1" applyBorder="1"/>
    <xf numFmtId="3" fontId="0" fillId="19" borderId="9" xfId="11" applyNumberFormat="1" applyFont="1" applyFill="1" applyBorder="1" applyAlignment="1">
      <alignment horizontal="right" vertical="center"/>
    </xf>
    <xf numFmtId="3" fontId="0" fillId="19" borderId="12" xfId="11" applyNumberFormat="1" applyFont="1" applyFill="1" applyBorder="1"/>
    <xf numFmtId="3" fontId="0" fillId="19" borderId="12" xfId="11" applyNumberFormat="1" applyFont="1" applyFill="1" applyBorder="1" applyAlignment="1">
      <alignment horizontal="right" vertical="center"/>
    </xf>
    <xf numFmtId="10" fontId="0" fillId="0" borderId="0" xfId="0" applyNumberFormat="1" applyFont="1"/>
    <xf numFmtId="10" fontId="0" fillId="19" borderId="9" xfId="15" applyNumberFormat="1" applyFont="1" applyFill="1" applyBorder="1" applyAlignment="1">
      <alignment horizontal="center"/>
    </xf>
    <xf numFmtId="10" fontId="0" fillId="19" borderId="12" xfId="15" applyNumberFormat="1" applyFont="1" applyFill="1" applyBorder="1" applyAlignment="1">
      <alignment horizontal="center"/>
    </xf>
    <xf numFmtId="10" fontId="0" fillId="19" borderId="9" xfId="15" applyNumberFormat="1" applyFont="1" applyFill="1" applyBorder="1" applyAlignment="1">
      <alignment horizontal="right" vertical="center"/>
    </xf>
    <xf numFmtId="10" fontId="0" fillId="19" borderId="12" xfId="15" applyNumberFormat="1" applyFont="1" applyFill="1" applyBorder="1" applyAlignment="1">
      <alignment horizontal="right" vertical="center"/>
    </xf>
    <xf numFmtId="0" fontId="0" fillId="0" borderId="0" xfId="0" applyAlignment="1">
      <alignment horizontal="left" vertical="center" wrapText="1"/>
    </xf>
    <xf numFmtId="49" fontId="6" fillId="0" borderId="0" xfId="0" applyNumberFormat="1" applyFont="1" applyAlignment="1">
      <alignment horizontal="left" vertical="center" wrapText="1"/>
    </xf>
    <xf numFmtId="49" fontId="0" fillId="0" borderId="0" xfId="0" applyNumberFormat="1" applyAlignment="1">
      <alignment horizontal="left" vertical="center"/>
    </xf>
    <xf numFmtId="165" fontId="8" fillId="0" borderId="0" xfId="8" applyNumberFormat="1" applyAlignment="1">
      <alignment horizontal="left" vertical="center"/>
    </xf>
    <xf numFmtId="0" fontId="1" fillId="0" borderId="0" xfId="17" applyAlignment="1">
      <alignment horizontal="left" vertical="center"/>
    </xf>
    <xf numFmtId="3" fontId="0" fillId="13" borderId="0" xfId="0" applyNumberFormat="1" applyFill="1" applyAlignment="1">
      <alignment horizontal="left" vertical="center"/>
    </xf>
    <xf numFmtId="165" fontId="0" fillId="13" borderId="0" xfId="0" applyNumberFormat="1" applyFill="1" applyAlignment="1">
      <alignment horizontal="left" vertical="center"/>
    </xf>
    <xf numFmtId="1" fontId="0" fillId="13" borderId="0" xfId="0" applyNumberFormat="1" applyFill="1" applyAlignment="1">
      <alignment horizontal="left" vertical="center"/>
    </xf>
    <xf numFmtId="164" fontId="0" fillId="0" borderId="0" xfId="0" applyNumberFormat="1" applyAlignment="1">
      <alignment horizontal="left" vertical="center"/>
    </xf>
    <xf numFmtId="49" fontId="0" fillId="0" borderId="0" xfId="0" applyNumberFormat="1" applyFill="1" applyAlignment="1">
      <alignment horizontal="left" vertical="center"/>
    </xf>
    <xf numFmtId="165" fontId="0" fillId="0" borderId="0" xfId="0" applyNumberFormat="1" applyFill="1" applyAlignment="1">
      <alignment horizontal="left" vertical="center"/>
    </xf>
    <xf numFmtId="0" fontId="0" fillId="0" borderId="0" xfId="0" applyFill="1" applyAlignment="1">
      <alignment horizontal="left" vertical="center"/>
    </xf>
    <xf numFmtId="164" fontId="0" fillId="0" borderId="0" xfId="0" applyNumberFormat="1" applyFill="1" applyAlignment="1">
      <alignment horizontal="left" vertical="center"/>
    </xf>
    <xf numFmtId="164" fontId="22" fillId="0" borderId="0" xfId="0" applyNumberFormat="1" applyFont="1" applyFill="1" applyAlignment="1">
      <alignment horizontal="left" vertical="center"/>
    </xf>
    <xf numFmtId="6" fontId="0" fillId="0" borderId="0" xfId="0" applyNumberFormat="1" applyAlignment="1">
      <alignment horizontal="left" vertical="center"/>
    </xf>
    <xf numFmtId="0" fontId="22" fillId="0" borderId="0" xfId="17" applyFont="1" applyAlignment="1">
      <alignment horizontal="left" vertical="center"/>
    </xf>
    <xf numFmtId="6" fontId="0" fillId="0" borderId="0" xfId="12" applyNumberFormat="1" applyFont="1" applyAlignment="1">
      <alignment horizontal="left" vertical="center"/>
    </xf>
    <xf numFmtId="1" fontId="0" fillId="0" borderId="0" xfId="12" applyNumberFormat="1" applyFont="1" applyAlignment="1">
      <alignment horizontal="left" vertical="center"/>
    </xf>
    <xf numFmtId="165" fontId="0" fillId="0" borderId="0" xfId="12" applyNumberFormat="1" applyFont="1" applyAlignment="1">
      <alignment horizontal="left" vertical="center"/>
    </xf>
    <xf numFmtId="3" fontId="0" fillId="0" borderId="0" xfId="12" applyNumberFormat="1" applyFont="1" applyAlignment="1">
      <alignment horizontal="left" vertical="center"/>
    </xf>
    <xf numFmtId="6" fontId="1" fillId="0" borderId="0" xfId="0" applyNumberFormat="1" applyFont="1" applyAlignment="1">
      <alignment horizontal="left" vertical="center"/>
    </xf>
    <xf numFmtId="1" fontId="1" fillId="0" borderId="0" xfId="0" applyNumberFormat="1" applyFont="1" applyAlignment="1">
      <alignment horizontal="left" vertical="center"/>
    </xf>
    <xf numFmtId="165" fontId="1" fillId="0" borderId="0" xfId="0" applyNumberFormat="1" applyFont="1" applyAlignment="1">
      <alignment horizontal="left" vertical="center"/>
    </xf>
    <xf numFmtId="0" fontId="22" fillId="0" borderId="0" xfId="0" applyNumberFormat="1" applyFont="1" applyAlignment="1">
      <alignment horizontal="left" vertical="center"/>
    </xf>
    <xf numFmtId="164" fontId="22" fillId="0" borderId="0" xfId="0" applyNumberFormat="1" applyFont="1" applyAlignment="1">
      <alignment horizontal="left" vertical="center"/>
    </xf>
    <xf numFmtId="1" fontId="22" fillId="0" borderId="0" xfId="17" applyNumberFormat="1" applyFont="1" applyAlignment="1">
      <alignment horizontal="left" vertical="center"/>
    </xf>
    <xf numFmtId="165" fontId="1" fillId="0" borderId="0" xfId="12" applyNumberFormat="1" applyFont="1" applyAlignment="1">
      <alignment horizontal="left" vertical="center"/>
    </xf>
    <xf numFmtId="0" fontId="8" fillId="0" borderId="2" xfId="8" applyBorder="1" applyAlignment="1">
      <alignment horizontal="left" vertical="center"/>
    </xf>
    <xf numFmtId="0" fontId="8" fillId="0" borderId="0" xfId="8" applyBorder="1" applyAlignment="1">
      <alignment horizontal="left" vertical="center"/>
    </xf>
    <xf numFmtId="165" fontId="0" fillId="0" borderId="2" xfId="12" applyNumberFormat="1" applyFont="1" applyFill="1" applyBorder="1" applyAlignment="1">
      <alignment horizontal="left" vertical="center"/>
    </xf>
    <xf numFmtId="165" fontId="0" fillId="0" borderId="0" xfId="0" applyNumberFormat="1" applyFont="1" applyAlignment="1">
      <alignment horizontal="left" vertical="center"/>
    </xf>
    <xf numFmtId="1" fontId="0" fillId="0" borderId="0" xfId="0" applyNumberFormat="1" applyFont="1" applyAlignment="1">
      <alignment horizontal="left" vertical="center"/>
    </xf>
    <xf numFmtId="0" fontId="8" fillId="13" borderId="0" xfId="8" applyFill="1" applyBorder="1" applyAlignment="1">
      <alignment horizontal="left" vertical="center"/>
    </xf>
    <xf numFmtId="0" fontId="8" fillId="0" borderId="8" xfId="8" applyBorder="1" applyAlignment="1">
      <alignment horizontal="left" vertical="center"/>
    </xf>
    <xf numFmtId="165" fontId="0" fillId="0" borderId="8" xfId="12" applyNumberFormat="1" applyFont="1" applyFill="1" applyBorder="1" applyAlignment="1">
      <alignment horizontal="left" vertical="center"/>
    </xf>
    <xf numFmtId="0" fontId="8" fillId="0" borderId="0" xfId="8" applyAlignment="1">
      <alignment horizontal="left" vertical="center"/>
    </xf>
    <xf numFmtId="1" fontId="31" fillId="0" borderId="0" xfId="17" applyNumberFormat="1" applyFont="1" applyAlignment="1">
      <alignment horizontal="left" vertical="center"/>
    </xf>
    <xf numFmtId="164" fontId="27" fillId="0" borderId="0" xfId="0" applyNumberFormat="1" applyFont="1" applyAlignment="1">
      <alignment horizontal="left" vertical="center"/>
    </xf>
    <xf numFmtId="165" fontId="28" fillId="0" borderId="0" xfId="0" applyNumberFormat="1" applyFont="1" applyAlignment="1">
      <alignment horizontal="left" vertical="center"/>
    </xf>
    <xf numFmtId="1" fontId="28" fillId="0" borderId="0" xfId="0" applyNumberFormat="1" applyFont="1" applyAlignment="1">
      <alignment horizontal="left" vertical="center"/>
    </xf>
    <xf numFmtId="0" fontId="8" fillId="0" borderId="0" xfId="8" applyFill="1" applyAlignment="1">
      <alignment horizontal="left" vertical="center"/>
    </xf>
    <xf numFmtId="1" fontId="31" fillId="0" borderId="0" xfId="17" applyNumberFormat="1" applyFont="1" applyFill="1" applyAlignment="1">
      <alignment horizontal="left" vertical="center"/>
    </xf>
    <xf numFmtId="164" fontId="31" fillId="0" borderId="0" xfId="0" applyNumberFormat="1" applyFont="1" applyAlignment="1">
      <alignment horizontal="left" vertical="center"/>
    </xf>
    <xf numFmtId="165" fontId="32" fillId="0" borderId="0" xfId="0" applyNumberFormat="1" applyFont="1" applyAlignment="1">
      <alignment horizontal="left" vertical="center"/>
    </xf>
    <xf numFmtId="1" fontId="32" fillId="0" borderId="0" xfId="0" applyNumberFormat="1" applyFont="1" applyAlignment="1">
      <alignment horizontal="left" vertical="center"/>
    </xf>
    <xf numFmtId="44" fontId="8" fillId="0" borderId="0" xfId="8" applyNumberFormat="1" applyAlignment="1">
      <alignment horizontal="left" vertical="center"/>
    </xf>
    <xf numFmtId="44" fontId="0" fillId="0" borderId="0" xfId="0" applyNumberFormat="1" applyAlignment="1">
      <alignment horizontal="left" vertical="center"/>
    </xf>
    <xf numFmtId="44" fontId="6" fillId="0" borderId="0" xfId="0" applyNumberFormat="1" applyFont="1" applyAlignment="1">
      <alignment horizontal="left" vertical="center"/>
    </xf>
    <xf numFmtId="0" fontId="0" fillId="0" borderId="0" xfId="0" applyNumberFormat="1" applyAlignment="1">
      <alignment horizontal="left" vertical="center"/>
    </xf>
    <xf numFmtId="44" fontId="0" fillId="0" borderId="0" xfId="0" applyNumberFormat="1" applyFont="1" applyAlignment="1">
      <alignment horizontal="left" vertical="center"/>
    </xf>
    <xf numFmtId="0" fontId="6" fillId="0" borderId="0" xfId="0" applyFont="1" applyAlignment="1">
      <alignment horizontal="left" vertical="center"/>
    </xf>
    <xf numFmtId="49" fontId="0" fillId="0" borderId="0" xfId="0" applyNumberFormat="1" applyAlignment="1">
      <alignment horizontal="left" vertical="center" wrapText="1"/>
    </xf>
    <xf numFmtId="165" fontId="0" fillId="0" borderId="0" xfId="0" applyNumberFormat="1" applyAlignment="1">
      <alignment horizontal="left" vertical="center" wrapText="1"/>
    </xf>
    <xf numFmtId="0" fontId="6" fillId="0" borderId="0" xfId="0" applyFont="1" applyAlignment="1">
      <alignment horizontal="left" vertical="center" wrapText="1"/>
    </xf>
    <xf numFmtId="165" fontId="6" fillId="0" borderId="0" xfId="0" applyNumberFormat="1" applyFont="1" applyAlignment="1">
      <alignment horizontal="left" vertical="center" wrapText="1"/>
    </xf>
    <xf numFmtId="1" fontId="6" fillId="0" borderId="0" xfId="0" applyNumberFormat="1" applyFont="1" applyAlignment="1">
      <alignment horizontal="left" vertical="center" wrapText="1"/>
    </xf>
    <xf numFmtId="3" fontId="6" fillId="0" borderId="0" xfId="0" applyNumberFormat="1" applyFont="1" applyAlignment="1">
      <alignment horizontal="left" vertical="center" wrapText="1"/>
    </xf>
    <xf numFmtId="0" fontId="0" fillId="11" borderId="0" xfId="0" applyFill="1" applyAlignment="1">
      <alignment horizontal="left" vertical="center" wrapText="1"/>
    </xf>
    <xf numFmtId="3" fontId="0" fillId="11" borderId="0" xfId="0" applyNumberFormat="1" applyFill="1" applyAlignment="1">
      <alignment horizontal="left" vertical="center" wrapText="1"/>
    </xf>
    <xf numFmtId="165" fontId="0" fillId="11" borderId="0" xfId="0" applyNumberFormat="1" applyFill="1" applyAlignment="1">
      <alignment horizontal="left" vertical="center" wrapText="1"/>
    </xf>
    <xf numFmtId="1" fontId="0" fillId="11" borderId="0" xfId="0" applyNumberFormat="1" applyFill="1" applyAlignment="1">
      <alignment horizontal="left" vertical="center" wrapText="1"/>
    </xf>
    <xf numFmtId="165" fontId="6" fillId="11" borderId="0" xfId="0" applyNumberFormat="1" applyFont="1" applyFill="1" applyAlignment="1">
      <alignment horizontal="left" vertical="center" wrapText="1"/>
    </xf>
    <xf numFmtId="0" fontId="6" fillId="0" borderId="0" xfId="0" applyNumberFormat="1" applyFont="1" applyAlignment="1">
      <alignment horizontal="left" vertical="center" wrapText="1"/>
    </xf>
    <xf numFmtId="1" fontId="0" fillId="0" borderId="0" xfId="0" applyNumberFormat="1" applyAlignment="1">
      <alignment horizontal="left" vertical="center" wrapText="1"/>
    </xf>
    <xf numFmtId="49" fontId="8" fillId="0" borderId="0" xfId="8" applyNumberFormat="1" applyBorder="1" applyAlignment="1">
      <alignment horizontal="left" vertical="center"/>
    </xf>
    <xf numFmtId="14" fontId="0" fillId="0" borderId="0" xfId="0" applyNumberFormat="1" applyAlignment="1">
      <alignment horizontal="left" vertical="center"/>
    </xf>
    <xf numFmtId="49" fontId="8" fillId="0" borderId="0" xfId="8" applyNumberFormat="1" applyAlignment="1">
      <alignment horizontal="left" vertical="center"/>
    </xf>
    <xf numFmtId="164" fontId="8" fillId="0" borderId="0" xfId="8" applyNumberFormat="1" applyAlignment="1">
      <alignment horizontal="left" vertical="center"/>
    </xf>
    <xf numFmtId="0" fontId="3" fillId="2" borderId="0" xfId="1" applyAlignment="1">
      <alignment horizontal="left" vertical="center"/>
    </xf>
    <xf numFmtId="49" fontId="8" fillId="0" borderId="4" xfId="8" applyNumberFormat="1" applyBorder="1" applyAlignment="1">
      <alignment horizontal="left" vertical="center"/>
    </xf>
    <xf numFmtId="0" fontId="22" fillId="0" borderId="0" xfId="0" applyFont="1" applyAlignment="1">
      <alignment horizontal="left" vertical="center"/>
    </xf>
    <xf numFmtId="0" fontId="9" fillId="7" borderId="0" xfId="9" applyAlignment="1">
      <alignment horizontal="left" vertical="center"/>
    </xf>
    <xf numFmtId="14" fontId="8" fillId="0" borderId="0" xfId="8" applyNumberFormat="1" applyAlignment="1">
      <alignment horizontal="left" vertical="center"/>
    </xf>
    <xf numFmtId="0" fontId="4" fillId="3" borderId="0" xfId="2" applyAlignment="1">
      <alignment horizontal="left" vertical="center"/>
    </xf>
    <xf numFmtId="164" fontId="8" fillId="17" borderId="0" xfId="8" applyNumberFormat="1" applyFill="1" applyAlignment="1">
      <alignment horizontal="left" vertical="center"/>
    </xf>
    <xf numFmtId="164" fontId="9" fillId="7" borderId="0" xfId="9" applyNumberFormat="1" applyAlignment="1">
      <alignment horizontal="left" vertical="center"/>
    </xf>
    <xf numFmtId="0" fontId="0" fillId="13" borderId="0" xfId="0" applyFill="1" applyAlignment="1">
      <alignment horizontal="left" vertical="center"/>
    </xf>
    <xf numFmtId="165" fontId="3" fillId="2" borderId="0" xfId="1" applyNumberFormat="1" applyAlignment="1">
      <alignment horizontal="left" vertical="center"/>
    </xf>
    <xf numFmtId="49" fontId="8" fillId="0" borderId="3" xfId="8" applyNumberFormat="1" applyBorder="1" applyAlignment="1">
      <alignment horizontal="left" vertical="center"/>
    </xf>
    <xf numFmtId="164" fontId="3" fillId="2" borderId="0" xfId="1" applyNumberFormat="1" applyAlignment="1">
      <alignment horizontal="left" vertical="center"/>
    </xf>
    <xf numFmtId="164" fontId="7" fillId="16" borderId="0" xfId="14" applyNumberFormat="1" applyAlignment="1">
      <alignment horizontal="left" vertical="center"/>
    </xf>
    <xf numFmtId="49" fontId="8" fillId="0" borderId="0" xfId="8" applyNumberFormat="1" applyFill="1" applyBorder="1" applyAlignment="1">
      <alignment horizontal="left" vertical="center"/>
    </xf>
    <xf numFmtId="14" fontId="8" fillId="0" borderId="0" xfId="8" applyNumberFormat="1" applyFill="1" applyAlignment="1">
      <alignment horizontal="left" vertical="center"/>
    </xf>
    <xf numFmtId="49" fontId="8" fillId="0" borderId="4" xfId="8" applyNumberFormat="1" applyFill="1" applyBorder="1" applyAlignment="1">
      <alignment horizontal="left" vertical="center"/>
    </xf>
    <xf numFmtId="0" fontId="8" fillId="0" borderId="0" xfId="8" applyFill="1" applyBorder="1" applyAlignment="1">
      <alignment horizontal="left" vertical="center" wrapText="1"/>
    </xf>
    <xf numFmtId="14" fontId="0" fillId="0" borderId="0" xfId="0" applyNumberFormat="1" applyFill="1" applyAlignment="1">
      <alignment horizontal="left" vertical="center"/>
    </xf>
    <xf numFmtId="49" fontId="0" fillId="0" borderId="4" xfId="0" applyNumberFormat="1" applyFill="1" applyBorder="1" applyAlignment="1">
      <alignment horizontal="left" vertical="center"/>
    </xf>
    <xf numFmtId="6" fontId="0" fillId="0" borderId="0" xfId="0" applyNumberFormat="1" applyFill="1" applyAlignment="1">
      <alignment horizontal="left" vertical="center"/>
    </xf>
    <xf numFmtId="0" fontId="8" fillId="0" borderId="0" xfId="8" applyBorder="1" applyAlignment="1">
      <alignment horizontal="left" vertical="center" wrapText="1"/>
    </xf>
    <xf numFmtId="49" fontId="0" fillId="0" borderId="4" xfId="0" applyNumberFormat="1" applyBorder="1" applyAlignment="1">
      <alignment horizontal="left" vertical="center"/>
    </xf>
    <xf numFmtId="0" fontId="8" fillId="0" borderId="0" xfId="8" applyFill="1" applyAlignment="1">
      <alignment horizontal="left" vertical="center" wrapText="1"/>
    </xf>
    <xf numFmtId="0" fontId="8" fillId="0" borderId="0" xfId="8" applyAlignment="1">
      <alignment horizontal="left" vertical="center" wrapText="1"/>
    </xf>
    <xf numFmtId="0" fontId="8" fillId="0" borderId="3" xfId="8" applyBorder="1" applyAlignment="1">
      <alignment horizontal="left" vertical="center" wrapText="1"/>
    </xf>
    <xf numFmtId="0" fontId="8" fillId="0" borderId="3" xfId="8" applyFill="1" applyBorder="1" applyAlignment="1">
      <alignment horizontal="left" vertical="center" wrapText="1"/>
    </xf>
    <xf numFmtId="49" fontId="0" fillId="0" borderId="0" xfId="0" applyNumberFormat="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22" fillId="0" borderId="3" xfId="0" applyFont="1" applyBorder="1" applyAlignment="1">
      <alignment horizontal="left" vertical="center"/>
    </xf>
    <xf numFmtId="0" fontId="22" fillId="0" borderId="0" xfId="0" applyFont="1" applyBorder="1" applyAlignment="1">
      <alignment horizontal="left" vertical="center"/>
    </xf>
    <xf numFmtId="14" fontId="0" fillId="0" borderId="0" xfId="12" applyNumberFormat="1" applyFont="1" applyAlignment="1">
      <alignment horizontal="left" vertical="center"/>
    </xf>
    <xf numFmtId="164" fontId="0" fillId="0" borderId="0" xfId="12" applyNumberFormat="1" applyFont="1" applyAlignment="1">
      <alignment horizontal="left" vertical="center"/>
    </xf>
    <xf numFmtId="49" fontId="6" fillId="0" borderId="0" xfId="12" applyNumberFormat="1" applyFont="1" applyBorder="1" applyAlignment="1">
      <alignment horizontal="left" vertical="center"/>
    </xf>
    <xf numFmtId="44" fontId="0" fillId="0" borderId="0" xfId="12" applyFont="1" applyAlignment="1">
      <alignment horizontal="left" vertical="center"/>
    </xf>
    <xf numFmtId="14" fontId="1" fillId="0" borderId="0" xfId="0" applyNumberFormat="1" applyFont="1" applyAlignment="1">
      <alignment horizontal="left" vertical="center"/>
    </xf>
    <xf numFmtId="164" fontId="1" fillId="0" borderId="0" xfId="0" applyNumberFormat="1" applyFont="1" applyAlignment="1">
      <alignment horizontal="left" vertical="center"/>
    </xf>
    <xf numFmtId="49" fontId="6" fillId="0" borderId="0" xfId="0" applyNumberFormat="1" applyFont="1" applyAlignment="1">
      <alignment horizontal="left" vertical="center"/>
    </xf>
    <xf numFmtId="0" fontId="1" fillId="0" borderId="0" xfId="0" applyNumberFormat="1" applyFont="1" applyAlignment="1">
      <alignment horizontal="left" vertical="center"/>
    </xf>
    <xf numFmtId="49" fontId="6" fillId="0" borderId="6" xfId="0" applyNumberFormat="1" applyFont="1" applyBorder="1" applyAlignment="1">
      <alignment horizontal="left" vertical="center"/>
    </xf>
    <xf numFmtId="44" fontId="1" fillId="0" borderId="0" xfId="0" applyNumberFormat="1" applyFont="1" applyAlignment="1">
      <alignment horizontal="left" vertical="center"/>
    </xf>
    <xf numFmtId="49" fontId="6" fillId="0" borderId="0" xfId="0" applyNumberFormat="1" applyFont="1" applyBorder="1" applyAlignment="1">
      <alignment horizontal="left" vertical="center"/>
    </xf>
    <xf numFmtId="0" fontId="8" fillId="13" borderId="0" xfId="8" applyFill="1" applyAlignment="1">
      <alignment horizontal="left" vertical="center"/>
    </xf>
    <xf numFmtId="49" fontId="6" fillId="0" borderId="5" xfId="0" applyNumberFormat="1" applyFont="1" applyBorder="1" applyAlignment="1">
      <alignment horizontal="left" vertical="center"/>
    </xf>
    <xf numFmtId="0" fontId="0" fillId="0" borderId="2" xfId="0" applyBorder="1" applyAlignment="1">
      <alignment horizontal="left" vertical="center"/>
    </xf>
    <xf numFmtId="164" fontId="0" fillId="0" borderId="0" xfId="0" applyNumberFormat="1" applyFont="1" applyAlignment="1">
      <alignment horizontal="left" vertical="center"/>
    </xf>
    <xf numFmtId="2" fontId="0" fillId="0" borderId="0" xfId="0" applyNumberFormat="1" applyAlignment="1">
      <alignment horizontal="left" vertical="center"/>
    </xf>
    <xf numFmtId="0" fontId="0" fillId="0" borderId="8" xfId="0" applyBorder="1" applyAlignment="1">
      <alignment horizontal="left" vertical="center"/>
    </xf>
    <xf numFmtId="164" fontId="28" fillId="0" borderId="0" xfId="0" applyNumberFormat="1" applyFont="1" applyAlignment="1">
      <alignment horizontal="left" vertical="center"/>
    </xf>
    <xf numFmtId="164" fontId="32" fillId="0" borderId="0" xfId="0" applyNumberFormat="1" applyFont="1" applyAlignment="1">
      <alignment horizontal="left" vertical="center"/>
    </xf>
    <xf numFmtId="1" fontId="0" fillId="0" borderId="0" xfId="12" applyNumberFormat="1" applyFont="1"/>
    <xf numFmtId="1" fontId="0" fillId="0" borderId="0" xfId="12" applyNumberFormat="1" applyFont="1" applyAlignment="1">
      <alignment horizontal="right"/>
    </xf>
    <xf numFmtId="43" fontId="0" fillId="0" borderId="0" xfId="11" applyFont="1"/>
    <xf numFmtId="0" fontId="1" fillId="21" borderId="0" xfId="18" applyAlignment="1">
      <alignment horizontal="left" vertical="center"/>
    </xf>
    <xf numFmtId="0" fontId="1" fillId="21" borderId="0" xfId="18" applyNumberFormat="1" applyAlignment="1">
      <alignment horizontal="left" vertical="center"/>
    </xf>
    <xf numFmtId="164" fontId="1" fillId="21" borderId="0" xfId="18" applyNumberFormat="1" applyAlignment="1">
      <alignment horizontal="left" vertical="center"/>
    </xf>
    <xf numFmtId="49" fontId="1" fillId="21" borderId="0" xfId="18" applyNumberFormat="1" applyBorder="1" applyAlignment="1">
      <alignment horizontal="left" vertical="center"/>
    </xf>
    <xf numFmtId="49" fontId="1" fillId="21" borderId="0" xfId="18" applyNumberFormat="1" applyAlignment="1">
      <alignment horizontal="left" vertical="center"/>
    </xf>
    <xf numFmtId="8" fontId="1" fillId="21" borderId="0" xfId="18" applyNumberFormat="1" applyAlignment="1">
      <alignment horizontal="left" vertical="center"/>
    </xf>
    <xf numFmtId="1" fontId="1" fillId="21" borderId="0" xfId="18" applyNumberFormat="1" applyAlignment="1">
      <alignment horizontal="left" vertical="center"/>
    </xf>
    <xf numFmtId="165" fontId="1" fillId="21" borderId="0" xfId="18" applyNumberFormat="1" applyAlignment="1">
      <alignment horizontal="left" vertical="center"/>
    </xf>
    <xf numFmtId="3" fontId="1" fillId="21" borderId="0" xfId="18" applyNumberFormat="1" applyAlignment="1">
      <alignment horizontal="left" vertical="center"/>
    </xf>
    <xf numFmtId="49" fontId="6" fillId="0" borderId="4" xfId="0" applyNumberFormat="1" applyFont="1" applyBorder="1" applyAlignment="1">
      <alignment horizontal="left" vertical="center"/>
    </xf>
    <xf numFmtId="0" fontId="0" fillId="0" borderId="0" xfId="0" applyAlignment="1">
      <alignment horizontal="left" indent="1"/>
    </xf>
    <xf numFmtId="0" fontId="0" fillId="0" borderId="0" xfId="0" applyAlignment="1">
      <alignment horizontal="left" indent="2"/>
    </xf>
    <xf numFmtId="0" fontId="0" fillId="0" borderId="0" xfId="0" applyAlignment="1">
      <alignment vertical="center"/>
    </xf>
    <xf numFmtId="0" fontId="0" fillId="0" borderId="0" xfId="0" applyFill="1" applyAlignment="1">
      <alignment vertical="center"/>
    </xf>
    <xf numFmtId="44" fontId="0" fillId="0" borderId="0" xfId="12" applyFont="1" applyAlignment="1">
      <alignment vertical="center"/>
    </xf>
    <xf numFmtId="44" fontId="0" fillId="0" borderId="0" xfId="0" applyNumberFormat="1" applyAlignment="1">
      <alignment vertical="center"/>
    </xf>
    <xf numFmtId="44" fontId="1" fillId="21" borderId="0" xfId="18" applyNumberFormat="1" applyAlignment="1">
      <alignment vertical="center"/>
    </xf>
    <xf numFmtId="165" fontId="6" fillId="22" borderId="0" xfId="0" applyNumberFormat="1" applyFont="1" applyFill="1" applyAlignment="1">
      <alignment horizontal="left" vertical="center" wrapText="1"/>
    </xf>
    <xf numFmtId="0" fontId="0" fillId="0" borderId="0" xfId="0" applyAlignment="1">
      <alignment horizontal="left" vertical="center" wrapText="1"/>
    </xf>
    <xf numFmtId="166" fontId="19" fillId="0" borderId="0" xfId="11" applyNumberFormat="1" applyFont="1" applyAlignment="1">
      <alignment horizontal="right"/>
    </xf>
    <xf numFmtId="165" fontId="17" fillId="0" borderId="0" xfId="0" applyNumberFormat="1" applyFont="1" applyAlignment="1">
      <alignment horizontal="center"/>
    </xf>
    <xf numFmtId="167" fontId="0" fillId="0" borderId="0" xfId="0" applyNumberFormat="1"/>
    <xf numFmtId="1" fontId="30" fillId="13" borderId="0" xfId="0" applyNumberFormat="1" applyFont="1" applyFill="1" applyAlignment="1">
      <alignment horizontal="left" vertical="center"/>
    </xf>
    <xf numFmtId="165" fontId="30" fillId="13" borderId="0" xfId="0" applyNumberFormat="1" applyFont="1" applyFill="1" applyAlignment="1">
      <alignment horizontal="left" vertical="center"/>
    </xf>
    <xf numFmtId="165" fontId="17" fillId="0" borderId="0" xfId="0" applyNumberFormat="1" applyFont="1" applyAlignment="1">
      <alignment horizontal="center"/>
    </xf>
    <xf numFmtId="0" fontId="0" fillId="0" borderId="0" xfId="0" applyAlignment="1">
      <alignment horizontal="center"/>
    </xf>
    <xf numFmtId="3" fontId="29" fillId="20" borderId="9" xfId="0" applyNumberFormat="1" applyFont="1" applyFill="1" applyBorder="1" applyAlignment="1">
      <alignment vertical="center" wrapText="1"/>
    </xf>
    <xf numFmtId="0" fontId="29" fillId="20" borderId="9" xfId="0" applyFont="1" applyFill="1" applyBorder="1" applyAlignment="1">
      <alignment vertical="center" wrapText="1"/>
    </xf>
    <xf numFmtId="3" fontId="29" fillId="20" borderId="9" xfId="11" applyNumberFormat="1" applyFont="1" applyFill="1" applyBorder="1" applyAlignment="1">
      <alignment vertical="center" wrapText="1"/>
    </xf>
    <xf numFmtId="10" fontId="29" fillId="20" borderId="9" xfId="0" applyNumberFormat="1" applyFont="1" applyFill="1" applyBorder="1" applyAlignment="1">
      <alignment vertical="center" wrapText="1"/>
    </xf>
    <xf numFmtId="10" fontId="29" fillId="20" borderId="9" xfId="11" applyNumberFormat="1" applyFont="1" applyFill="1" applyBorder="1" applyAlignment="1">
      <alignment vertical="center" wrapText="1"/>
    </xf>
    <xf numFmtId="10" fontId="29" fillId="20" borderId="0" xfId="0" applyNumberFormat="1" applyFont="1" applyFill="1" applyAlignment="1">
      <alignment vertical="center" wrapText="1"/>
    </xf>
    <xf numFmtId="10" fontId="33" fillId="23" borderId="9" xfId="0" applyNumberFormat="1" applyFont="1" applyFill="1" applyBorder="1" applyAlignment="1">
      <alignment vertical="center" wrapText="1"/>
    </xf>
    <xf numFmtId="3" fontId="29" fillId="23" borderId="9" xfId="0" applyNumberFormat="1" applyFont="1" applyFill="1" applyBorder="1" applyAlignment="1">
      <alignment vertical="center" wrapText="1"/>
    </xf>
    <xf numFmtId="10" fontId="33" fillId="23" borderId="0" xfId="0" applyNumberFormat="1" applyFont="1" applyFill="1" applyAlignment="1">
      <alignment vertical="center" wrapText="1"/>
    </xf>
    <xf numFmtId="3" fontId="0" fillId="19" borderId="9" xfId="0" applyNumberFormat="1" applyFill="1" applyBorder="1" applyAlignment="1">
      <alignment horizontal="right" vertical="center"/>
    </xf>
    <xf numFmtId="3" fontId="0" fillId="19" borderId="9" xfId="0" applyNumberFormat="1" applyFill="1" applyBorder="1" applyAlignment="1">
      <alignment horizontal="center"/>
    </xf>
    <xf numFmtId="3" fontId="0" fillId="19" borderId="9" xfId="0" applyNumberFormat="1" applyFill="1" applyBorder="1"/>
    <xf numFmtId="10" fontId="0" fillId="19" borderId="9" xfId="0" applyNumberFormat="1" applyFill="1" applyBorder="1" applyAlignment="1">
      <alignment horizontal="right" vertical="center"/>
    </xf>
    <xf numFmtId="10" fontId="0" fillId="19" borderId="9" xfId="0" applyNumberFormat="1" applyFill="1" applyBorder="1" applyAlignment="1">
      <alignment horizontal="right" vertical="center" wrapText="1"/>
    </xf>
    <xf numFmtId="1" fontId="0" fillId="19" borderId="13" xfId="0" applyNumberFormat="1" applyFill="1" applyBorder="1" applyAlignment="1">
      <alignment horizontal="right" vertical="center" wrapText="1"/>
    </xf>
    <xf numFmtId="1" fontId="0" fillId="19" borderId="13" xfId="0" applyNumberFormat="1" applyFill="1" applyBorder="1" applyAlignment="1">
      <alignment horizontal="center"/>
    </xf>
    <xf numFmtId="1" fontId="0" fillId="19" borderId="13" xfId="11" applyNumberFormat="1" applyFont="1" applyFill="1" applyBorder="1" applyAlignment="1">
      <alignment horizontal="center"/>
    </xf>
    <xf numFmtId="1" fontId="0" fillId="19" borderId="13" xfId="0" applyNumberFormat="1" applyFill="1" applyBorder="1" applyAlignment="1">
      <alignment horizontal="right" vertical="center"/>
    </xf>
    <xf numFmtId="10" fontId="0" fillId="19" borderId="13" xfId="15" applyNumberFormat="1" applyFont="1" applyFill="1" applyBorder="1" applyAlignment="1">
      <alignment horizontal="center"/>
    </xf>
    <xf numFmtId="10" fontId="0" fillId="19" borderId="13" xfId="0" applyNumberFormat="1" applyFill="1" applyBorder="1" applyAlignment="1">
      <alignment horizontal="right" vertical="center"/>
    </xf>
    <xf numFmtId="10" fontId="0" fillId="19" borderId="13" xfId="15" applyNumberFormat="1" applyFont="1" applyFill="1" applyBorder="1"/>
    <xf numFmtId="1" fontId="0" fillId="19" borderId="13" xfId="0" applyNumberFormat="1" applyFill="1" applyBorder="1" applyAlignment="1">
      <alignment horizontal="center" vertical="center"/>
    </xf>
    <xf numFmtId="1" fontId="0" fillId="19" borderId="13" xfId="11" applyNumberFormat="1" applyFont="1" applyFill="1" applyBorder="1" applyAlignment="1">
      <alignment horizontal="right" vertical="center"/>
    </xf>
    <xf numFmtId="10" fontId="0" fillId="19" borderId="13" xfId="15" applyNumberFormat="1" applyFont="1" applyFill="1" applyBorder="1" applyAlignment="1">
      <alignment horizontal="right" vertical="center"/>
    </xf>
    <xf numFmtId="3" fontId="0" fillId="19" borderId="13" xfId="11" applyNumberFormat="1" applyFont="1" applyFill="1" applyBorder="1" applyAlignment="1">
      <alignment horizontal="center"/>
    </xf>
    <xf numFmtId="3" fontId="0" fillId="19" borderId="9" xfId="0" applyNumberFormat="1" applyFill="1" applyBorder="1" applyAlignment="1">
      <alignment vertical="center"/>
    </xf>
    <xf numFmtId="1" fontId="0" fillId="19" borderId="9" xfId="0" applyNumberFormat="1" applyFill="1" applyBorder="1" applyAlignment="1">
      <alignment horizontal="right" vertical="center" wrapText="1"/>
    </xf>
    <xf numFmtId="1" fontId="0" fillId="19" borderId="9" xfId="0" applyNumberFormat="1" applyFill="1" applyBorder="1" applyAlignment="1">
      <alignment horizontal="center"/>
    </xf>
    <xf numFmtId="1" fontId="0" fillId="19" borderId="9" xfId="11" applyNumberFormat="1" applyFont="1" applyFill="1" applyBorder="1" applyAlignment="1">
      <alignment horizontal="center"/>
    </xf>
    <xf numFmtId="1" fontId="0" fillId="19" borderId="9" xfId="0" applyNumberFormat="1" applyFill="1" applyBorder="1" applyAlignment="1">
      <alignment horizontal="right" vertical="center"/>
    </xf>
    <xf numFmtId="3" fontId="0" fillId="19" borderId="9" xfId="0" applyNumberFormat="1" applyFill="1" applyBorder="1" applyAlignment="1">
      <alignment horizontal="center" vertical="center"/>
    </xf>
    <xf numFmtId="3" fontId="0" fillId="19" borderId="12" xfId="0" applyNumberFormat="1" applyFill="1" applyBorder="1" applyAlignment="1">
      <alignment horizontal="right" vertical="center"/>
    </xf>
    <xf numFmtId="3" fontId="0" fillId="19" borderId="12" xfId="0" applyNumberFormat="1" applyFill="1" applyBorder="1" applyAlignment="1">
      <alignment horizontal="center"/>
    </xf>
    <xf numFmtId="3" fontId="0" fillId="19" borderId="12" xfId="0" applyNumberFormat="1" applyFill="1" applyBorder="1"/>
    <xf numFmtId="10" fontId="0" fillId="19" borderId="12" xfId="0" applyNumberFormat="1" applyFill="1" applyBorder="1" applyAlignment="1">
      <alignment horizontal="right" vertical="center"/>
    </xf>
    <xf numFmtId="10" fontId="0" fillId="19" borderId="12" xfId="0" applyNumberFormat="1" applyFill="1" applyBorder="1" applyAlignment="1">
      <alignment horizontal="right" vertical="center" wrapText="1"/>
    </xf>
    <xf numFmtId="1" fontId="0" fillId="19" borderId="12" xfId="0" applyNumberFormat="1" applyFill="1" applyBorder="1" applyAlignment="1">
      <alignment horizontal="right" vertical="center" wrapText="1"/>
    </xf>
    <xf numFmtId="1" fontId="0" fillId="19" borderId="12" xfId="0" applyNumberFormat="1" applyFill="1" applyBorder="1" applyAlignment="1">
      <alignment horizontal="center"/>
    </xf>
    <xf numFmtId="1" fontId="0" fillId="19" borderId="12" xfId="11" applyNumberFormat="1" applyFont="1" applyFill="1" applyBorder="1" applyAlignment="1">
      <alignment horizontal="center"/>
    </xf>
    <xf numFmtId="1" fontId="0" fillId="19" borderId="12" xfId="0" applyNumberFormat="1" applyFill="1" applyBorder="1" applyAlignment="1">
      <alignment horizontal="right" vertical="center"/>
    </xf>
    <xf numFmtId="3" fontId="14" fillId="19" borderId="10" xfId="0" applyNumberFormat="1" applyFont="1" applyFill="1" applyBorder="1" applyAlignment="1">
      <alignment vertical="center"/>
    </xf>
    <xf numFmtId="10" fontId="14" fillId="19" borderId="10" xfId="15" applyNumberFormat="1" applyFont="1" applyFill="1" applyBorder="1" applyAlignment="1">
      <alignment vertical="center"/>
    </xf>
    <xf numFmtId="0" fontId="0" fillId="0" borderId="7" xfId="0" applyBorder="1" applyAlignment="1">
      <alignment horizontal="left" vertical="center" wrapText="1"/>
    </xf>
    <xf numFmtId="0" fontId="0" fillId="0" borderId="0" xfId="0" applyAlignment="1">
      <alignment horizontal="left" vertical="center" wrapText="1"/>
    </xf>
    <xf numFmtId="0" fontId="20" fillId="15" borderId="7" xfId="0" applyFont="1" applyFill="1" applyBorder="1" applyAlignment="1">
      <alignment horizontal="center" wrapText="1"/>
    </xf>
    <xf numFmtId="0" fontId="20" fillId="15" borderId="0" xfId="0" applyFont="1" applyFill="1" applyAlignment="1">
      <alignment horizontal="center" wrapText="1"/>
    </xf>
    <xf numFmtId="0" fontId="0" fillId="0" borderId="0" xfId="0" applyAlignment="1">
      <alignment horizontal="center"/>
    </xf>
    <xf numFmtId="0" fontId="17" fillId="0" borderId="0" xfId="0" applyFont="1" applyAlignment="1">
      <alignment horizontal="center"/>
    </xf>
    <xf numFmtId="0" fontId="15" fillId="9" borderId="0" xfId="6" applyFont="1" applyAlignment="1">
      <alignment horizontal="center"/>
    </xf>
    <xf numFmtId="0" fontId="15" fillId="5" borderId="0" xfId="4" applyFont="1" applyAlignment="1">
      <alignment horizontal="center"/>
    </xf>
    <xf numFmtId="165" fontId="17" fillId="0" borderId="0" xfId="0" applyNumberFormat="1" applyFont="1" applyAlignment="1">
      <alignment horizontal="center"/>
    </xf>
    <xf numFmtId="0" fontId="15" fillId="8" borderId="0" xfId="10" applyFont="1" applyAlignment="1">
      <alignment horizontal="center" wrapText="1"/>
    </xf>
    <xf numFmtId="0" fontId="15" fillId="8" borderId="0" xfId="10" applyFont="1" applyAlignment="1">
      <alignment horizontal="center"/>
    </xf>
    <xf numFmtId="0" fontId="15" fillId="6" borderId="0" xfId="7" applyFont="1" applyAlignment="1">
      <alignment horizontal="center"/>
    </xf>
    <xf numFmtId="0" fontId="15" fillId="10" borderId="0" xfId="5" applyFont="1" applyAlignment="1">
      <alignment horizontal="center"/>
    </xf>
  </cellXfs>
  <cellStyles count="19">
    <cellStyle name="20% - Accent1" xfId="16" builtinId="30"/>
    <cellStyle name="20% - Accent2" xfId="18" builtinId="34"/>
    <cellStyle name="60% - Accent3" xfId="14" builtinId="40"/>
    <cellStyle name="60% - Accent5" xfId="13" builtinId="48"/>
    <cellStyle name="Accent1" xfId="10" builtinId="29"/>
    <cellStyle name="Accent2" xfId="4" builtinId="33"/>
    <cellStyle name="Accent4" xfId="5" builtinId="41" customBuiltin="1"/>
    <cellStyle name="Accent5" xfId="6" builtinId="45" customBuiltin="1"/>
    <cellStyle name="Accent6" xfId="7" builtinId="49"/>
    <cellStyle name="Bad" xfId="2" builtinId="27"/>
    <cellStyle name="Comma" xfId="11" builtinId="3"/>
    <cellStyle name="Currency" xfId="12" builtinId="4"/>
    <cellStyle name="Good" xfId="1" builtinId="26"/>
    <cellStyle name="Hyperlink" xfId="8" builtinId="8"/>
    <cellStyle name="Input" xfId="3" builtinId="20"/>
    <cellStyle name="Neutral" xfId="9" builtinId="28"/>
    <cellStyle name="Normal" xfId="0" builtinId="0"/>
    <cellStyle name="Normal 2" xfId="17" xr:uid="{78F52220-95AB-4435-B179-83D6716A761E}"/>
    <cellStyle name="Percent" xfId="15" builtinId="5"/>
  </cellStyles>
  <dxfs count="1904">
    <dxf>
      <font>
        <b val="0"/>
        <i val="0"/>
        <strike val="0"/>
        <condense val="0"/>
        <extend val="0"/>
        <outline val="0"/>
        <shadow val="0"/>
        <u val="none"/>
        <vertAlign val="baseline"/>
        <sz val="11"/>
        <color theme="1"/>
        <name val="Calibri"/>
        <family val="2"/>
        <scheme val="minor"/>
      </font>
      <numFmt numFmtId="34" formatCode="_(&quot;$&quot;* #,##0.00_);_(&quot;$&quot;* \(#,##0.00\);_(&quot;$&quot;* &quot;-&quot;??_);_(@_)"/>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numFmt numFmtId="34" formatCode="_(&quot;$&quot;* #,##0.00_);_(&quot;$&quot;* \(#,##0.00\);_(&quot;$&quot;* &quot;-&quot;??_);_(@_)"/>
      <alignment horizontal="lef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34" formatCode="_(&quot;$&quot;* #,##0.00_);_(&quot;$&quot;* \(#,##0.00\);_(&quot;$&quot;* &quot;-&quot;??_);_(@_)"/>
      <alignment horizontal="lef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34" formatCode="_(&quot;$&quot;* #,##0.00_);_(&quot;$&quot;* \(#,##0.00\);_(&quot;$&quot;* &quot;-&quot;??_);_(@_)"/>
      <alignment horizontal="lef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34" formatCode="_(&quot;$&quot;* #,##0.00_);_(&quot;$&quot;* \(#,##0.00\);_(&quot;$&quot;* &quot;-&quot;??_);_(@_)"/>
      <alignment horizontal="lef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34" formatCode="_(&quot;$&quot;* #,##0.00_);_(&quot;$&quot;* \(#,##0.00\);_(&quot;$&quot;* &quot;-&quot;??_);_(@_)"/>
      <alignment horizontal="left" vertical="center" textRotation="0" wrapText="0" indent="0" justifyLastLine="0" shrinkToFit="0" readingOrder="0"/>
    </dxf>
    <dxf>
      <font>
        <color rgb="FF006100"/>
      </font>
      <fill>
        <patternFill>
          <bgColor rgb="FFC6EFCE"/>
        </patternFill>
      </fill>
    </dxf>
    <dxf>
      <font>
        <color rgb="FF9C6500"/>
      </font>
      <fill>
        <patternFill>
          <bgColor rgb="FFFFEB9C"/>
        </patternFill>
      </fill>
    </dxf>
    <dxf>
      <font>
        <color rgb="FF9C0006"/>
      </font>
      <fill>
        <patternFill>
          <bgColor rgb="FFFFC7CE"/>
        </patternFill>
      </fill>
    </dxf>
    <dxf>
      <numFmt numFmtId="1" formatCode="0"/>
    </dxf>
    <dxf>
      <numFmt numFmtId="165" formatCode="&quot;$&quot;#,##0.00"/>
    </dxf>
    <dxf>
      <numFmt numFmtId="165" formatCode="&quot;$&quot;#,##0.00"/>
    </dxf>
    <dxf>
      <numFmt numFmtId="1" formatCode="0"/>
    </dxf>
    <dxf>
      <numFmt numFmtId="1" formatCode="0"/>
    </dxf>
    <dxf>
      <numFmt numFmtId="1" formatCode="0"/>
    </dxf>
    <dxf>
      <numFmt numFmtId="1" formatCode="0"/>
    </dxf>
    <dxf>
      <numFmt numFmtId="165" formatCode="&quot;$&quot;#,##0.00"/>
    </dxf>
    <dxf>
      <numFmt numFmtId="1" formatCode="0"/>
    </dxf>
    <dxf>
      <numFmt numFmtId="1" formatCode="0"/>
    </dxf>
    <dxf>
      <numFmt numFmtId="1" formatCode="0"/>
    </dxf>
    <dxf>
      <numFmt numFmtId="1" formatCode="0"/>
    </dxf>
    <dxf>
      <numFmt numFmtId="165" formatCode="&quot;$&quot;#,##0.00"/>
    </dxf>
    <dxf>
      <numFmt numFmtId="165" formatCode="&quot;$&quot;#,##0.00"/>
    </dxf>
    <dxf>
      <numFmt numFmtId="165" formatCode="&quot;$&quot;#,##0.00"/>
    </dxf>
    <dxf>
      <numFmt numFmtId="165" formatCode="&quot;$&quot;#,##0.00"/>
    </dxf>
    <dxf>
      <numFmt numFmtId="165" formatCode="&quot;$&quot;#,##0.00"/>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numFmt numFmtId="1"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1"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1"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ttom style="thin">
          <color indexed="64"/>
        </bottom>
      </border>
    </dxf>
    <dxf>
      <fill>
        <patternFill patternType="solid">
          <fgColor indexed="64"/>
          <bgColor theme="0"/>
        </patternFill>
      </fill>
    </dxf>
    <dxf>
      <font>
        <b/>
        <i val="0"/>
        <strike val="0"/>
        <condense val="0"/>
        <extend val="0"/>
        <outline val="0"/>
        <shadow val="0"/>
        <u val="none"/>
        <vertAlign val="baseline"/>
        <sz val="11"/>
        <color auto="1"/>
        <name val="Calibri"/>
        <family val="2"/>
        <scheme val="minor"/>
      </font>
      <numFmt numFmtId="14" formatCode="0.00%"/>
      <fill>
        <patternFill patternType="solid">
          <fgColor indexed="64"/>
          <bgColor theme="0"/>
        </patternFill>
      </fill>
      <alignment horizontal="general" vertical="center" textRotation="0" wrapText="1" indent="0" justifyLastLine="0" shrinkToFit="0" readingOrder="0"/>
    </dxf>
    <dxf>
      <numFmt numFmtId="0" formatCode="General"/>
    </dxf>
    <dxf>
      <numFmt numFmtId="0" formatCode="General"/>
    </dxf>
    <dxf>
      <numFmt numFmtId="165" formatCode="&quot;$&quot;#,##0.00"/>
    </dxf>
    <dxf>
      <numFmt numFmtId="165" formatCode="&quot;$&quot;#,##0.00"/>
    </dxf>
    <dxf>
      <numFmt numFmtId="168" formatCode="&quot;$&quot;#,##0.0"/>
    </dxf>
    <dxf>
      <numFmt numFmtId="168" formatCode="&quot;$&quot;#,##0.0"/>
    </dxf>
    <dxf>
      <numFmt numFmtId="164" formatCode="&quot;$&quot;#,##0"/>
    </dxf>
    <dxf>
      <numFmt numFmtId="164" formatCode="&quot;$&quot;#,##0"/>
    </dxf>
    <dxf>
      <numFmt numFmtId="168" formatCode="&quot;$&quot;#,##0.0"/>
    </dxf>
    <dxf>
      <numFmt numFmtId="168" formatCode="&quot;$&quot;#,##0.0"/>
    </dxf>
    <dxf>
      <numFmt numFmtId="165" formatCode="&quot;$&quot;#,##0.00"/>
    </dxf>
    <dxf>
      <numFmt numFmtId="165" formatCode="&quot;$&quot;#,##0.00"/>
    </dxf>
    <dxf>
      <numFmt numFmtId="1" formatCode="0"/>
    </dxf>
    <dxf>
      <numFmt numFmtId="1" formatCode="0"/>
    </dxf>
    <dxf>
      <numFmt numFmtId="169" formatCode="0.0"/>
    </dxf>
    <dxf>
      <numFmt numFmtId="169" formatCode="0.0"/>
    </dxf>
    <dxf>
      <numFmt numFmtId="2" formatCode="0.00"/>
    </dxf>
    <dxf>
      <numFmt numFmtId="2" formatCode="0.00"/>
    </dxf>
    <dxf>
      <numFmt numFmtId="165" formatCode="&quot;$&quot;#,##0.00"/>
    </dxf>
    <dxf>
      <numFmt numFmtId="165" formatCode="&quot;$&quot;#,##0.00"/>
    </dxf>
    <dxf>
      <numFmt numFmtId="1" formatCode="0"/>
    </dxf>
    <dxf>
      <numFmt numFmtId="1" formatCode="0"/>
    </dxf>
    <dxf>
      <numFmt numFmtId="169" formatCode="0.0"/>
    </dxf>
    <dxf>
      <numFmt numFmtId="169" formatCode="0.0"/>
    </dxf>
    <dxf>
      <numFmt numFmtId="2" formatCode="0.00"/>
    </dxf>
    <dxf>
      <numFmt numFmtId="2" formatCode="0.00"/>
    </dxf>
    <dxf>
      <font>
        <b val="0"/>
        <i val="0"/>
        <strike val="0"/>
        <condense val="0"/>
        <extend val="0"/>
        <outline val="0"/>
        <shadow val="0"/>
        <u val="none"/>
        <vertAlign val="baseline"/>
        <sz val="11"/>
        <color theme="1"/>
        <name val="Calibri"/>
        <family val="2"/>
        <scheme val="minor"/>
      </font>
    </dxf>
    <dxf>
      <numFmt numFmtId="165" formatCode="&quot;$&quot;#,##0.00"/>
    </dxf>
    <dxf>
      <numFmt numFmtId="165" formatCode="&quot;$&quot;#,##0.0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00"/>
      <alignment horizontal="left" vertical="center" textRotation="0" wrapText="0" indent="0" justifyLastLine="0" shrinkToFit="0" readingOrder="0"/>
    </dxf>
    <dxf>
      <numFmt numFmtId="165" formatCode="&quot;$&quot;#,##0.00"/>
      <alignment horizontal="left" vertical="center" textRotation="0" indent="0" justifyLastLine="0" shrinkToFit="0" readingOrder="0"/>
    </dxf>
    <dxf>
      <numFmt numFmtId="1" formatCode="0"/>
      <alignment horizontal="left" vertical="center" textRotation="0" indent="0" justifyLastLine="0" shrinkToFit="0" readingOrder="0"/>
    </dxf>
    <dxf>
      <numFmt numFmtId="1" formatCode="0"/>
      <alignment horizontal="left" vertical="center" textRotation="0" indent="0" justifyLastLine="0" shrinkToFit="0" readingOrder="0"/>
    </dxf>
    <dxf>
      <numFmt numFmtId="1" formatCode="0"/>
      <alignment horizontal="left" vertical="center" textRotation="0" indent="0" justifyLastLine="0" shrinkToFit="0" readingOrder="0"/>
    </dxf>
    <dxf>
      <numFmt numFmtId="1" formatCode="0"/>
      <alignment horizontal="left" vertical="center" textRotation="0" indent="0" justifyLastLine="0" shrinkToFit="0" readingOrder="0"/>
    </dxf>
    <dxf>
      <numFmt numFmtId="165" formatCode="&quot;$&quot;#,##0.0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left" vertical="center" textRotation="0" indent="0" justifyLastLine="0" shrinkToFit="0" readingOrder="0"/>
    </dxf>
    <dxf>
      <numFmt numFmtId="164" formatCode="&quot;$&quot;#,##0"/>
      <alignment horizontal="left" vertical="center" textRotation="0" indent="0" justifyLastLine="0" shrinkToFit="0" readingOrder="0"/>
    </dxf>
    <dxf>
      <numFmt numFmtId="164" formatCode="&quot;$&quot;#,##0"/>
      <alignment horizontal="left" vertical="center" textRotation="0" indent="0" justifyLastLine="0" shrinkToFit="0" readingOrder="0"/>
    </dxf>
    <dxf>
      <numFmt numFmtId="164" formatCode="&quot;$&quot;#,##0"/>
      <alignment horizontal="left" vertical="center" textRotation="0" indent="0" justifyLastLine="0" shrinkToFit="0" readingOrder="0"/>
    </dxf>
    <dxf>
      <numFmt numFmtId="164" formatCode="&quot;$&quot;#,##0"/>
      <alignment horizontal="left" vertical="center" textRotation="0" indent="0" justifyLastLine="0" shrinkToFit="0" readingOrder="0"/>
    </dxf>
    <dxf>
      <numFmt numFmtId="164" formatCode="&quot;$&quot;#,##0"/>
      <alignment horizontal="left" vertical="center" textRotation="0" indent="0" justifyLastLine="0" shrinkToFit="0" readingOrder="0"/>
    </dxf>
    <dxf>
      <numFmt numFmtId="164" formatCode="&quot;$&quot;#,##0"/>
      <alignment horizontal="left" vertical="center" textRotation="0" indent="0" justifyLastLine="0" shrinkToFit="0" readingOrder="0"/>
    </dxf>
    <dxf>
      <numFmt numFmtId="165" formatCode="&quot;$&quot;#,##0.00"/>
      <alignment horizontal="left" vertical="center" textRotation="0" wrapText="0" indent="0" justifyLastLine="0" shrinkToFit="0" readingOrder="0"/>
    </dxf>
    <dxf>
      <numFmt numFmtId="10" formatCode="&quot;$&quot;#,##0_);[Red]\(&quot;$&quot;#,##0\)"/>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numFmt numFmtId="30" formatCode="@"/>
      <alignment horizontal="left" vertical="center" textRotation="0" wrapText="0" indent="0" justifyLastLine="0" shrinkToFit="0" readingOrder="0"/>
    </dxf>
    <dxf>
      <font>
        <b/>
      </font>
      <numFmt numFmtId="30" formatCode="@"/>
      <alignment horizontal="left" vertical="center" textRotation="0" indent="0" justifyLastLine="0" shrinkToFit="0" readingOrder="0"/>
      <border diagonalUp="0" diagonalDown="0" outline="0">
        <left/>
        <right/>
        <top style="double">
          <color theme="4"/>
        </top>
        <bottom style="thin">
          <color theme="4" tint="0.39997558519241921"/>
        </bottom>
      </border>
    </dxf>
    <dxf>
      <font>
        <b val="0"/>
        <i val="0"/>
        <strike val="0"/>
        <condense val="0"/>
        <extend val="0"/>
        <outline val="0"/>
        <shadow val="0"/>
        <u/>
        <vertAlign val="baseline"/>
        <sz val="11"/>
        <color rgb="FF0070C0"/>
        <name val="Calibri"/>
        <scheme val="minor"/>
      </font>
      <numFmt numFmtId="164" formatCode="&quot;$&quot;#,##0"/>
      <alignment horizontal="left" vertical="center" textRotation="0" wrapText="0" indent="0" justifyLastLine="0" shrinkToFit="0" readingOrder="0"/>
    </dxf>
    <dxf>
      <font>
        <b val="0"/>
        <i val="0"/>
        <strike val="0"/>
        <condense val="0"/>
        <extend val="0"/>
        <outline val="0"/>
        <shadow val="0"/>
        <u/>
        <vertAlign val="baseline"/>
        <sz val="11"/>
        <color rgb="FF0070C0"/>
        <name val="Calibri"/>
        <scheme val="minor"/>
      </font>
      <numFmt numFmtId="164" formatCode="&quot;$&quot;#,##0"/>
      <alignment horizontal="left" vertical="center" textRotation="0" wrapText="0" indent="0" justifyLastLine="0" shrinkToFit="0" readingOrder="0"/>
    </dxf>
    <dxf>
      <font>
        <b val="0"/>
        <i val="0"/>
        <strike val="0"/>
        <condense val="0"/>
        <extend val="0"/>
        <outline val="0"/>
        <shadow val="0"/>
        <u/>
        <vertAlign val="baseline"/>
        <sz val="11"/>
        <color rgb="FF0070C0"/>
        <name val="Calibri"/>
        <scheme val="minor"/>
      </font>
      <numFmt numFmtId="1" formatCode="0"/>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font>
        <b/>
      </font>
      <numFmt numFmtId="30" formatCode="@"/>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wrapText="1" indent="0" justifyLastLine="0" shrinkToFit="0" readingOrder="0"/>
    </dxf>
    <dxf>
      <font>
        <color theme="0"/>
      </font>
      <fill>
        <patternFill>
          <bgColor theme="1" tint="0.499984740745262"/>
        </patternFill>
      </fill>
    </dxf>
    <dxf>
      <font>
        <color rgb="FF9C5700"/>
      </font>
      <fill>
        <patternFill>
          <bgColor rgb="FFFFEB9C"/>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numFmt numFmtId="165" formatCode="&quot;$&quot;#,##0.00"/>
    </dxf>
    <dxf>
      <font>
        <b val="0"/>
        <i val="0"/>
        <strike val="0"/>
        <condense val="0"/>
        <extend val="0"/>
        <outline val="0"/>
        <shadow val="0"/>
        <u val="none"/>
        <vertAlign val="baseline"/>
        <sz val="14"/>
        <color theme="1"/>
        <name val="Calibri"/>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4"/>
        <color theme="1"/>
        <name val="Calibri"/>
        <scheme val="minor"/>
      </font>
      <numFmt numFmtId="165" formatCode="&quot;$&quot;#,##0.00"/>
    </dxf>
    <dxf>
      <font>
        <b val="0"/>
        <i val="0"/>
        <strike val="0"/>
        <condense val="0"/>
        <extend val="0"/>
        <outline val="0"/>
        <shadow val="0"/>
        <u val="none"/>
        <vertAlign val="baseline"/>
        <sz val="14"/>
        <color theme="1"/>
        <name val="Calibri"/>
        <scheme val="minor"/>
      </font>
      <numFmt numFmtId="165" formatCode="&quot;$&quot;#,##0.00"/>
    </dxf>
    <dxf>
      <font>
        <b val="0"/>
        <i val="0"/>
        <strike val="0"/>
        <condense val="0"/>
        <extend val="0"/>
        <outline val="0"/>
        <shadow val="0"/>
        <u val="none"/>
        <vertAlign val="baseline"/>
        <sz val="14"/>
        <color theme="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dxf>
    <dxf>
      <font>
        <b val="0"/>
        <i val="0"/>
        <strike val="0"/>
        <condense val="0"/>
        <extend val="0"/>
        <outline val="0"/>
        <shadow val="0"/>
        <u val="none"/>
        <vertAlign val="baseline"/>
        <sz val="14"/>
        <color theme="1"/>
        <name val="Calibri"/>
        <scheme val="minor"/>
      </font>
    </dxf>
    <dxf>
      <font>
        <b val="0"/>
        <i val="0"/>
        <strike val="0"/>
        <condense val="0"/>
        <extend val="0"/>
        <outline val="0"/>
        <shadow val="0"/>
        <u val="none"/>
        <vertAlign val="baseline"/>
        <sz val="14"/>
        <color theme="1"/>
        <name val="Calibri"/>
        <scheme val="minor"/>
      </font>
    </dxf>
    <dxf>
      <numFmt numFmtId="3" formatCode="#,##0"/>
    </dxf>
    <dxf>
      <font>
        <sz val="24"/>
      </font>
    </dxf>
    <dxf>
      <font>
        <sz val="24"/>
      </font>
    </dxf>
    <dxf>
      <font>
        <sz val="24"/>
      </font>
    </dxf>
    <dxf>
      <numFmt numFmtId="1" formatCode="0"/>
    </dxf>
    <dxf>
      <numFmt numFmtId="169" formatCode="0.0"/>
    </dxf>
    <dxf>
      <numFmt numFmtId="2" formatCode="0.00"/>
    </dxf>
    <dxf>
      <numFmt numFmtId="35" formatCode="_(* #,##0.00_);_(* \(#,##0.00\);_(* &quot;-&quot;??_);_(@_)"/>
    </dxf>
    <dxf>
      <alignment horizontal="center" readingOrder="0"/>
    </dxf>
    <dxf>
      <alignment horizontal="general" readingOrder="0"/>
    </dxf>
    <dxf>
      <numFmt numFmtId="1" formatCode="0"/>
    </dxf>
    <dxf>
      <numFmt numFmtId="169" formatCode="0.0"/>
    </dxf>
    <dxf>
      <numFmt numFmtId="2" formatCode="0.00"/>
    </dxf>
    <dxf>
      <font>
        <sz val="14"/>
      </font>
    </dxf>
    <dxf>
      <font>
        <sz val="14"/>
      </font>
    </dxf>
    <dxf>
      <font>
        <sz val="14"/>
      </font>
    </dxf>
    <dxf>
      <font>
        <sz val="12"/>
      </font>
    </dxf>
    <dxf>
      <font>
        <sz val="12"/>
      </font>
    </dxf>
    <dxf>
      <font>
        <sz val="12"/>
      </font>
    </dxf>
    <dxf>
      <font>
        <b/>
      </font>
    </dxf>
    <dxf>
      <alignment horizontal="right" readingOrder="0"/>
    </dxf>
    <dxf>
      <alignment horizontal="left" readingOrder="0"/>
    </dxf>
    <dxf>
      <alignment horizontal="general"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numFmt numFmtId="166" formatCode="_(* #,##0_);_(* \(#,##0\);_(* &quot;-&quot;??_);_(@_)"/>
    </dxf>
    <dxf>
      <numFmt numFmtId="170" formatCode="_(* #,##0.0_);_(* \(#,##0.0\);_(* &quot;-&quot;??_);_(@_)"/>
    </dxf>
    <dxf>
      <numFmt numFmtId="35" formatCode="_(* #,##0.00_);_(* \(#,##0.00\);_(* &quot;-&quot;??_);_(@_)"/>
    </dxf>
    <dxf>
      <numFmt numFmtId="165" formatCode="&quot;$&quot;#,##0.00"/>
    </dxf>
    <dxf>
      <numFmt numFmtId="34" formatCode="_(&quot;$&quot;* #,##0.00_);_(&quot;$&quot;* \(#,##0.00\);_(&quot;$&quot;* &quot;-&quot;??_);_(@_)"/>
    </dxf>
    <dxf>
      <font>
        <sz val="22"/>
      </font>
    </dxf>
    <dxf>
      <alignment horizontal="center"/>
    </dxf>
    <dxf>
      <alignment horizontal="center"/>
    </dxf>
    <dxf>
      <alignment horizontal="center"/>
    </dxf>
    <dxf>
      <font>
        <b/>
      </font>
    </dxf>
    <dxf>
      <font>
        <sz val="24"/>
      </font>
    </dxf>
    <dxf>
      <alignment horizontal="center"/>
    </dxf>
    <dxf>
      <font>
        <b val="0"/>
      </font>
    </dxf>
    <dxf>
      <font>
        <sz val="18"/>
      </font>
    </dxf>
    <dxf>
      <numFmt numFmtId="165" formatCode="&quot;$&quot;#,##0.00"/>
    </dxf>
    <dxf>
      <numFmt numFmtId="3" formatCode="#,##0"/>
    </dxf>
    <dxf>
      <font>
        <sz val="24"/>
      </font>
    </dxf>
    <dxf>
      <font>
        <sz val="24"/>
      </font>
    </dxf>
    <dxf>
      <font>
        <sz val="24"/>
      </font>
    </dxf>
    <dxf>
      <numFmt numFmtId="1" formatCode="0"/>
    </dxf>
    <dxf>
      <numFmt numFmtId="169" formatCode="0.0"/>
    </dxf>
    <dxf>
      <numFmt numFmtId="2" formatCode="0.00"/>
    </dxf>
    <dxf>
      <alignment horizontal="center" readingOrder="0"/>
    </dxf>
    <dxf>
      <alignment horizontal="general" readingOrder="0"/>
    </dxf>
    <dxf>
      <alignment horizontal="center" readingOrder="0"/>
    </dxf>
    <dxf>
      <font>
        <sz val="14"/>
      </font>
    </dxf>
    <dxf>
      <font>
        <sz val="14"/>
      </font>
    </dxf>
    <dxf>
      <font>
        <sz val="14"/>
      </font>
    </dxf>
    <dxf>
      <font>
        <sz val="12"/>
      </font>
    </dxf>
    <dxf>
      <font>
        <sz val="12"/>
      </font>
    </dxf>
    <dxf>
      <font>
        <sz val="12"/>
      </font>
    </dxf>
    <dxf>
      <alignment horizontal="general" readingOrder="0"/>
    </dxf>
    <dxf>
      <font>
        <b/>
      </font>
    </dxf>
    <dxf>
      <numFmt numFmtId="166" formatCode="_(* #,##0_);_(* \(#,##0\);_(* &quot;-&quot;??_);_(@_)"/>
    </dxf>
    <dxf>
      <numFmt numFmtId="170" formatCode="_(* #,##0.0_);_(* \(#,##0.0\);_(* &quot;-&quot;??_);_(@_)"/>
    </dxf>
    <dxf>
      <numFmt numFmtId="35" formatCode="_(* #,##0.00_);_(* \(#,##0.00\);_(* &quot;-&quot;??_);_(@_)"/>
    </dxf>
    <dxf>
      <alignment horizontal="center" readingOrder="0"/>
    </dxf>
    <dxf>
      <alignment horizontal="center" readingOrder="0"/>
    </dxf>
    <dxf>
      <alignment horizontal="center" readingOrder="0"/>
    </dxf>
    <dxf>
      <numFmt numFmtId="1" formatCode="0"/>
    </dxf>
    <dxf>
      <numFmt numFmtId="169" formatCode="0.0"/>
    </dxf>
    <dxf>
      <numFmt numFmtId="2" formatCode="0.00"/>
    </dxf>
    <dxf>
      <numFmt numFmtId="171" formatCode="0.000"/>
    </dxf>
    <dxf>
      <numFmt numFmtId="165" formatCode="&quot;$&quot;#,##0.00"/>
    </dxf>
  </dxfs>
  <tableStyles count="0" defaultTableStyle="TableStyleMedium2" defaultPivotStyle="PivotStyleLight16"/>
  <colors>
    <mruColors>
      <color rgb="FFFB5003"/>
      <color rgb="FFFF3300"/>
      <color rgb="FF672C94"/>
      <color rgb="FFF2B800"/>
      <color rgb="FFF6BB00"/>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1619249</xdr:colOff>
      <xdr:row>0</xdr:row>
      <xdr:rowOff>219075</xdr:rowOff>
    </xdr:from>
    <xdr:to>
      <xdr:col>1</xdr:col>
      <xdr:colOff>1533525</xdr:colOff>
      <xdr:row>0</xdr:row>
      <xdr:rowOff>1209675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142" t="25609" r="9044" b="23170"/>
        <a:stretch/>
      </xdr:blipFill>
      <xdr:spPr>
        <a:xfrm>
          <a:off x="1619249" y="219075"/>
          <a:ext cx="4210051" cy="9906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eff Gallant" id="{BAD1C07A-7106-4965-8DF7-DA7C049B01B8}" userId="S::Jeff.Gallant@usg.edu::25997235-6328-4fee-8f84-6a87050bf096" providerId="AD"/>
  <person displayName="Jeff Gallant" id="{550ADE2F-9F8F-4F5A-99BB-24C04B5B504F}" userId="S::jeff.gallant@usg.edu::25997235-6328-4fee-8f84-6a87050bf096"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ff Gallant" refreshedDate="44279.606234259256" createdVersion="6" refreshedVersion="6" minRefreshableVersion="3" recordCount="31" xr:uid="{00000000-000A-0000-FFFF-FFFF07000000}">
  <cacheSource type="worksheet">
    <worksheetSource name="Table2"/>
  </cacheSource>
  <cacheFields count="27">
    <cacheField name="Course" numFmtId="0">
      <sharedItems/>
    </cacheField>
    <cacheField name="Book Cost" numFmtId="165">
      <sharedItems containsSemiMixedTypes="0" containsString="0" containsNumber="1" containsInteger="1" minValue="0" maxValue="289"/>
    </cacheField>
    <cacheField name="OER Term Implemented" numFmtId="0">
      <sharedItems/>
    </cacheField>
    <cacheField name="ALG Funded? " numFmtId="0">
      <sharedItems/>
    </cacheField>
    <cacheField name="FY14 Enrollment" numFmtId="0">
      <sharedItems containsString="0" containsBlank="1" containsNumber="1" containsInteger="1" minValue="38" maxValue="693"/>
    </cacheField>
    <cacheField name="FY14 Savings" numFmtId="165">
      <sharedItems containsSemiMixedTypes="0" containsString="0" containsNumber="1" containsInteger="1" minValue="0" maxValue="34410"/>
    </cacheField>
    <cacheField name="FY15 Enrollment" numFmtId="0">
      <sharedItems containsString="0" containsBlank="1" containsNumber="1" containsInteger="1" minValue="57" maxValue="1248"/>
    </cacheField>
    <cacheField name="FY15 Savings" numFmtId="165">
      <sharedItems containsSemiMixedTypes="0" containsString="0" containsNumber="1" containsInteger="1" minValue="0" maxValue="135850"/>
    </cacheField>
    <cacheField name="FY16 Enrollment" numFmtId="0">
      <sharedItems containsString="0" containsBlank="1" containsNumber="1" containsInteger="1" minValue="117" maxValue="1996"/>
    </cacheField>
    <cacheField name="FY16 Savings" numFmtId="165">
      <sharedItems containsSemiMixedTypes="0" containsString="0" containsNumber="1" containsInteger="1" minValue="0" maxValue="213370"/>
    </cacheField>
    <cacheField name="Enrollment Summer 2016" numFmtId="0">
      <sharedItems containsString="0" containsBlank="1" containsNumber="1" containsInteger="1" minValue="0" maxValue="392"/>
    </cacheField>
    <cacheField name="Enrollment Fall 2016" numFmtId="0">
      <sharedItems containsString="0" containsBlank="1" containsNumber="1" containsInteger="1" minValue="56" maxValue="988"/>
    </cacheField>
    <cacheField name="Enrollment Spring 2017" numFmtId="0">
      <sharedItems containsString="0" containsBlank="1" containsNumber="1" containsInteger="1" minValue="50" maxValue="946"/>
    </cacheField>
    <cacheField name="FY2017 Enrollment" numFmtId="0">
      <sharedItems containsSemiMixedTypes="0" containsString="0" containsNumber="1" containsInteger="1" minValue="0" maxValue="2326"/>
    </cacheField>
    <cacheField name="FY2017 Savings" numFmtId="165">
      <sharedItems containsSemiMixedTypes="0" containsString="0" containsNumber="1" containsInteger="1" minValue="0" maxValue="276573"/>
    </cacheField>
    <cacheField name="Enrollment Summer 2017" numFmtId="1">
      <sharedItems containsString="0" containsBlank="1" containsNumber="1" containsInteger="1" minValue="0" maxValue="428"/>
    </cacheField>
    <cacheField name="Enrollment Fall 2017" numFmtId="1">
      <sharedItems containsString="0" containsBlank="1" containsNumber="1" containsInteger="1" minValue="51" maxValue="998"/>
    </cacheField>
    <cacheField name="Enrollment Spring 2018" numFmtId="1">
      <sharedItems containsString="0" containsBlank="1" containsNumber="1" containsInteger="1" minValue="43" maxValue="1125"/>
    </cacheField>
    <cacheField name="FY2018 Enrollment" numFmtId="1">
      <sharedItems containsSemiMixedTypes="0" containsString="0" containsNumber="1" containsInteger="1" minValue="0" maxValue="2547"/>
    </cacheField>
    <cacheField name="FY2018 OER Cost Savings" numFmtId="165">
      <sharedItems containsSemiMixedTypes="0" containsString="0" containsNumber="1" containsInteger="1" minValue="0" maxValue="530026"/>
    </cacheField>
    <cacheField name="Enrollment Summer 2018" numFmtId="1">
      <sharedItems containsSemiMixedTypes="0" containsString="0" containsNumber="1" containsInteger="1" minValue="0" maxValue="500"/>
    </cacheField>
    <cacheField name="Enrollment Fall 2018" numFmtId="1">
      <sharedItems containsSemiMixedTypes="0" containsString="0" containsNumber="1" containsInteger="1" minValue="0" maxValue="1277"/>
    </cacheField>
    <cacheField name="Enrollment Spring 2019" numFmtId="1">
      <sharedItems containsSemiMixedTypes="0" containsString="0" containsNumber="1" containsInteger="1" minValue="62" maxValue="1300"/>
    </cacheField>
    <cacheField name="FY2019 Enrollment" numFmtId="1">
      <sharedItems containsSemiMixedTypes="0" containsString="0" containsNumber="1" containsInteger="1" minValue="69" maxValue="3064"/>
    </cacheField>
    <cacheField name="FY2019 OER Cost Savings" numFmtId="165">
      <sharedItems containsSemiMixedTypes="0" containsString="0" containsNumber="1" containsInteger="1" minValue="0" maxValue="634644"/>
    </cacheField>
    <cacheField name="Total OER Cost Savings" numFmtId="165">
      <sharedItems containsSemiMixedTypes="0" containsString="0" containsNumber="1" containsInteger="1" minValue="0" maxValue="1441243"/>
    </cacheField>
    <cacheField name="Total Students" numFmtId="1">
      <sharedItems containsSemiMixedTypes="0" containsString="0" containsNumber="1" containsInteger="1" minValue="69" maxValue="1187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ff Gallant" refreshedDate="44287.553354861113" createdVersion="6" refreshedVersion="6" minRefreshableVersion="3" recordCount="452" xr:uid="{00000000-000A-0000-FFFF-FFFF06000000}">
  <cacheSource type="worksheet">
    <worksheetSource name="Table1"/>
  </cacheSource>
  <cacheFields count="113">
    <cacheField name="Grant #" numFmtId="0">
      <sharedItems containsMixedTypes="1" containsNumber="1" containsInteger="1" minValue="101" maxValue="561" count="453">
        <s v="002"/>
        <s v="006"/>
        <s v="007"/>
        <s v="008"/>
        <s v="010"/>
        <s v="013"/>
        <s v="014"/>
        <s v="016"/>
        <s v="017"/>
        <s v="018"/>
        <s v="023"/>
        <s v="024"/>
        <s v="027"/>
        <s v="029"/>
        <s v="030"/>
        <s v="031"/>
        <s v="033"/>
        <s v="034"/>
        <s v="036"/>
        <s v="037"/>
        <s v="038"/>
        <s v="039"/>
        <s v="041"/>
        <s v="042"/>
        <s v="043"/>
        <s v="044"/>
        <s v="045"/>
        <s v="046"/>
        <s v="047"/>
        <s v="048"/>
        <s v="061"/>
        <s v="064"/>
        <s v="068"/>
        <s v="076"/>
        <s v="081"/>
        <s v="082"/>
        <s v="083"/>
        <s v="092"/>
        <s v="096"/>
        <s v="098"/>
        <n v="101"/>
        <n v="102"/>
        <n v="103"/>
        <n v="104"/>
        <n v="107"/>
        <n v="108"/>
        <n v="109"/>
        <n v="111"/>
        <n v="113"/>
        <n v="114"/>
        <n v="116"/>
        <n v="118"/>
        <n v="119"/>
        <n v="120"/>
        <n v="122"/>
        <n v="125"/>
        <n v="126"/>
        <n v="127"/>
        <n v="128"/>
        <n v="129"/>
        <n v="130"/>
        <n v="132"/>
        <n v="133"/>
        <n v="134"/>
        <n v="135"/>
        <n v="136"/>
        <n v="137"/>
        <n v="138"/>
        <n v="139"/>
        <n v="140"/>
        <n v="141"/>
        <n v="142"/>
        <n v="143"/>
        <n v="145"/>
        <n v="147"/>
        <n v="150"/>
        <s v="151a"/>
        <s v="151b"/>
        <n v="154"/>
        <n v="155"/>
        <n v="156"/>
        <n v="157"/>
        <n v="159"/>
        <n v="160"/>
        <n v="162"/>
        <n v="165"/>
        <n v="167"/>
        <n v="168"/>
        <n v="169"/>
        <n v="172"/>
        <n v="174"/>
        <n v="175"/>
        <n v="177"/>
        <n v="178"/>
        <n v="180"/>
        <n v="181"/>
        <n v="182"/>
        <n v="183"/>
        <n v="193"/>
        <n v="196"/>
        <s v="204a"/>
        <s v="204b"/>
        <n v="206"/>
        <n v="210"/>
        <n v="213"/>
        <n v="218"/>
        <n v="219"/>
        <n v="221"/>
        <n v="225"/>
        <n v="229"/>
        <s v="231.a"/>
        <s v="231.b"/>
        <s v="231.c"/>
        <s v="231.d"/>
        <s v="231.e"/>
        <s v="231.f"/>
        <n v="232"/>
        <n v="234"/>
        <n v="235"/>
        <n v="237"/>
        <n v="238"/>
        <n v="240"/>
        <n v="241"/>
        <n v="242"/>
        <n v="243"/>
        <n v="244"/>
        <n v="245"/>
        <n v="246"/>
        <n v="255"/>
        <n v="259"/>
        <n v="261"/>
        <n v="264"/>
        <n v="268"/>
        <n v="270"/>
        <n v="272"/>
        <n v="274"/>
        <n v="276"/>
        <n v="277"/>
        <n v="279"/>
        <n v="280"/>
        <n v="281"/>
        <n v="283"/>
        <n v="285"/>
        <n v="291"/>
        <n v="292"/>
        <n v="294"/>
        <n v="296"/>
        <n v="300"/>
        <n v="302"/>
        <n v="304"/>
        <n v="308"/>
        <n v="309"/>
        <n v="312"/>
        <n v="313"/>
        <s v="314a"/>
        <s v="314b"/>
        <n v="315"/>
        <n v="316"/>
        <n v="317"/>
        <n v="318"/>
        <n v="319"/>
        <n v="320"/>
        <n v="323"/>
        <n v="324"/>
        <n v="326"/>
        <n v="328"/>
        <n v="329"/>
        <n v="330"/>
        <n v="332"/>
        <n v="333"/>
        <n v="334"/>
        <n v="335"/>
        <n v="336"/>
        <n v="337"/>
        <n v="338"/>
        <n v="339"/>
        <n v="340"/>
        <n v="341"/>
        <n v="342"/>
        <n v="343"/>
        <n v="344"/>
        <n v="345"/>
        <n v="347"/>
        <s v="M001"/>
        <s v="M002"/>
        <s v="M004"/>
        <s v="M005"/>
        <s v="M006"/>
        <s v="M007"/>
        <s v="M009"/>
        <s v="M010"/>
        <s v="M011"/>
        <n v="349"/>
        <n v="350"/>
        <n v="351"/>
        <n v="352"/>
        <n v="354"/>
        <n v="355"/>
        <n v="356"/>
        <n v="357"/>
        <n v="359"/>
        <n v="360"/>
        <n v="361"/>
        <n v="362"/>
        <n v="364"/>
        <n v="365"/>
        <n v="366"/>
        <n v="370"/>
        <s v="M013"/>
        <s v="M014"/>
        <s v="M015"/>
        <s v="M016"/>
        <s v="M017"/>
        <s v="M018"/>
        <s v="M020"/>
        <s v="M021"/>
        <s v="M022"/>
        <s v="M023"/>
        <s v="M024"/>
        <s v="M025"/>
        <s v="M026"/>
        <s v="M027"/>
        <s v="M028"/>
        <s v="M030"/>
        <s v="M031"/>
        <s v="M032"/>
        <s v="M033"/>
        <s v="374.a"/>
        <s v="374.b"/>
        <s v="374.c"/>
        <s v="374.d"/>
        <s v="374.e"/>
        <n v="375"/>
        <n v="377"/>
        <n v="378"/>
        <n v="379"/>
        <n v="380"/>
        <n v="381"/>
        <n v="382"/>
        <n v="383"/>
        <n v="385"/>
        <n v="386"/>
        <n v="387"/>
        <n v="389"/>
        <n v="391"/>
        <n v="392"/>
        <n v="394"/>
        <n v="396"/>
        <n v="397"/>
        <n v="399"/>
        <n v="401"/>
        <s v="M035"/>
        <s v="M036"/>
        <s v="M037"/>
        <s v="M038"/>
        <s v="M039"/>
        <s v="M040"/>
        <s v="M041"/>
        <s v="M042"/>
        <s v="M043"/>
        <s v="M044"/>
        <s v="M046"/>
        <s v="M047"/>
        <s v="M048"/>
        <s v="M050"/>
        <s v="M051"/>
        <s v="M052"/>
        <s v="M053"/>
        <s v="M054"/>
        <s v="M055"/>
        <s v="402.a"/>
        <s v="402.b"/>
        <s v="402.c"/>
        <s v="402.d"/>
        <s v="402.e"/>
        <s v="402.f"/>
        <n v="403"/>
        <n v="404"/>
        <n v="405"/>
        <n v="406"/>
        <n v="408"/>
        <n v="410"/>
        <n v="412"/>
        <n v="413"/>
        <n v="415"/>
        <n v="418"/>
        <n v="419"/>
        <n v="420"/>
        <n v="422"/>
        <n v="423"/>
        <n v="427"/>
        <n v="428"/>
        <n v="429"/>
        <n v="430"/>
        <n v="431"/>
        <s v="M058"/>
        <s v="M059"/>
        <s v="M060"/>
        <s v="M062"/>
        <s v="M063"/>
        <s v="M064"/>
        <s v="M065"/>
        <s v="M066"/>
        <s v="M067"/>
        <s v="M068"/>
        <s v="M069"/>
        <s v="M071"/>
        <s v="M073"/>
        <s v="M074"/>
        <n v="438"/>
        <n v="439"/>
        <n v="440"/>
        <n v="442"/>
        <n v="443"/>
        <n v="445"/>
        <n v="447"/>
        <n v="449"/>
        <n v="450"/>
        <n v="451"/>
        <n v="453"/>
        <n v="454"/>
        <n v="455"/>
        <n v="456"/>
        <n v="457"/>
        <n v="458"/>
        <n v="459"/>
        <n v="461"/>
        <n v="462"/>
        <n v="464"/>
        <n v="465"/>
        <n v="468"/>
        <n v="469"/>
        <n v="471"/>
        <s v="M75"/>
        <s v="M78"/>
        <s v="M79"/>
        <s v="M80"/>
        <s v="M81"/>
        <s v="M82"/>
        <s v="M83"/>
        <s v="M84"/>
        <s v="M85"/>
        <s v="M86"/>
        <s v="M87"/>
        <s v="M89"/>
        <s v="M90"/>
        <s v="M91"/>
        <s v="M92"/>
        <s v="M94"/>
        <n v="473"/>
        <n v="476"/>
        <n v="477"/>
        <n v="478"/>
        <n v="480"/>
        <n v="481"/>
        <n v="482"/>
        <n v="484"/>
        <n v="486"/>
        <n v="489"/>
        <n v="490"/>
        <n v="492"/>
        <n v="494"/>
        <n v="495"/>
        <n v="497"/>
        <n v="499"/>
        <n v="501"/>
        <s v="M096"/>
        <s v="M097"/>
        <s v="M098"/>
        <s v="M099"/>
        <s v="M100"/>
        <s v="M101"/>
        <s v="M102"/>
        <s v="M103"/>
        <s v="M105"/>
        <s v="M106"/>
        <s v="M107"/>
        <n v="502"/>
        <s v="504.a"/>
        <s v="504.b"/>
        <n v="506"/>
        <n v="507"/>
        <n v="508"/>
        <n v="509"/>
        <n v="516"/>
        <n v="517"/>
        <n v="518"/>
        <n v="519"/>
        <n v="520"/>
        <n v="521"/>
        <n v="522"/>
        <s v="M109"/>
        <s v="M110"/>
        <s v="M111"/>
        <s v="M113"/>
        <s v="M115"/>
        <s v="M117"/>
        <s v="M118"/>
        <s v="M119"/>
        <s v="M120"/>
        <s v="M121"/>
        <n v="523"/>
        <n v="524"/>
        <n v="525"/>
        <n v="526"/>
        <n v="527"/>
        <n v="528"/>
        <n v="532"/>
        <n v="534"/>
        <n v="537"/>
        <n v="538"/>
        <n v="540"/>
        <n v="544"/>
        <n v="546"/>
        <s v="M122"/>
        <s v="M123"/>
        <s v="M124"/>
        <s v="M126"/>
        <s v="M127"/>
        <s v="M128"/>
        <s v="M132"/>
        <s v="M133"/>
        <s v="M134"/>
        <n v="548"/>
        <n v="549"/>
        <n v="551"/>
        <n v="552"/>
        <n v="553"/>
        <n v="554"/>
        <n v="555"/>
        <n v="556"/>
        <n v="557"/>
        <n v="559"/>
        <n v="560"/>
        <n v="561"/>
        <s v="M135"/>
        <s v="M136"/>
        <s v="M137"/>
        <s v="M138"/>
        <s v="M139"/>
        <s v="M140"/>
        <s v="M141"/>
        <s v="M142"/>
        <s v="M143"/>
        <s v="M144"/>
        <s v="M145"/>
        <s v="M146"/>
        <s v="M147"/>
        <s v="M148"/>
        <s v="M149"/>
        <s v="M150"/>
        <s v="M151"/>
        <n v="504" u="1"/>
      </sharedItems>
    </cacheField>
    <cacheField name="Status" numFmtId="0">
      <sharedItems containsBlank="1"/>
    </cacheField>
    <cacheField name="Inst. Designer in open project" numFmtId="0">
      <sharedItems containsBlank="1"/>
    </cacheField>
    <cacheField name="PO #" numFmtId="0">
      <sharedItems containsBlank="1" containsMixedTypes="1" containsNumber="1" containsInteger="1" minValue="501058" maxValue="518110"/>
    </cacheField>
    <cacheField name="Payment Req 1" numFmtId="0">
      <sharedItems containsDate="1" containsBlank="1" containsMixedTypes="1" minDate="2014-03-03T00:00:00" maxDate="2019-05-03T00:00:00"/>
    </cacheField>
    <cacheField name="Payment Req 2" numFmtId="0">
      <sharedItems containsNonDate="0" containsDate="1" containsString="0" containsBlank="1" minDate="2015-04-17T00:00:00" maxDate="2019-05-09T00:00:00"/>
    </cacheField>
    <cacheField name="Round #" numFmtId="0">
      <sharedItems containsBlank="1" containsMixedTypes="1" containsNumber="1" containsInteger="1" minValue="10" maxValue="11"/>
    </cacheField>
    <cacheField name="Fiscal Year" numFmtId="0">
      <sharedItems containsBlank="1" containsMixedTypes="1" containsNumber="1" containsInteger="1" minValue="2016" maxValue="2016" count="9">
        <s v="2015"/>
        <s v="2016"/>
        <n v="2016"/>
        <s v="2017"/>
        <s v="2018"/>
        <s v="2019"/>
        <s v="2020"/>
        <m/>
        <s v="2021"/>
      </sharedItems>
    </cacheField>
    <cacheField name="Type" numFmtId="0">
      <sharedItems containsBlank="1" count="4">
        <s v="Standard/Large"/>
        <s v="Mini"/>
        <m u="1"/>
        <s v="Special" u="1"/>
      </sharedItems>
    </cacheField>
    <cacheField name="Institution " numFmtId="0">
      <sharedItems count="30">
        <s v="Middle Georgia State University"/>
        <s v="Kennesaw State University"/>
        <s v="University of Georgia"/>
        <s v="Dalton State College"/>
        <s v="Georgia State University"/>
        <s v="Valdosta State University"/>
        <s v="Georgia Southwestern State University"/>
        <s v="Georgia Southern University"/>
        <s v="Georgia Institute of Technology"/>
        <s v="East Georgia State College"/>
        <s v="University of North Georgia"/>
        <s v="Columbus State University"/>
        <s v="Albany State University"/>
        <s v="South Georgia State College"/>
        <s v="Georgia Highlands College"/>
        <s v="Augusta University"/>
        <s v="Georgia College &amp; State University"/>
        <s v="Gordon State College"/>
        <s v="Clayton State University"/>
        <s v="Fort Valley State University"/>
        <s v="College of Coastal Georgia"/>
        <s v="Georgia Gwinnett College"/>
        <s v="Savannah State University"/>
        <s v="University of West Georgia"/>
        <s v="Abraham Baldwin Agricultural College"/>
        <s v="Atlanta Metropolitan State College"/>
        <s v="Gordon State University" u="1"/>
        <s v="Georgia College and State University" u="1"/>
        <s v="Georgia Highland College" u="1"/>
        <s v="Kennesaw State University and the University of North Georgia" u="1"/>
      </sharedItems>
    </cacheField>
    <cacheField name="Total Award" numFmtId="0">
      <sharedItems containsString="0" containsBlank="1" containsNumber="1" minValue="1500" maxValue="30000"/>
    </cacheField>
    <cacheField name="Final Semester" numFmtId="0">
      <sharedItems containsBlank="1"/>
    </cacheField>
    <cacheField name="Project Lead" numFmtId="0">
      <sharedItems containsBlank="1" count="333">
        <s v="Julie Lester"/>
        <s v="Camille Payne"/>
        <s v="Lake Ritter"/>
        <s v="Loleta Sartin"/>
        <s v="Brian Dotts"/>
        <s v="Molly Zhou"/>
        <s v="William Johnson"/>
        <s v="Christine James"/>
        <s v="Timothy Henkel"/>
        <s v="Anthony Scheffler"/>
        <s v="Judy Grissett"/>
        <s v="Jared Schlieper"/>
        <s v="Young Choi"/>
        <s v="Tori Kearns"/>
        <s v="Seneca Vaught"/>
        <s v="Michael Goodroe"/>
        <s v="Susan Hrach"/>
        <s v="Anthony Cooper"/>
        <s v="Molly Smith"/>
        <s v="Mike Keleher"/>
        <s v="Arun Saha"/>
        <s v="Allen Dutch"/>
        <s v="Charlotte Chatto"/>
        <s v="Guangzhi Zheng"/>
        <s v="Amy Sandy"/>
        <s v="Lu Kang"/>
        <s v="Marcela Chiorescu"/>
        <s v="Matthew Roessing"/>
        <s v="Marina Smitherman"/>
        <s v="Wesley Venus"/>
        <s v="Susan Willey"/>
        <s v="Shaun Ault"/>
        <s v="Stephanie da Silva"/>
        <s v="Susan Burran"/>
        <s v="Jim Konzelman"/>
        <s v="Richard Stephens"/>
        <s v="Hema Mason"/>
        <s v="Wanjun Hu"/>
        <s v="Soumitra Chattopadhyay"/>
        <s v="Ru Story-Huffman"/>
        <s v="Charles Huffman"/>
        <s v="Jesse Zinn"/>
        <s v="Rebecca Weaver"/>
        <s v="Robin Snipes"/>
        <s v="Kelly McFaden"/>
        <s v="Samuel Mutiti"/>
        <s v="Jonathan Cannon "/>
        <s v="Samuel Cartwright"/>
        <s v="German Vargas"/>
        <s v="Megan Mittelstadt"/>
        <s v="Lei Li"/>
        <s v="Theresa Grove"/>
        <s v="Kevin Floyd"/>
        <s v="Hassan El-Najjar"/>
        <s v="Dr. Jenny Crisp"/>
        <s v="Barbara Tucker"/>
        <s v="Antoinette Miller"/>
        <s v="Chrissy Spencer"/>
        <s v="Brian Amsden"/>
        <s v="Jennifer Pitts"/>
        <s v="Deborah Liss-Green"/>
        <s v="Ginny Zhan"/>
        <s v="Tamara Powell"/>
        <s v="Shuhua Lai"/>
        <s v="Carlton Usher"/>
        <s v="Tatiana Krivosheev"/>
        <s v="J. Sean Callahan"/>
        <s v="Shayla Williams"/>
        <s v="Daniel Farr"/>
        <s v="Stephanie Harvey"/>
        <s v="Valerie Hastings"/>
        <s v="Michael Fuchs"/>
        <s v="Andrea Allen"/>
        <s v="Scott Jacques"/>
        <s v="Neal Smith"/>
        <s v="Chelda Smith"/>
        <s v="Jennifer Brown"/>
        <s v="Jocelyn Steward"/>
        <s v="Zephyrinus Okonkwo"/>
        <s v="Ellen Cotter"/>
        <s v="Cecil Jones"/>
        <s v="Mark Laughlin"/>
        <s v="Alicia Briganti"/>
        <s v="Mark Kunkel"/>
        <s v="Kathleen Barrett"/>
        <s v="DeLoris Hesse"/>
        <s v="Edwynn Wallace"/>
        <s v="Joseph Comeau"/>
        <s v="Minsu Kim"/>
        <s v="Dereth Drake"/>
        <s v="Sharon Pearcey"/>
        <s v="Chavonda Mills"/>
        <s v="Todd Mueller"/>
        <s v="Jason Davis"/>
        <s v="Bridget Melton"/>
        <s v="Tricia Brown"/>
        <s v="Chaogui Zhang"/>
        <s v="Ken Ellinger"/>
        <s v="Thomas Harnden"/>
        <s v="Georgina Hammock"/>
        <s v="Christina Wolfe"/>
        <s v="Chi Zhang"/>
        <s v="April Abbott"/>
        <s v="Gyuheui Choi"/>
        <s v="Jing Kersey"/>
        <s v="Alvina Atkinson"/>
        <s v="Melanie Largin"/>
        <s v="Sheryne Southard"/>
        <s v="Mariana Stone"/>
        <s v="Shana Kerr"/>
        <s v="Dee McKinney"/>
        <s v="Thomas Gonzalez"/>
        <s v="Dovile Budryte"/>
        <s v="Brian Pope"/>
        <s v="Francis Flaherty"/>
        <s v="Martiana Sega"/>
        <s v="Barbara Hall"/>
        <s v="Colleen Knight"/>
        <s v="Lea Padgett"/>
        <s v="Hashim Saber"/>
        <s v="Lisa Jellum"/>
        <s v="Da'Mon Andrews"/>
        <s v="Jason Allard"/>
        <s v="Larry Gibson"/>
        <s v="Christopher Ward"/>
        <s v="Scott Kersey"/>
        <s v="David Dorrell"/>
        <s v="Hongjie Wang"/>
        <s v="Federica Goldoni"/>
        <s v="Amanda Rees"/>
        <s v="Constantin Ogloblin"/>
        <s v="Thomas Anderson"/>
        <s v="Janice Crook-Hill"/>
        <s v="Jayme Feagin"/>
        <s v="Sarah Tesar"/>
        <s v="Teresa Adams"/>
        <s v="Jason Christian"/>
        <s v="Patty Wagner"/>
        <s v="Evelina Sterling"/>
        <s v="Tiffani Reardon"/>
        <s v="Shuting Xu"/>
        <s v="Donna Governor"/>
        <s v="Anita Turlington"/>
        <s v="Lacy Hodges"/>
        <s v="April Kay"/>
        <s v="Elizabeth Dose"/>
        <s v="Sharryse Henderson"/>
        <s v="Jia Lu"/>
        <s v="Travis McKie-Voerste"/>
        <s v="Patcharin Marion"/>
        <s v="Meng Han"/>
        <s v="William Baird"/>
        <s v="Lily Zheng"/>
        <s v="Kasey Karen"/>
        <s v="Jeffrey Yunek"/>
        <s v="Sarah Hepler"/>
        <s v="Katie Bridges"/>
        <s v="Juanjuan Peng"/>
        <s v="Susan Finazzo"/>
        <s v="Rebecca Rutherfoord"/>
        <s v="Camille Pace"/>
        <s v="Dr. Deena McKinney"/>
        <s v="Norbert Pienta"/>
        <s v="Charity Bryan"/>
        <s v="Kencho Tenzin"/>
        <s v="Lindsey Hand"/>
        <s v="Sherry Green"/>
        <s v="James Castle"/>
        <s v="Jacqueline Belwood"/>
        <s v="Ru Story Huffman"/>
        <s v="Barbara G. Tucker"/>
        <s v="Edward Forringer"/>
        <s v="Dr. Kathleen Dolan"/>
        <s v="Amber K. Lupo"/>
        <s v="Gary Fisk, Ph.D."/>
        <s v="Althea Moser"/>
        <s v="Michael Lewkowicz"/>
        <s v="Jennifer P. Pitts"/>
        <s v="Dr. Carol Hoban"/>
        <s v="Hashim A Saber"/>
        <s v="Aurora Ramos Nunez"/>
        <s v="Dr. Sarah Tesar"/>
        <s v="Judy Orton Grissett"/>
        <s v="Rebecca Gerdes-McClain  "/>
        <s v="Sue Mastrario"/>
        <s v="J. Franklin Williamson "/>
        <s v="Yong Shi"/>
        <s v="Dawn Baunach"/>
        <s v="Paul Hadavas"/>
        <s v="Anne Gaquere-Parker"/>
        <s v="Yan Yang"/>
        <s v="Brett Larson"/>
        <s v="Antara Dutta"/>
        <s v="Craig Soaries"/>
        <s v="Peter Higgins"/>
        <s v="Soma Mukhopadhyay"/>
        <s v="Candice Chatman"/>
        <s v="Reza Parizi"/>
        <s v="Andrea Scapolo"/>
        <s v="Gwendolyn Michelle Boyce"/>
        <s v="Shreyas Desai"/>
        <s v="Kimberly Subacz"/>
        <s v="Brandy Rogers"/>
        <s v="Mark Pergrem"/>
        <s v="Levent Bulut"/>
        <s v="Sandip Das"/>
        <s v="Dr. Chi Zhang"/>
        <s v="Jenny Crisp"/>
        <s v="Patcharin Tragoonsirisak Marion"/>
        <s v="Hyrum D. Carroll"/>
        <s v="Natalie Stickney"/>
        <s v="Hossain Shahriar"/>
        <s v="Aisha Adams"/>
        <s v="D. Jason Slone"/>
        <s v="H. Robert Baker"/>
        <s v="Janice Hume"/>
        <s v="Andrew Owsiak"/>
        <s v="Montgomery Wolf"/>
        <s v="Peggy Elliott"/>
        <s v="Hyesung Park"/>
        <s v="Sherly Abraham"/>
        <s v="Gregory Gullette"/>
        <s v="Yi Ding"/>
        <s v="Lixin Li"/>
        <s v="Sherika Derico"/>
        <s v="Kimberly Shaw"/>
        <s v="Rosa Williams"/>
        <s v="Aselia Urmanbetova"/>
        <s v="Christopher Saldana"/>
        <s v="Gwendolyn Boyce"/>
        <s v="Esther Morgan-Ellis"/>
        <s v="Quintero Moore"/>
        <s v="Deon OBryant"/>
        <s v="Yelizaveta Moss"/>
        <s v="Jasmine Crumsey Forde"/>
        <s v="Dr. Guangzhi Zheng"/>
        <s v="Deborah Lee, M.S."/>
        <s v="Dr. Kyle Chapman"/>
        <s v="Suzanne Ellenberger"/>
        <s v="Lisa Connell"/>
        <s v="Kathryn Morris Dye"/>
        <s v="Clément Aubert"/>
        <s v="Rabia Shahbaz"/>
        <s v="John Weatherford"/>
        <s v="Jacobus Boers"/>
        <s v="Lydia Ray"/>
        <s v="Selena He"/>
        <s v="Aubrey Dyer"/>
        <s v="Tom Aiello"/>
        <s v="Rachel Epstein"/>
        <s v="Cyntoria Johnson"/>
        <s v="William Bogner"/>
        <s v="Brian Ray"/>
        <s v="Thomas Colbert"/>
        <s v="Inseok Song"/>
        <s v="Shainaz Landge"/>
        <s v="Darren Broome"/>
        <s v="Michael Cotterell"/>
        <s v="Neil Boumpani"/>
        <s v="Beulah Narendrapurapu"/>
        <s v="Mohamed Jamaloodeen"/>
        <s v="Jayme Akers Feagin"/>
        <s v="Mark E. Knauss"/>
        <s v="Dr. Reza Parizi"/>
        <s v="Tashia Caughran"/>
        <s v="Kim Correll"/>
        <s v="Donald Wayne Suggs"/>
        <s v="Michael J. Dancs"/>
        <s v="Jack Zheng"/>
        <s v="Shoshana Katzman"/>
        <s v="Rodger Bates"/>
        <s v="Shane Peterson"/>
        <s v="Daniel Mancill"/>
        <s v="Cengiz Gunay"/>
        <s v="Julia Farmer"/>
        <s v="Shantanu Chakraborty"/>
        <s v="Shafat Mubin"/>
        <s v="Samuel Dolo"/>
        <s v="Paola Spoletini"/>
        <s v="James Rutherfoord"/>
        <s v="Joycelyn Streator"/>
        <s v="Todd Lindley"/>
        <s v="Sarah North"/>
        <s v="Ulrike Ingram"/>
        <m/>
        <s v="Priya Goeser"/>
        <s v="Skanda Vivek"/>
        <s v="Lin Li"/>
        <s v="Geoffrey Graybeal"/>
        <s v="William Muse"/>
        <s v="Christine Whitlock"/>
        <s v="Houbin Fang"/>
        <s v="Jung Ha Kim "/>
        <s v="Uttam Kokil"/>
        <s v="Beth Mauldin"/>
        <s v="Sherry Serdikoff"/>
        <s v="Susan McFarlane-Alvarez"/>
        <s v="Tara Suswal"/>
        <s v="Rebecca Collins"/>
        <s v="Lisa Yount"/>
        <s v="Amy Erickson"/>
        <s v="Jan Ligon"/>
        <s v="Elizabeth Pope"/>
        <s v="Scott Sykes"/>
        <s v="Lisa Gezon"/>
        <s v="Megumi Fujita"/>
        <s v="Dennis Miller"/>
        <s v="Kaleigh Kendrick"/>
        <s v="John Meyers"/>
        <s v="Umar Khokhar"/>
        <s v="Julie La Corte"/>
        <s v="Jenni Halpin"/>
        <s v="Renata Creekmur"/>
        <s v="Amanda Nichols"/>
        <s v="Antonio Velazquez"/>
        <s v="Brett Matherne"/>
        <s v="James H. Murphy"/>
        <s v="Ariel Cornett"/>
        <s v="Jessica Traylor"/>
        <s v="Katherine Pinzon"/>
        <s v="Dr. Nancy Gup"/>
        <s v="Dr. Antara Dutta"/>
        <s v="Anastasia Angelopoulou"/>
        <s v="Dmitriy Beznosko"/>
        <s v="Shuguang Hong"/>
        <s v="George L. Israel"/>
        <s v="Banhi Nandi"/>
        <s v="Anca Doloc Mihu"/>
        <s v="Dr. Laura K. Clark Hunt"/>
        <s v="Benjamin K. Wadsworth"/>
        <s v="Jean Mangan"/>
        <s v="Charles Fox" u="1"/>
        <s v="Martha Fulk" u="1"/>
      </sharedItems>
    </cacheField>
    <cacheField name="Email Address" numFmtId="0">
      <sharedItems containsBlank="1" count="324">
        <s v="julie.lester@mga.edu"/>
        <s v="lpayne3@kennesaw.edu"/>
        <s v="lritter@kennesaw.edu"/>
        <s v="loleta.sartin@mga.edu"/>
        <s v="bdotts@uga.edu"/>
        <s v="mzhou@daltonstate.edu"/>
        <s v="william.johnson@gpc.edu"/>
        <s v="chjames@valdosta.edu"/>
        <s v="tphenkel@valdosta.edu"/>
        <s v="ajscheffler@valdosta.edu"/>
        <s v="judy.grissett@gsw.edu"/>
        <s v="jared.schlieper@armstrong.edu"/>
        <s v="christina.choi@gatech.edu"/>
        <s v="tkearns@ega.edu"/>
        <s v="svaught3@kennesaw.edu"/>
        <s v="michael.goodroe@ung.edu"/>
        <s v="hrach_susan@columbusstate.edu"/>
        <s v="anthony.cooper@asurams.edu"/>
        <s v="molly.smith@sgsc.edu"/>
        <s v="mkeleher@kennesaw.edu"/>
        <s v="arun.saha@asurams.edu"/>
        <s v="adutch@highlands.edu"/>
        <s v="cchatto@augusta.edu"/>
        <s v="gzheng@kennesaw.edu"/>
        <s v="sandy_amy@columbusstate.edu"/>
        <s v="lkang1@kennesaw.edu"/>
        <s v="marcela.chiorescu@gcsu.edu"/>
        <s v="matt.roessing@gcsu.edu"/>
        <s v="msmitherman@daltonstate.edu"/>
        <s v="wvenus@gordonstate.edu"/>
        <s v="willey@gsu.edu"/>
        <s v="svault@valdosta.edu"/>
        <s v="dasilva_stephanie@columbusstate.edu"/>
        <s v="sburran@daltonstate.edu"/>
        <s v="jim.konzelman@ung.edu"/>
        <s v="stephens_richard2@columbusstate.edu"/>
        <s v="hema.mason@asurams.edu"/>
        <s v="wanjun.hu@asurams.edu"/>
        <s v="schattop@highlands.edu"/>
        <s v="ru.story-huffman@gsw.edu"/>
        <s v="charles.huffman@gsw.edu"/>
        <s v="jessezinn@clayton.edu"/>
        <s v="rweaver@gsu.edu"/>
        <s v="snipes_robin@columbusstate.edu"/>
        <s v="kmcfaden@ung.edu"/>
        <s v="samuel.mutiti@gcsu.edu"/>
        <s v="jonathan.cannon@mga.edu"/>
        <s v="scartwright@fvsu.edu"/>
        <s v="gvargas@ccga.edu"/>
        <s v="megan.mittelstadt@uga.edu"/>
        <s v="lli13@kennesaw.edu"/>
        <s v="tjgrove@valdosta.edu"/>
        <s v="kevin.floyd@mga.edu"/>
        <s v="helnajjar@daltonstate.edu"/>
        <s v="jcrisp@daltonstate.edu"/>
        <s v="btucker@daltonstate.edu"/>
        <s v="antoinettemiller@clayton.edu"/>
        <s v="chrissy.spencer@biology.gatech.edu"/>
        <s v="bamsden@clayton.edu"/>
        <s v="pitts_jennifer@columbusstate.edu"/>
        <s v="deborah.lissgreen@darton.edu"/>
        <s v="gzhan@kennesaw.edu"/>
        <s v="tpowel25@kennesaw.edu"/>
        <s v="slai@ggc.edu"/>
        <s v="cusher@kennesaw.edu"/>
        <s v="tatianakrivosheev@clayton.edu"/>
        <s v="scallaha@highlands.edu"/>
        <s v="shayla.williams@asurams.edu"/>
        <s v="dfarr4@kennesaw.edu"/>
        <s v="stephanie.harvey@gsw.edu"/>
        <s v="vthastings@ung.edu"/>
        <s v="MichaelFuchs@Clayton.edu"/>
        <s v="andreaallen@clayton.edu"/>
        <s v="sjacques1@gsu.edu"/>
        <s v="nsmith12@augusta.edu"/>
        <s v="cheldasmith@georgiasouthern.edu"/>
        <s v="brown_jennifer2@columbusstate.edu"/>
        <s v="jocelynsteward@clayton.edu"/>
        <s v="Zephyrinus.Okonkwo@asurams.edu"/>
        <s v="ellen.cotter@gsw.edu"/>
        <s v="jonesce@savannahstate.edu"/>
        <s v="Mark.Laughlin@gsw.edu"/>
        <s v="abriganti@daltonstate.edu"/>
        <s v="fgallag1@my.westga.edu"/>
        <s v="kbarrett@westga.edu"/>
        <s v="hesse@uga.edu"/>
        <s v="edwynn.wallace@mga.edu"/>
        <s v="joseph.comeau@gsw.edu"/>
        <s v="Minsu.kim@ung.edu"/>
        <s v="djdrake@valdosta.edu"/>
        <s v="spearcey@kennesaw.edu"/>
        <s v="Chavonda.Mills@gcsu.edu"/>
        <s v="tmueller@ggc.edu"/>
        <s v="jasondavis@clayton.edu"/>
        <s v="bmelton@georgiasouthern.edu"/>
        <s v="tmbrown@georgiasouthern.edu"/>
        <s v="ChaoguiZhang@clayton.edu"/>
        <s v="kellinger@daltonstate.edu"/>
        <s v="tharnden@highlands.edu"/>
        <s v="ghammock@gru.edu"/>
        <s v="cwolfe@highlands.edu"/>
        <s v="chizhang@kennesaw.edu"/>
        <s v="aabbott@abac.edu"/>
        <s v="gchoi@atlm.edu"/>
        <s v="jkersey@ega.edu"/>
        <s v="aatkinso@ggc.edu"/>
        <s v="mlargin@highlands.edu"/>
        <s v="SheryneSouthard@clayton.edu"/>
        <s v="Mariana.Stone@ung.edu"/>
        <s v="shana.kerr@biosci.gatech.edu"/>
        <s v="dmckinney@ega.edu"/>
        <s v="tgonzalez@daltonstate.edu"/>
        <s v="dbudryte@ggc.edu"/>
        <s v="bpope@ccga.edu"/>
        <s v="flaherty@valdosta.edu"/>
        <s v="msega@ega.edu"/>
        <s v="cartwris@fvsu.edu"/>
        <s v="bhall12@gsu.edu"/>
        <s v="cknight@ccga.edu"/>
        <s v="lpadgett@georgiasouthern.edu"/>
        <s v="hashim.saber@ung.edu"/>
        <s v="ljellum@highlands.edu"/>
        <s v="dandrews@ega.edu"/>
        <s v="jmallard@valdosta.edu"/>
        <s v="larry.gibson@ung.edu"/>
        <s v="christopherward@clayton.edu"/>
        <s v="skersey@georgiasouthern.edu"/>
        <s v="ddorrell@ggc.edu"/>
        <s v="hongjie.wang@armstrong.edu"/>
        <s v="fgoldoni@ggc.edu"/>
        <s v="rees_amanda@columbusstate.edu"/>
        <s v="coglobli@georgiasouthern.edu"/>
        <s v="mkunkel@westga.edu"/>
        <s v="tanderson47@gsu.edu"/>
        <s v="janice.crook-hill@ung.edu"/>
        <s v="jfeagin@highlands.edu"/>
        <s v="stesar@highlands.edu"/>
        <s v="tadams40@gsu.edu"/>
        <s v="jachrist@highlands.edu"/>
        <s v="patty.wagner@ung.edu"/>
        <s v="esterlin@kennesaw.edu"/>
        <s v="treardo2@kennesaw.edu"/>
        <s v="sxu@ggc.edu"/>
        <s v="donna.governor@ung.edu"/>
        <s v="anita.turlington@ung.edu"/>
        <s v="lacy.hodges@gatech.edu"/>
        <s v="akay@daltonstate.edu"/>
        <s v="edose@highlands.edu"/>
        <s v="shenders@highlands.edu"/>
        <s v="jlu@valdosta.edu"/>
        <s v="tmckie@daltonstate.edu"/>
        <s v="tragoonsirisakp@fvsu.edu"/>
        <s v="mhan9@kennesaw.edu"/>
        <s v="william.baird@armstrong.edu"/>
        <s v="liqiu.zheng@asurams.edu"/>
        <s v="kasey.karen@gcsu.edu"/>
        <s v="jyunek@kennesaw.edu"/>
        <s v="shepler2@gsu.edu"/>
        <s v="kbridges@highlands.edu"/>
        <s v="jpeng@georgiasouthern.edu"/>
        <s v="sfinazzo@gsu.edu"/>
        <s v="brutherf@kennesaw.edu"/>
        <s v="cpace@highlands.edu"/>
        <s v="npienta@uga.edu"/>
        <s v="cbryan4@kennesaw.edu"/>
        <s v="ktenzin@highlands.edu"/>
        <s v="lhand4@kennesaw.edu"/>
        <s v="shgreen@highlands.edu"/>
        <s v="jcastle@uga.edu"/>
        <s v="jbelwood@highlands.edu"/>
        <s v="eforring@ggc.edu"/>
        <s v="kdolan@gsu.edu"/>
        <s v="lupo_amber@columbusstate.edu"/>
        <s v="gary.fisk@gsw.edu"/>
        <s v="amoser@highlands.edu"/>
        <s v="mlewkowi@ggc.edu "/>
        <s v="choban@highlands.edu"/>
        <s v="aramosnunez@ccga.edu"/>
        <s v="gerdesmcclain_rebecca@columbusstate.edu"/>
        <s v="cfox4@gsu.edu"/>
        <s v="smastrario@abac.edu"/>
        <s v="fwilliamson@gordonstate.edu"/>
        <s v="yshi5@kennesaw.edu"/>
        <s v="dbaunach@kennesaw.edu"/>
        <s v="phadavas@georgiasouthern.edu"/>
        <s v="agaquere@westga.edu"/>
        <s v="yyang@westga.edu"/>
        <s v="blarson@ega.edu"/>
        <s v="wbaird@georgiasouthern.edu"/>
        <s v="adutta@gsu.edu"/>
        <s v="csoaries@gordonstate.edu"/>
        <s v="phiggins@gordonstate.edu"/>
        <s v="smukhopadhyay@augusta.edu"/>
        <s v="cflowe@atlm.edu"/>
        <s v="rparizi1@kennesaw.edu"/>
        <s v="ascapolo@kennesaw.edu"/>
        <s v="mboyce@highlands.edu"/>
        <s v="sdesai@atlm.edu"/>
        <s v="lli@kennesaw.edu"/>
        <s v="ksubacz@highlands.edu"/>
        <s v="brogers@highlands.edu"/>
        <s v="mpergrem@highlands.edu"/>
        <s v="lbulut@valdosta.edu"/>
        <s v="sdas2@kennesaw.edu"/>
        <s v="czhang4@kennesaw.edu"/>
        <s v="carroll_hyrum@columbusstate.edu"/>
        <s v="nstickney@gsu.edu"/>
        <s v="hshahria@kennesaw.edu"/>
        <s v="adams_aisha@columbusstate.edu"/>
        <s v="dslone@georgiasouthern.edu"/>
        <s v="robertbaker@gsu.edu"/>
        <s v="jhume@uga.edu"/>
        <s v="aowsiak@uga.edu"/>
        <s v="mwolf@uga.edu"/>
        <s v="peggy.elliott@gcsu.edu"/>
        <s v="hpark7@ggc.edu"/>
        <s v="sabraham1@ggc.edu"/>
        <s v="ggullette@ggc.edu"/>
        <s v="yding1@ggc.edu"/>
        <s v="lli@georgiasouthern.edu"/>
        <s v="derico_sherika@columbusstate.edu"/>
        <s v="shaw_kimberly@columbusstate.edu"/>
        <s v="williams_rosa@columbusstate.edu"/>
        <s v="aselia.urmanbetova@gatech.edu"/>
        <s v="christopher.saldana@me.gatech.edu"/>
        <s v="esther.morgan-ellis@ung.edu"/>
        <s v="qmoore@atlm.edu"/>
        <s v="dobryant@atlm.edu"/>
        <s v="ygmoss@ung.edu"/>
        <s v="jcrumsey@uga.edu"/>
        <s v="dlee@ega.edu"/>
        <s v="kc31223@uga.edu"/>
        <s v="suzanne.ellenberger@uga.edu"/>
        <s v="lconnell@westga.edu"/>
        <s v="kathryn.dye@sgsc.edu"/>
        <s v="caubert@augusta.edu"/>
        <s v="rshahbaz@ggc.edu"/>
        <s v="johnweatherford@uga.edu"/>
        <s v="jboers@gsu.edu"/>
        <s v="ray_lydia@columbusstate.edu"/>
        <s v="she4@kennesaw.edu"/>
        <s v="aubreydyer@clayton.edu"/>
        <s v="taiello@gordonstate.edu"/>
        <s v="rachel.epstein@gcsu.edu"/>
        <s v="cjohnson5@gsu.edu"/>
        <s v="wbogner@gsu.edu"/>
        <s v="bray@abac.edu"/>
        <s v="tcolbert@augusta.edu"/>
        <s v="song@uga.edu"/>
        <s v="slandge@georgiasouthern.edu"/>
        <s v="dbroome@gordonstate.edu"/>
        <s v="mepcott@uga.edu"/>
        <s v="nboumpani@gordonstate.edu"/>
        <s v="bnarendrapurapu@georgiasouthern.edu"/>
        <s v="mjamaloo@ggc.edu"/>
        <s v="mknauss@highlands.edu"/>
        <s v="tashia.caughran@ung.edu"/>
        <s v="kcorrell@daltonstate.edu"/>
        <s v="dwsuggs@uga.edu"/>
        <s v="michaeldancs@clayton.edu"/>
        <s v="skatzman@ggc.edu"/>
        <s v="rodgerbates@clayton.edu"/>
        <s v="speter71@kennesaw.edu"/>
        <s v="dmancill@ega.edu"/>
        <s v="cgunay@ggc.edu"/>
        <s v="jfarmer@westga.edu"/>
        <s v="shchakraborty@valdosta.edu"/>
        <s v="smubin@valdosta.edu"/>
        <s v="dolos@savannahstate.edu"/>
        <s v="pspoleti@kennesaw.edu"/>
        <s v="jruther3@kennesaw.edu"/>
        <s v="jstreator@ggc.edu"/>
        <s v="tlindley1@ggc.edu"/>
        <s v="snorth@kennesaw.edu"/>
        <s v="uingram@kennesaw.edu"/>
        <m/>
        <s v="pgoeser@georgiasouthern.edu"/>
        <s v="chakes@ggc.edu"/>
        <s v="lli19@kennesaw.edu"/>
        <s v="lletbetter@gsu.edu"/>
        <s v="muse_william@columbusstate.edu"/>
        <s v="cwhitlock@georgiasouthern.edu"/>
        <s v="anilkumar.devarapu@asurams.edu"/>
        <s v="fang_houbin@columbusstate.edu"/>
        <s v="jhkim@gsu.edu"/>
        <s v="ukokil@kennesaw.edu"/>
        <s v="aselia@gatech.edu"/>
        <s v="bmauldi1@ggc.edu"/>
        <s v="serdikoffs@savannahstate.edu"/>
        <s v="susanmcfarlane-alvarez@clayton.edu"/>
        <s v="tsuswal@highlands.edu"/>
        <s v="rriggs@georgiasouthern.edu"/>
        <s v="yountl@savannahstate.edu"/>
        <s v="aerickso@ggc.edu"/>
        <s v="jligon@gsu.edu"/>
        <s v="epope@westga.edu"/>
        <s v="ssykes@westga.edu"/>
        <s v="lgezon@westga.edu"/>
        <s v="mfujita@westga.edu"/>
        <s v="dennismiller@clayton.edu"/>
        <s v="kkendri3@kennesaw.edu"/>
        <s v="JohnMeyers@clayton.edu"/>
        <s v="ukhokhar@ggc.edu"/>
        <s v="jlacorte@gsu.edu"/>
        <s v="halpinj@savannahstate.edu"/>
        <s v="rcreekmu@kennesaw.edu"/>
        <s v="amnichol@highlands.edu"/>
        <s v="velazqueza@savannahstate.edu"/>
        <s v="bmatherne@gsu.edu"/>
        <s v="jmurphy@westga.edu"/>
        <s v="kcornett@georgiasouthern.edu"/>
        <s v="jtraylor1@gordonstate.edu"/>
        <s v="kpinzon@ggc.edu"/>
        <s v="ngup@gsu.edu"/>
        <s v="angelopoulou_anastasia@columbusstate.edu"/>
        <s v="dmitriybeznosko@clayton.edu"/>
        <s v="shong@gsu.edu"/>
        <s v="larry.israel@mga.edu"/>
        <s v="banhinandi@gmail.com"/>
        <s v="adolocmihu@ggc.edu"/>
        <s v="Laura.Clark@abac.edu"/>
        <s v="bwadswo2@kennesaw.edu"/>
        <s v="jmangan@uga.edu"/>
        <s v="mnega1@gsu.edu" u="1"/>
      </sharedItems>
    </cacheField>
    <cacheField name="Course Names" numFmtId="0">
      <sharedItems containsBlank="1" containsMixedTypes="1" containsNumber="1" containsInteger="1" minValue="0" maxValue="0" longText="1"/>
    </cacheField>
    <cacheField name="Course Numbers" numFmtId="0">
      <sharedItems containsBlank="1" containsMixedTypes="1" containsNumber="1" containsInteger="1" minValue="0" maxValue="0"/>
    </cacheField>
    <cacheField name="Subject Area" numFmtId="164">
      <sharedItems containsBlank="1"/>
    </cacheField>
    <cacheField name="Core Curriculum" numFmtId="164">
      <sharedItems containsBlank="1"/>
    </cacheField>
    <cacheField name="Created Materials" numFmtId="0">
      <sharedItems containsBlank="1"/>
    </cacheField>
    <cacheField name="OpenStax? " numFmtId="0">
      <sharedItems containsBlank="1"/>
    </cacheField>
    <cacheField name="Materials Adopted or Adapted" numFmtId="0">
      <sharedItems containsBlank="1" containsMixedTypes="1" containsNumber="1" containsInteger="1" minValue="0" maxValue="0"/>
    </cacheField>
    <cacheField name="Final Report: Perceptions" numFmtId="0">
      <sharedItems containsBlank="1" count="8">
        <s v="Neutral"/>
        <s v="Negative"/>
        <s v="Positive"/>
        <s v="Not Measured"/>
        <s v="Duplicate"/>
        <s v="In Progress"/>
        <m/>
        <s v="n/a" u="1"/>
      </sharedItems>
    </cacheField>
    <cacheField name="Final Report: Outcomes" numFmtId="0">
      <sharedItems containsBlank="1"/>
    </cacheField>
    <cacheField name="Final Report: Retention" numFmtId="0">
      <sharedItems containsBlank="1"/>
    </cacheField>
    <cacheField name="Annual Savings" numFmtId="0">
      <sharedItems containsBlank="1" containsMixedTypes="1" containsNumber="1" minValue="0" maxValue="1169666"/>
    </cacheField>
    <cacheField name="Annual Students" numFmtId="0">
      <sharedItems containsBlank="1" containsMixedTypes="1" containsNumber="1" minValue="0" maxValue="17874"/>
    </cacheField>
    <cacheField name="Savings Per Student" numFmtId="0">
      <sharedItems containsBlank="1" containsMixedTypes="1" containsNumber="1" minValue="0" maxValue="485.55092592592592"/>
    </cacheField>
    <cacheField name="Students Per Summer" numFmtId="0">
      <sharedItems containsBlank="1" containsMixedTypes="1" containsNumber="1" minValue="0" maxValue="5800"/>
    </cacheField>
    <cacheField name="Students Per Fall" numFmtId="0">
      <sharedItems containsBlank="1" containsMixedTypes="1" containsNumber="1" minValue="0" maxValue="8928"/>
    </cacheField>
    <cacheField name="Students Per Spring" numFmtId="0">
      <sharedItems containsBlank="1" containsMixedTypes="1" containsNumber="1" minValue="0" maxValue="6880"/>
    </cacheField>
    <cacheField name="1st Implementation Sem." numFmtId="0">
      <sharedItems containsBlank="1" containsMixedTypes="1" containsNumber="1" containsInteger="1" minValue="0" maxValue="0"/>
    </cacheField>
    <cacheField name="Scaled Up? " numFmtId="0">
      <sharedItems containsBlank="1"/>
    </cacheField>
    <cacheField name="Scaling Up Grant Number" numFmtId="0">
      <sharedItems containsBlank="1" containsMixedTypes="1" containsNumber="1" containsInteger="1" minValue="102" maxValue="486"/>
    </cacheField>
    <cacheField name="Update Occurs" numFmtId="0">
      <sharedItems containsBlank="1"/>
    </cacheField>
    <cacheField name="Sustainability Check 1 (2017-2018) Status" numFmtId="0">
      <sharedItems containsBlank="1"/>
    </cacheField>
    <cacheField name="Spring 2015 Students" numFmtId="1">
      <sharedItems containsMixedTypes="1" containsNumber="1" minValue="0" maxValue="1896"/>
    </cacheField>
    <cacheField name="Spring 2015 Savings" numFmtId="0">
      <sharedItems containsBlank="1" containsMixedTypes="1" containsNumber="1" minValue="0" maxValue="350058.48"/>
    </cacheField>
    <cacheField name="Total AY 2014-2015 Students" numFmtId="0">
      <sharedItems containsBlank="1" containsMixedTypes="1" containsNumber="1" minValue="0" maxValue="1896"/>
    </cacheField>
    <cacheField name="Total AY 2014-2015 Savings" numFmtId="0">
      <sharedItems containsMixedTypes="1" containsNumber="1" minValue="0" maxValue="350058.48"/>
    </cacheField>
    <cacheField name="Summer 2015 Students" numFmtId="0">
      <sharedItems containsMixedTypes="1" containsNumber="1" minValue="0" maxValue="1896"/>
    </cacheField>
    <cacheField name="Summer 2015 Savings" numFmtId="0">
      <sharedItems containsMixedTypes="1" containsNumber="1" minValue="0" maxValue="350058.48"/>
    </cacheField>
    <cacheField name="Fall 2015 Students" numFmtId="0">
      <sharedItems containsMixedTypes="1" containsNumber="1" minValue="0" maxValue="1896"/>
    </cacheField>
    <cacheField name="Fall 2015 Savings" numFmtId="0">
      <sharedItems containsMixedTypes="1" containsNumber="1" minValue="0" maxValue="350058.48"/>
    </cacheField>
    <cacheField name="Spring 2016 Students" numFmtId="0">
      <sharedItems containsBlank="1" containsMixedTypes="1" containsNumber="1" minValue="0" maxValue="1896"/>
    </cacheField>
    <cacheField name="Spring 2016 Savings" numFmtId="0">
      <sharedItems containsMixedTypes="1" containsNumber="1" minValue="0" maxValue="350058.48"/>
    </cacheField>
    <cacheField name="Total AY 2015-2016 Students" numFmtId="0">
      <sharedItems containsBlank="1" containsMixedTypes="1" containsNumber="1" minValue="0" maxValue="5688"/>
    </cacheField>
    <cacheField name="Total AY 2015-2016 Savings" numFmtId="0">
      <sharedItems containsMixedTypes="1" containsNumber="1" minValue="0" maxValue="1050175.44"/>
    </cacheField>
    <cacheField name="Summer 2016 Students" numFmtId="0">
      <sharedItems containsBlank="1" containsMixedTypes="1" containsNumber="1" minValue="0" maxValue="1896"/>
    </cacheField>
    <cacheField name="Summer 2016 Savings" numFmtId="0">
      <sharedItems containsBlank="1" containsMixedTypes="1" containsNumber="1" minValue="0" maxValue="350058.48"/>
    </cacheField>
    <cacheField name="Fall 2016 Students" numFmtId="0">
      <sharedItems containsBlank="1" containsMixedTypes="1" containsNumber="1" minValue="0" maxValue="1896"/>
    </cacheField>
    <cacheField name="Fall 2016 Savings" numFmtId="0">
      <sharedItems containsBlank="1" containsMixedTypes="1" containsNumber="1" minValue="0" maxValue="389888.66666666663"/>
    </cacheField>
    <cacheField name="Spring 2017 Students" numFmtId="0">
      <sharedItems containsBlank="1" containsMixedTypes="1" containsNumber="1" minValue="0" maxValue="1896"/>
    </cacheField>
    <cacheField name="Spring 2017 Savings" numFmtId="0">
      <sharedItems containsBlank="1" containsMixedTypes="1" containsNumber="1" minValue="0" maxValue="389888.66666666663"/>
    </cacheField>
    <cacheField name="Total AY 2016-2017 Students" numFmtId="0">
      <sharedItems containsBlank="1" containsMixedTypes="1" containsNumber="1" minValue="0" maxValue="5688"/>
    </cacheField>
    <cacheField name="Total AY 2016-2017 Savings" numFmtId="0">
      <sharedItems containsBlank="1" containsMixedTypes="1" containsNumber="1" minValue="0" maxValue="1050175.44"/>
    </cacheField>
    <cacheField name="Summer 2017 Students" numFmtId="0">
      <sharedItems containsBlank="1" containsMixedTypes="1" containsNumber="1" minValue="0" maxValue="1896"/>
    </cacheField>
    <cacheField name="Summer 2017 Savings" numFmtId="0">
      <sharedItems containsBlank="1" containsMixedTypes="1" containsNumber="1" minValue="0" maxValue="389888.66666666663"/>
    </cacheField>
    <cacheField name="Fall 2017 Students" numFmtId="0">
      <sharedItems containsBlank="1" containsMixedTypes="1" containsNumber="1" minValue="0" maxValue="1896"/>
    </cacheField>
    <cacheField name="Fall 2017 Savings" numFmtId="0">
      <sharedItems containsBlank="1" containsMixedTypes="1" containsNumber="1" minValue="0" maxValue="389888.66666666663"/>
    </cacheField>
    <cacheField name="Spring 2018 Students" numFmtId="0">
      <sharedItems containsBlank="1" containsMixedTypes="1" containsNumber="1" minValue="0" maxValue="1896"/>
    </cacheField>
    <cacheField name="Spring 2018 Savings" numFmtId="0">
      <sharedItems containsBlank="1" containsMixedTypes="1" containsNumber="1" minValue="0" maxValue="389888.66666666663"/>
    </cacheField>
    <cacheField name="Total AY 2017-2018 Students" numFmtId="0">
      <sharedItems containsBlank="1" containsMixedTypes="1" containsNumber="1" minValue="0" maxValue="5688"/>
    </cacheField>
    <cacheField name="Total AY 2017-2018 Savings" numFmtId="0">
      <sharedItems containsBlank="1" containsMixedTypes="1" containsNumber="1" minValue="0" maxValue="1169666"/>
    </cacheField>
    <cacheField name="Sustainability Check 2 (2018-2019) Status" numFmtId="0">
      <sharedItems containsBlank="1" count="7">
        <s v="Continued"/>
        <s v="Discontinued"/>
        <s v="Scaled"/>
        <s v="Unknown"/>
        <s v="Mini-Grant"/>
        <m/>
        <s v="Updated" u="1"/>
      </sharedItems>
    </cacheField>
    <cacheField name="Check 2 Students Summer" numFmtId="0">
      <sharedItems containsString="0" containsBlank="1" containsNumber="1" containsInteger="1" minValue="0" maxValue="5800"/>
    </cacheField>
    <cacheField name="Check 2 Students Fall" numFmtId="0">
      <sharedItems containsString="0" containsBlank="1" containsNumber="1" containsInteger="1" minValue="0" maxValue="8928"/>
    </cacheField>
    <cacheField name="Check 2 Students Spring" numFmtId="0">
      <sharedItems containsString="0" containsBlank="1" containsNumber="1" containsInteger="1" minValue="0" maxValue="6880"/>
    </cacheField>
    <cacheField name="Check 2 Students Total" numFmtId="0">
      <sharedItems containsString="0" containsBlank="1" containsNumber="1" containsInteger="1" minValue="0" maxValue="17794"/>
    </cacheField>
    <cacheField name="Summer 2018 Price Check" numFmtId="0">
      <sharedItems containsString="0" containsBlank="1" containsNumber="1" minValue="0" maxValue="482.55"/>
    </cacheField>
    <cacheField name="Check 2 Students Annual Savings" numFmtId="0">
      <sharedItems containsSemiMixedTypes="0" containsString="0" containsNumber="1" minValue="0" maxValue="1456000"/>
    </cacheField>
    <cacheField name="Summer 2018 Students" numFmtId="0">
      <sharedItems containsString="0" containsBlank="1" containsNumber="1" containsInteger="1" minValue="0" maxValue="1896"/>
    </cacheField>
    <cacheField name="Summer 2018 Savings" numFmtId="0">
      <sharedItems containsString="0" containsBlank="1" containsNumber="1" minValue="0" maxValue="288078.24"/>
    </cacheField>
    <cacheField name="Fall 2018 Students" numFmtId="0">
      <sharedItems containsString="0" containsBlank="1" containsNumber="1" containsInteger="1" minValue="0" maxValue="3200"/>
    </cacheField>
    <cacheField name="Fall 2018 Savings" numFmtId="0">
      <sharedItems containsString="0" containsBlank="1" containsNumber="1" minValue="0" maxValue="390000"/>
    </cacheField>
    <cacheField name="Spring 2019 Students" numFmtId="1">
      <sharedItems containsString="0" containsBlank="1" containsNumber="1" containsInteger="1" minValue="0" maxValue="6880"/>
    </cacheField>
    <cacheField name="Spring 2019 Savings" numFmtId="0">
      <sharedItems containsSemiMixedTypes="0" containsString="0" containsNumber="1" minValue="0" maxValue="461854.39999999997"/>
    </cacheField>
    <cacheField name="Total AY 2018-2019 Students" numFmtId="3">
      <sharedItems containsSemiMixedTypes="0" containsString="0" containsNumber="1" containsInteger="1" minValue="0" maxValue="6880"/>
    </cacheField>
    <cacheField name="Total AY 2018-2019 Savings" numFmtId="165">
      <sharedItems containsSemiMixedTypes="0" containsString="0" containsNumber="1" minValue="0" maxValue="864234.72"/>
    </cacheField>
    <cacheField name="Check 3 Status" numFmtId="0">
      <sharedItems containsBlank="1"/>
    </cacheField>
    <cacheField name="Check 3 Students Summer" numFmtId="0">
      <sharedItems containsBlank="1" containsMixedTypes="1" containsNumber="1" containsInteger="1" minValue="0" maxValue="5800"/>
    </cacheField>
    <cacheField name="Check 3 Students Fall" numFmtId="0">
      <sharedItems containsBlank="1" containsMixedTypes="1" containsNumber="1" containsInteger="1" minValue="0" maxValue="8928"/>
    </cacheField>
    <cacheField name="Check 3 Students Spring" numFmtId="0">
      <sharedItems containsBlank="1" containsMixedTypes="1" containsNumber="1" containsInteger="1" minValue="0" maxValue="6880"/>
    </cacheField>
    <cacheField name="Check 3 Students Total" numFmtId="0">
      <sharedItems containsMixedTypes="1" containsNumber="1" minValue="0" maxValue="17794"/>
    </cacheField>
    <cacheField name="Check 3 Per Student Savings" numFmtId="0">
      <sharedItems containsBlank="1" containsMixedTypes="1" containsNumber="1" minValue="0" maxValue="470"/>
    </cacheField>
    <cacheField name="Check 3 Total Annual Savings" numFmtId="0">
      <sharedItems containsSemiMixedTypes="0" containsString="0" containsNumber="1" minValue="0" maxValue="1456000"/>
    </cacheField>
    <cacheField name="Starting Semester" numFmtId="0">
      <sharedItems containsBlank="1" containsMixedTypes="1" containsNumber="1" containsInteger="1" minValue="0" maxValue="0"/>
    </cacheField>
    <cacheField name="Summer 2019 Students" numFmtId="1">
      <sharedItems containsMixedTypes="1" containsNumber="1" containsInteger="1" minValue="0" maxValue="5800"/>
    </cacheField>
    <cacheField name="Summer 2019 Savings" numFmtId="0">
      <sharedItems containsSemiMixedTypes="0" containsString="0" containsNumber="1" minValue="0" maxValue="754000"/>
    </cacheField>
    <cacheField name="Fall 2019 Students" numFmtId="1">
      <sharedItems containsSemiMixedTypes="0" containsString="0" containsNumber="1" containsInteger="1" minValue="0" maxValue="3200"/>
    </cacheField>
    <cacheField name="Fall 2019 Savings" numFmtId="0">
      <sharedItems containsSemiMixedTypes="0" containsString="0" containsNumber="1" minValue="0" maxValue="610224.05999999994"/>
    </cacheField>
    <cacheField name="Spring 2020 Students" numFmtId="1">
      <sharedItems containsMixedTypes="1" containsNumber="1" containsInteger="1" minValue="0" maxValue="6880"/>
    </cacheField>
    <cacheField name="Spring 2020 Savings" numFmtId="0">
      <sharedItems containsSemiMixedTypes="0" containsString="0" containsNumber="1" minValue="0" maxValue="461854.39999999997"/>
    </cacheField>
    <cacheField name="Total AY 2019-2020 Students" numFmtId="1">
      <sharedItems containsSemiMixedTypes="0" containsString="0" containsNumber="1" containsInteger="1" minValue="0" maxValue="11200"/>
    </cacheField>
    <cacheField name="Total AY 2019-2020 Savings" numFmtId="0">
      <sharedItems containsSemiMixedTypes="0" containsString="0" containsNumber="1" minValue="0" maxValue="1456000"/>
    </cacheField>
    <cacheField name="Check 4 Status" numFmtId="0">
      <sharedItems/>
    </cacheField>
    <cacheField name="Check 4 Students Summer" numFmtId="1">
      <sharedItems containsBlank="1" containsMixedTypes="1" containsNumber="1" minValue="0" maxValue="5800"/>
    </cacheField>
    <cacheField name="Check 4 Students Fall" numFmtId="1">
      <sharedItems containsBlank="1" containsMixedTypes="1" containsNumber="1" minValue="0" maxValue="8928"/>
    </cacheField>
    <cacheField name="Check 4 Students Spring" numFmtId="1">
      <sharedItems containsBlank="1" containsMixedTypes="1" containsNumber="1" minValue="0" maxValue="6880"/>
    </cacheField>
    <cacheField name="Check 4 Students Total" numFmtId="1">
      <sharedItems containsSemiMixedTypes="0" containsString="0" containsNumber="1" minValue="0" maxValue="7000"/>
    </cacheField>
    <cacheField name="Check 4 Per Student Savings" numFmtId="0">
      <sharedItems containsBlank="1" containsMixedTypes="1" containsNumber="1" minValue="0" maxValue="470"/>
    </cacheField>
    <cacheField name="Check 4 Total Annual Savings" numFmtId="0">
      <sharedItems containsSemiMixedTypes="0" containsString="0" containsNumber="1" minValue="0" maxValue="1035132.3"/>
    </cacheField>
    <cacheField name="Assist Semester" numFmtId="0">
      <sharedItems containsBlank="1"/>
    </cacheField>
    <cacheField name="Summer 2020 Students" numFmtId="1">
      <sharedItems containsMixedTypes="1" containsNumber="1" containsInteger="1" minValue="0" maxValue="686"/>
    </cacheField>
    <cacheField name="Summer 2020 Savings" numFmtId="165">
      <sharedItems containsSemiMixedTypes="0" containsString="0" containsNumber="1" minValue="0" maxValue="105451.68"/>
    </cacheField>
    <cacheField name="Fall 2020 Students" numFmtId="1">
      <sharedItems containsMixedTypes="1" containsNumber="1" containsInteger="1" minValue="0" maxValue="3200"/>
    </cacheField>
    <cacheField name="Fall 2020 Savings" numFmtId="0">
      <sharedItems containsSemiMixedTypes="0" containsString="0" containsNumber="1" minValue="0" maxValue="610224.05999999994"/>
    </cacheField>
    <cacheField name="Spring 2021 Students" numFmtId="1">
      <sharedItems containsMixedTypes="1" containsNumber="1" minValue="0" maxValue="3200"/>
    </cacheField>
    <cacheField name="Spring 2021 Savings" numFmtId="165">
      <sharedItems containsSemiMixedTypes="0" containsString="0" containsNumber="1" minValue="0" maxValue="319456.56"/>
    </cacheField>
    <cacheField name="Total AY 2020-2021 Students" numFmtId="0">
      <sharedItems containsSemiMixedTypes="0" containsString="0" containsNumber="1" minValue="0" maxValue="7000"/>
    </cacheField>
    <cacheField name="Total AY 2020-2021 Savings" numFmtId="165">
      <sharedItems containsSemiMixedTypes="0" containsString="0" containsNumber="1" minValue="0" maxValue="1035132.3"/>
    </cacheField>
    <cacheField name="Grand Total Students" numFmtId="1">
      <sharedItems containsSemiMixedTypes="0" containsString="0" containsNumber="1" minValue="0" maxValue="24648"/>
    </cacheField>
    <cacheField name="Grand Total Savings" numFmtId="0">
      <sharedItems containsSemiMixedTypes="0" containsString="0" containsNumber="1" minValue="0" maxValue="4480495.9333333327"/>
    </cacheField>
    <cacheField name="Savings per $1 Awarded" numFmtId="0">
      <sharedItems containsMixedTypes="1" containsNumber="1" minValue="0" maxValue="622.29110185185175"/>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
  <r>
    <s v="HIST 2111"/>
    <n v="45"/>
    <s v="Summer 2013"/>
    <s v="SLA 2011 FacDev."/>
    <n v="693"/>
    <n v="31185"/>
    <n v="1248"/>
    <n v="56160"/>
    <n v="1996"/>
    <n v="89820"/>
    <n v="392"/>
    <n v="988"/>
    <n v="946"/>
    <n v="2326"/>
    <n v="104670"/>
    <n v="428"/>
    <n v="994"/>
    <n v="1125"/>
    <n v="2547"/>
    <n v="114615"/>
    <n v="500"/>
    <n v="1264"/>
    <n v="1300"/>
    <n v="3064"/>
    <n v="137880"/>
    <n v="534330"/>
    <n v="11874"/>
  </r>
  <r>
    <s v="MATH 1401"/>
    <n v="111"/>
    <s v="Fall 2013"/>
    <s v="Christy Email 5/24"/>
    <n v="310"/>
    <n v="34410"/>
    <n v="595"/>
    <n v="66045"/>
    <n v="741"/>
    <n v="82251"/>
    <n v="153"/>
    <n v="359"/>
    <n v="383"/>
    <n v="895"/>
    <n v="99345"/>
    <n v="176"/>
    <n v="349"/>
    <n v="404"/>
    <n v="929"/>
    <n v="103119"/>
    <n v="237"/>
    <n v="379"/>
    <n v="452"/>
    <n v="1068"/>
    <n v="118548"/>
    <n v="503718"/>
    <n v="4538"/>
  </r>
  <r>
    <s v="MATH 1501"/>
    <n v="177"/>
    <s v="Fall 2013"/>
    <s v="Christy Email 5/24"/>
    <n v="157"/>
    <n v="27789"/>
    <n v="346"/>
    <n v="61242"/>
    <n v="420"/>
    <n v="74340"/>
    <n v="99"/>
    <n v="187"/>
    <n v="180"/>
    <n v="466"/>
    <n v="82482"/>
    <n v="106"/>
    <n v="150"/>
    <n v="198"/>
    <n v="454"/>
    <n v="80358"/>
    <n v="126"/>
    <n v="204"/>
    <n v="207"/>
    <n v="537"/>
    <n v="95049"/>
    <n v="421260"/>
    <n v="2380"/>
  </r>
  <r>
    <s v="ENGL 1101"/>
    <n v="84"/>
    <s v="Spring 2014"/>
    <s v="Christy Email 5/24"/>
    <n v="172"/>
    <n v="14448"/>
    <n v="591"/>
    <n v="49644"/>
    <n v="980"/>
    <n v="82320"/>
    <n v="175"/>
    <n v="491"/>
    <n v="398"/>
    <n v="1064"/>
    <n v="89376"/>
    <n v="214"/>
    <n v="656"/>
    <n v="514"/>
    <n v="1384"/>
    <n v="116256"/>
    <n v="236"/>
    <n v="705"/>
    <n v="558"/>
    <n v="1499"/>
    <n v="125916"/>
    <n v="477960"/>
    <n v="5690"/>
  </r>
  <r>
    <s v="ENGL 1102"/>
    <n v="86"/>
    <s v="Spring 2014"/>
    <s v="SLA 2014"/>
    <n v="385"/>
    <n v="33110"/>
    <n v="1079"/>
    <n v="92794"/>
    <n v="1674"/>
    <n v="143964"/>
    <n v="303"/>
    <n v="747"/>
    <n v="754"/>
    <n v="1804"/>
    <n v="155144"/>
    <n v="338"/>
    <n v="757"/>
    <n v="964"/>
    <n v="2059"/>
    <n v="177074"/>
    <n v="415"/>
    <n v="1008"/>
    <n v="1054"/>
    <n v="2477"/>
    <n v="213022"/>
    <n v="815108"/>
    <n v="9478"/>
  </r>
  <r>
    <s v="MATH 1101"/>
    <n v="231"/>
    <s v="Spring 2014"/>
    <s v="Christy Email 5/24"/>
    <n v="87"/>
    <n v="20097"/>
    <n v="291"/>
    <n v="67221"/>
    <n v="422"/>
    <n v="97482"/>
    <n v="80"/>
    <n v="207"/>
    <n v="166"/>
    <n v="453"/>
    <n v="104643"/>
    <n v="94"/>
    <n v="206"/>
    <n v="163"/>
    <n v="463"/>
    <n v="106953"/>
    <n v="129"/>
    <n v="255"/>
    <n v="234"/>
    <n v="618"/>
    <n v="142758"/>
    <n v="539154"/>
    <n v="2334"/>
  </r>
  <r>
    <s v="PHYS 1211K"/>
    <n v="158"/>
    <s v="Spring 2014"/>
    <s v="Christy Email 5/24"/>
    <n v="38"/>
    <n v="6004"/>
    <n v="89"/>
    <n v="14062"/>
    <n v="145"/>
    <n v="22910"/>
    <n v="0"/>
    <n v="98"/>
    <n v="68"/>
    <n v="166"/>
    <n v="26228"/>
    <n v="0"/>
    <n v="91"/>
    <n v="109"/>
    <n v="200"/>
    <n v="31600"/>
    <n v="0"/>
    <n v="167"/>
    <n v="142"/>
    <n v="309"/>
    <n v="48822"/>
    <n v="149626"/>
    <n v="947"/>
  </r>
  <r>
    <s v="MATH 1111"/>
    <n v="190"/>
    <s v="Summer 2014"/>
    <s v="Christy Email 5/24"/>
    <m/>
    <n v="0"/>
    <n v="715"/>
    <n v="135850"/>
    <n v="1123"/>
    <n v="213370"/>
    <n v="193"/>
    <n v="496"/>
    <n v="471"/>
    <n v="1160"/>
    <n v="220400"/>
    <n v="205"/>
    <n v="568"/>
    <n v="461"/>
    <n v="1234"/>
    <n v="234460"/>
    <n v="301"/>
    <n v="630"/>
    <n v="630"/>
    <n v="1561"/>
    <n v="296590"/>
    <n v="1100670"/>
    <n v="5793"/>
  </r>
  <r>
    <s v="MATH 1113"/>
    <n v="155"/>
    <s v="Summer 2014"/>
    <s v="Christy Email 5/24"/>
    <m/>
    <n v="0"/>
    <n v="661"/>
    <n v="102455"/>
    <n v="896"/>
    <n v="138880"/>
    <n v="246"/>
    <n v="433"/>
    <n v="414"/>
    <n v="1093"/>
    <n v="169415"/>
    <n v="252"/>
    <n v="402"/>
    <n v="467"/>
    <n v="1121"/>
    <n v="173755"/>
    <n v="225"/>
    <n v="386"/>
    <n v="422"/>
    <n v="1033"/>
    <n v="160115"/>
    <n v="744620"/>
    <n v="4804"/>
  </r>
  <r>
    <s v="POLS 1101"/>
    <n v="79"/>
    <s v="Summer 2014"/>
    <s v="Christy Email 5/24"/>
    <m/>
    <n v="0"/>
    <n v="993"/>
    <n v="78447"/>
    <n v="1927"/>
    <n v="152233"/>
    <n v="392"/>
    <n v="888"/>
    <n v="840"/>
    <n v="2120"/>
    <n v="167480"/>
    <n v="391"/>
    <n v="998"/>
    <n v="1091"/>
    <n v="2480"/>
    <n v="195920"/>
    <n v="390"/>
    <n v="1277"/>
    <n v="1266"/>
    <n v="2933"/>
    <n v="231707"/>
    <n v="825787"/>
    <n v="10453"/>
  </r>
  <r>
    <s v="ENGL 2112"/>
    <n v="86"/>
    <s v="Fall 2014"/>
    <s v="SLA 2014"/>
    <m/>
    <n v="0"/>
    <n v="148"/>
    <n v="12728"/>
    <n v="485"/>
    <n v="41710"/>
    <n v="86"/>
    <n v="195"/>
    <n v="177"/>
    <n v="458"/>
    <n v="39388"/>
    <n v="100"/>
    <n v="180"/>
    <n v="198"/>
    <n v="478"/>
    <n v="41108"/>
    <n v="89"/>
    <n v="205"/>
    <n v="196"/>
    <n v="490"/>
    <n v="0"/>
    <n v="0"/>
    <n v="2059"/>
  </r>
  <r>
    <s v="ENGL 2131"/>
    <n v="65"/>
    <s v="Fall 2014"/>
    <s v="SLA 2014"/>
    <m/>
    <n v="0"/>
    <n v="207"/>
    <n v="13455"/>
    <n v="649"/>
    <n v="42185"/>
    <n v="139"/>
    <n v="284"/>
    <n v="268"/>
    <n v="691"/>
    <n v="44915"/>
    <n v="166"/>
    <n v="359"/>
    <n v="276"/>
    <n v="801"/>
    <n v="52065"/>
    <n v="164"/>
    <n v="373"/>
    <n v="327"/>
    <n v="864"/>
    <n v="0"/>
    <n v="0"/>
    <n v="3212"/>
  </r>
  <r>
    <s v="ETEC 1101"/>
    <n v="91"/>
    <s v="Fall 2014"/>
    <s v="SLA 2014"/>
    <m/>
    <n v="0"/>
    <n v="57"/>
    <n v="5187"/>
    <n v="117"/>
    <n v="10647"/>
    <n v="22"/>
    <n v="56"/>
    <n v="50"/>
    <n v="128"/>
    <n v="11648"/>
    <n v="15"/>
    <n v="51"/>
    <n v="43"/>
    <n v="109"/>
    <n v="9919"/>
    <n v="15"/>
    <n v="49"/>
    <n v="62"/>
    <n v="126"/>
    <n v="11466"/>
    <n v="48867"/>
    <n v="537"/>
  </r>
  <r>
    <s v="SOCI 1101"/>
    <n v="149"/>
    <s v="Fall 2014"/>
    <s v="SLA 2014"/>
    <m/>
    <n v="0"/>
    <n v="707"/>
    <n v="105343"/>
    <n v="1296"/>
    <n v="193104"/>
    <n v="284"/>
    <n v="584"/>
    <n v="609"/>
    <n v="1477"/>
    <n v="220073"/>
    <n v="262"/>
    <n v="583"/>
    <n v="778"/>
    <n v="1623"/>
    <n v="241827"/>
    <n v="309"/>
    <n v="735"/>
    <n v="897"/>
    <n v="1941"/>
    <n v="289209"/>
    <n v="1049556"/>
    <n v="7044"/>
  </r>
  <r>
    <s v="ENVS 2202"/>
    <n v="145"/>
    <s v="Spring 2015"/>
    <s v="SLA 2014"/>
    <m/>
    <n v="0"/>
    <n v="303"/>
    <n v="43935"/>
    <n v="957"/>
    <n v="138765"/>
    <n v="179"/>
    <n v="477"/>
    <n v="526"/>
    <n v="1182"/>
    <n v="171390"/>
    <n v="162"/>
    <n v="550"/>
    <n v="595"/>
    <n v="1307"/>
    <n v="189515"/>
    <n v="231"/>
    <n v="585"/>
    <n v="653"/>
    <n v="1469"/>
    <n v="213005"/>
    <n v="756610"/>
    <n v="5218"/>
  </r>
  <r>
    <s v="PHIL 2010"/>
    <n v="76"/>
    <s v="Spring 2015"/>
    <s v="SLA 2014"/>
    <m/>
    <n v="0"/>
    <n v="330"/>
    <n v="25080"/>
    <n v="1131"/>
    <n v="85956"/>
    <n v="170"/>
    <n v="488"/>
    <n v="497"/>
    <n v="1155"/>
    <n v="87780"/>
    <n v="164"/>
    <n v="459"/>
    <n v="533"/>
    <n v="1156"/>
    <n v="87856"/>
    <n v="223"/>
    <n v="620"/>
    <n v="694"/>
    <n v="1537"/>
    <n v="116812"/>
    <n v="403484"/>
    <n v="5309"/>
  </r>
  <r>
    <s v="PSYC 1101"/>
    <n v="155"/>
    <s v="Summer 2015"/>
    <s v="SLA 2014"/>
    <m/>
    <n v="0"/>
    <m/>
    <n v="0"/>
    <n v="1267"/>
    <n v="196385"/>
    <n v="222"/>
    <n v="622"/>
    <n v="581"/>
    <n v="1425"/>
    <n v="220875"/>
    <n v="278"/>
    <n v="695"/>
    <n v="761"/>
    <n v="1734"/>
    <n v="268770"/>
    <n v="317"/>
    <n v="793"/>
    <n v="947"/>
    <n v="2057"/>
    <n v="318835"/>
    <n v="1004865"/>
    <n v="6483"/>
  </r>
  <r>
    <s v="CHEM 1211K"/>
    <n v="170"/>
    <s v="Fall 2015"/>
    <s v="SLA 2014"/>
    <m/>
    <n v="0"/>
    <m/>
    <n v="0"/>
    <n v="403"/>
    <n v="68510"/>
    <n v="0"/>
    <n v="213"/>
    <n v="202"/>
    <n v="415"/>
    <n v="70550"/>
    <n v="0"/>
    <n v="200"/>
    <n v="207"/>
    <n v="407"/>
    <n v="69190"/>
    <n v="0"/>
    <n v="265"/>
    <n v="301"/>
    <n v="566"/>
    <n v="96220"/>
    <n v="304470"/>
    <n v="1791"/>
  </r>
  <r>
    <s v="CHEM 1212K"/>
    <n v="170"/>
    <s v="Fall 2015"/>
    <s v="SLA 2014"/>
    <m/>
    <n v="0"/>
    <m/>
    <n v="0"/>
    <n v="205"/>
    <n v="34850"/>
    <n v="0"/>
    <n v="113"/>
    <n v="135"/>
    <n v="248"/>
    <n v="42160"/>
    <n v="0"/>
    <n v="107"/>
    <n v="135"/>
    <n v="242"/>
    <n v="41140"/>
    <n v="0"/>
    <n v="141"/>
    <n v="172"/>
    <n v="313"/>
    <n v="53210"/>
    <n v="171360"/>
    <n v="1008"/>
  </r>
  <r>
    <s v="GEOL 1011K"/>
    <n v="68"/>
    <s v="Fall 2015"/>
    <s v="SLA 2014"/>
    <m/>
    <n v="0"/>
    <m/>
    <n v="0"/>
    <n v="616"/>
    <n v="41888"/>
    <n v="0"/>
    <n v="372"/>
    <n v="326"/>
    <n v="698"/>
    <n v="47464"/>
    <n v="0"/>
    <n v="372"/>
    <n v="379"/>
    <n v="751"/>
    <n v="51068"/>
    <n v="0"/>
    <n v="366"/>
    <n v="365"/>
    <n v="731"/>
    <n v="49708"/>
    <n v="190128"/>
    <n v="2796"/>
  </r>
  <r>
    <s v="ENGL 2111"/>
    <n v="107"/>
    <s v="Spring 2016"/>
    <s v="SLA 2014"/>
    <m/>
    <n v="0"/>
    <m/>
    <n v="0"/>
    <n v="495"/>
    <n v="52965"/>
    <n v="191"/>
    <n v="581"/>
    <n v="452"/>
    <n v="1224"/>
    <n v="130968"/>
    <n v="212"/>
    <n v="564"/>
    <n v="500"/>
    <n v="1276"/>
    <n v="136532"/>
    <n v="246"/>
    <n v="643"/>
    <n v="599"/>
    <n v="1488"/>
    <n v="159216"/>
    <n v="479681"/>
    <n v="4483"/>
  </r>
  <r>
    <s v="COMM 1100"/>
    <n v="166"/>
    <s v="Fall 2016"/>
    <s v="SLA 2016"/>
    <m/>
    <n v="0"/>
    <m/>
    <n v="0"/>
    <m/>
    <n v="0"/>
    <m/>
    <n v="694"/>
    <n v="670"/>
    <n v="840"/>
    <n v="139440"/>
    <n v="255"/>
    <n v="732"/>
    <n v="824"/>
    <n v="1811"/>
    <n v="300626"/>
    <n v="307"/>
    <n v="836"/>
    <n v="807"/>
    <n v="1950"/>
    <n v="323700"/>
    <n v="763766"/>
    <n v="4601"/>
  </r>
  <r>
    <s v="ENGL 2132"/>
    <n v="70"/>
    <s v="Fall 2016"/>
    <s v="SLA 2014"/>
    <m/>
    <n v="0"/>
    <m/>
    <n v="0"/>
    <m/>
    <n v="0"/>
    <m/>
    <n v="131"/>
    <n v="122"/>
    <n v="253"/>
    <n v="17710"/>
    <n v="98"/>
    <n v="124"/>
    <n v="155"/>
    <n v="377"/>
    <n v="26390"/>
    <n v="76"/>
    <n v="175"/>
    <n v="177"/>
    <n v="428"/>
    <n v="29960"/>
    <n v="74060"/>
    <n v="1058"/>
  </r>
  <r>
    <s v="HIST 1111"/>
    <n v="289"/>
    <s v="Fall 2016"/>
    <s v="SLA 2014"/>
    <m/>
    <n v="0"/>
    <m/>
    <n v="0"/>
    <m/>
    <n v="0"/>
    <m/>
    <n v="791"/>
    <n v="712"/>
    <n v="957"/>
    <n v="276573"/>
    <n v="279"/>
    <n v="770"/>
    <n v="785"/>
    <n v="1834"/>
    <n v="530026"/>
    <n v="339"/>
    <n v="882"/>
    <n v="975"/>
    <n v="2196"/>
    <n v="634644"/>
    <n v="1441243"/>
    <n v="4987"/>
  </r>
  <r>
    <s v="HIST 1112"/>
    <n v="105"/>
    <s v="Fall 2016"/>
    <s v="SLA 2016"/>
    <m/>
    <n v="0"/>
    <m/>
    <n v="0"/>
    <m/>
    <n v="0"/>
    <m/>
    <n v="129"/>
    <n v="418"/>
    <n v="547"/>
    <n v="57435"/>
    <n v="146"/>
    <n v="418"/>
    <n v="539"/>
    <n v="1103"/>
    <n v="115815"/>
    <n v="220"/>
    <n v="565"/>
    <n v="591"/>
    <n v="1376"/>
    <n v="0"/>
    <n v="0"/>
    <n v="3026"/>
  </r>
  <r>
    <s v="BIOL 1011K"/>
    <n v="269"/>
    <s v="Spring 2017"/>
    <s v="Christy Email 5/24"/>
    <m/>
    <n v="0"/>
    <m/>
    <n v="0"/>
    <m/>
    <n v="0"/>
    <m/>
    <m/>
    <n v="149"/>
    <n v="149"/>
    <n v="40081"/>
    <n v="0"/>
    <n v="288"/>
    <n v="289"/>
    <n v="577"/>
    <n v="155213"/>
    <n v="0"/>
    <n v="369"/>
    <n v="438"/>
    <n v="807"/>
    <n v="0"/>
    <n v="0"/>
    <n v="1533"/>
  </r>
  <r>
    <s v="MUSC 1100"/>
    <n v="106"/>
    <s v="Spring 2017"/>
    <s v="SLA 2016"/>
    <m/>
    <n v="0"/>
    <m/>
    <n v="0"/>
    <m/>
    <n v="0"/>
    <m/>
    <m/>
    <n v="356"/>
    <n v="356"/>
    <n v="37736"/>
    <n v="143"/>
    <n v="427"/>
    <n v="493"/>
    <n v="1063"/>
    <n v="112678"/>
    <n v="154"/>
    <n v="479"/>
    <n v="603"/>
    <n v="1236"/>
    <n v="0"/>
    <n v="0"/>
    <n v="2655"/>
  </r>
  <r>
    <s v="SPAN 2001"/>
    <n v="145"/>
    <s v="Spring 2017"/>
    <s v="SLA 2016"/>
    <m/>
    <n v="0"/>
    <m/>
    <n v="0"/>
    <m/>
    <n v="0"/>
    <m/>
    <m/>
    <n v="160"/>
    <n v="160"/>
    <n v="23200"/>
    <n v="156"/>
    <n v="156"/>
    <n v="180"/>
    <n v="492"/>
    <n v="71340"/>
    <n v="127"/>
    <n v="193"/>
    <n v="187"/>
    <n v="507"/>
    <n v="73515"/>
    <n v="168055"/>
    <n v="1159"/>
  </r>
  <r>
    <s v="SPAN 2002"/>
    <n v="145"/>
    <s v="Spring 2017"/>
    <s v="SLA 2016"/>
    <m/>
    <n v="0"/>
    <m/>
    <n v="0"/>
    <m/>
    <n v="0"/>
    <m/>
    <m/>
    <n v="79"/>
    <n v="79"/>
    <n v="11455"/>
    <n v="62"/>
    <n v="86"/>
    <n v="104"/>
    <n v="252"/>
    <n v="36540"/>
    <n v="58"/>
    <n v="99"/>
    <n v="102"/>
    <n v="259"/>
    <n v="37555"/>
    <n v="85550"/>
    <n v="590"/>
  </r>
  <r>
    <s v="ARTS 1100"/>
    <n v="144"/>
    <s v="Summer 2017"/>
    <s v="SLA 2016"/>
    <m/>
    <n v="0"/>
    <m/>
    <n v="0"/>
    <m/>
    <n v="0"/>
    <m/>
    <m/>
    <m/>
    <n v="0"/>
    <n v="0"/>
    <n v="80"/>
    <n v="295"/>
    <n v="387"/>
    <n v="762"/>
    <n v="109728"/>
    <n v="168"/>
    <n v="458"/>
    <n v="519"/>
    <n v="1145"/>
    <n v="164880"/>
    <n v="274608"/>
    <n v="1907"/>
  </r>
  <r>
    <s v="PHYS 2212L"/>
    <n v="0"/>
    <s v="Spring 2019"/>
    <s v="Newly Created"/>
    <m/>
    <n v="0"/>
    <m/>
    <n v="0"/>
    <m/>
    <n v="0"/>
    <m/>
    <m/>
    <m/>
    <n v="0"/>
    <n v="0"/>
    <m/>
    <m/>
    <m/>
    <n v="0"/>
    <n v="0"/>
    <n v="0"/>
    <n v="0"/>
    <n v="69"/>
    <n v="69"/>
    <n v="0"/>
    <n v="0"/>
    <n v="6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2">
  <r>
    <x v="0"/>
    <s v="Completed"/>
    <m/>
    <s v="R1: No PO"/>
    <d v="2014-11-19T00:00:00"/>
    <d v="2015-06-08T00:00:00"/>
    <s v="01"/>
    <x v="0"/>
    <x v="0"/>
    <x v="0"/>
    <n v="10800"/>
    <m/>
    <x v="0"/>
    <x v="0"/>
    <s v="American Government"/>
    <s v="POLS 1101"/>
    <s v="Political Science"/>
    <s v="American Government"/>
    <s v="Created Materials"/>
    <s v="Y"/>
    <s v="OpenStax American Government"/>
    <x v="0"/>
    <s v="Neutral"/>
    <s v="Neutral"/>
    <n v="37380"/>
    <n v="420"/>
    <n v="89"/>
    <n v="140"/>
    <n v="140"/>
    <n v="140"/>
    <s v="Spring 2015"/>
    <s v="N"/>
    <m/>
    <m/>
    <s v="Continued"/>
    <n v="140"/>
    <n v="12460"/>
    <n v="140"/>
    <n v="12460"/>
    <n v="140"/>
    <n v="12460"/>
    <n v="140"/>
    <n v="12460"/>
    <n v="140"/>
    <n v="12460"/>
    <n v="420"/>
    <n v="37380"/>
    <n v="140"/>
    <n v="12460"/>
    <n v="140"/>
    <n v="12460"/>
    <n v="140"/>
    <n v="12460"/>
    <n v="420"/>
    <n v="37380"/>
    <n v="140"/>
    <n v="12460"/>
    <n v="140"/>
    <n v="12460"/>
    <n v="140"/>
    <n v="12460"/>
    <n v="420"/>
    <n v="37380"/>
    <x v="0"/>
    <n v="100"/>
    <n v="200"/>
    <n v="200"/>
    <n v="500"/>
    <n v="95.53"/>
    <n v="47765"/>
    <n v="100"/>
    <n v="9553"/>
    <n v="200"/>
    <n v="19106"/>
    <n v="200"/>
    <n v="19106"/>
    <n v="500"/>
    <n v="47765"/>
    <s v="Continued"/>
    <n v="70"/>
    <n v="140"/>
    <n v="140"/>
    <n v="350"/>
    <n v="89"/>
    <n v="31150"/>
    <s v="Spring 2015"/>
    <n v="70"/>
    <n v="6230"/>
    <n v="140"/>
    <n v="12460"/>
    <n v="140"/>
    <n v="12460"/>
    <n v="350"/>
    <n v="31150"/>
    <s v="Continued"/>
    <n v="70"/>
    <n v="140"/>
    <n v="140"/>
    <n v="350"/>
    <n v="89"/>
    <n v="31150"/>
    <m/>
    <n v="70"/>
    <n v="6230"/>
    <n v="140"/>
    <n v="12460"/>
    <n v="140"/>
    <n v="12460"/>
    <n v="350"/>
    <n v="31150"/>
    <n v="2600"/>
    <n v="234665"/>
    <n v="21.728240740740741"/>
  </r>
  <r>
    <x v="1"/>
    <s v="Completed"/>
    <m/>
    <s v="R1: No PO"/>
    <d v="2015-01-05T00:00:00"/>
    <d v="2015-06-08T00:00:00"/>
    <s v="01"/>
    <x v="0"/>
    <x v="0"/>
    <x v="1"/>
    <n v="10800"/>
    <m/>
    <x v="1"/>
    <x v="1"/>
    <s v="Nursing Research for Evidence-Based Practice"/>
    <s v="NURS 4402"/>
    <s v="Nursing "/>
    <s v="N"/>
    <s v="Created Materials"/>
    <s v="Y"/>
    <s v="OpenStax Introductory Statistics"/>
    <x v="1"/>
    <s v="Negative"/>
    <s v="Not Measured"/>
    <n v="30468"/>
    <n v="240"/>
    <n v="126.95"/>
    <n v="80"/>
    <n v="80"/>
    <n v="80"/>
    <s v="Spring 2015"/>
    <s v="N"/>
    <m/>
    <m/>
    <s v="Unknown"/>
    <n v="80"/>
    <n v="10156"/>
    <n v="80"/>
    <n v="10156"/>
    <n v="0"/>
    <n v="0"/>
    <n v="0"/>
    <n v="0"/>
    <n v="0"/>
    <n v="0"/>
    <n v="0"/>
    <n v="0"/>
    <n v="0"/>
    <n v="0"/>
    <n v="0"/>
    <n v="0"/>
    <n v="0"/>
    <n v="0"/>
    <n v="0"/>
    <n v="0"/>
    <n v="0"/>
    <n v="0"/>
    <n v="0"/>
    <n v="0"/>
    <n v="0"/>
    <n v="0"/>
    <n v="0"/>
    <n v="0"/>
    <x v="1"/>
    <n v="0"/>
    <n v="0"/>
    <n v="0"/>
    <n v="0"/>
    <n v="133.97999999999999"/>
    <n v="0"/>
    <n v="0"/>
    <n v="0"/>
    <n v="0"/>
    <n v="0"/>
    <n v="0"/>
    <n v="0"/>
    <n v="0"/>
    <n v="0"/>
    <s v="Discontinued"/>
    <n v="0"/>
    <n v="0"/>
    <n v="0"/>
    <n v="0"/>
    <n v="0"/>
    <n v="0"/>
    <s v="Spring 2015"/>
    <n v="0"/>
    <n v="0"/>
    <n v="0"/>
    <n v="0"/>
    <n v="0"/>
    <n v="0"/>
    <n v="0"/>
    <n v="0"/>
    <s v="Discontinued"/>
    <n v="0"/>
    <n v="0"/>
    <n v="0"/>
    <n v="0"/>
    <n v="0"/>
    <n v="0"/>
    <m/>
    <n v="0"/>
    <n v="0"/>
    <n v="0"/>
    <n v="0"/>
    <n v="0"/>
    <n v="0"/>
    <n v="0"/>
    <n v="0"/>
    <n v="80"/>
    <n v="10156"/>
    <n v="0.94037037037037041"/>
  </r>
  <r>
    <x v="2"/>
    <s v="Completed"/>
    <m/>
    <s v="R1: No PO"/>
    <d v="2014-11-19T00:00:00"/>
    <d v="2015-06-08T00:00:00"/>
    <s v="01"/>
    <x v="0"/>
    <x v="0"/>
    <x v="1"/>
    <n v="10800"/>
    <m/>
    <x v="2"/>
    <x v="2"/>
    <s v="Calculus II"/>
    <s v="MATH 2254"/>
    <s v="Mathematical Subjects"/>
    <s v="Calculus II"/>
    <s v="Created Materials"/>
    <s v="N"/>
    <s v="Calculus: Late Transcendentals"/>
    <x v="2"/>
    <s v="Neutral"/>
    <s v="Negative"/>
    <n v="178200"/>
    <n v="815"/>
    <n v="218.65030674846625"/>
    <n v="271.66666666666669"/>
    <n v="271.66666666666669"/>
    <n v="271.66666666666669"/>
    <s v="Spring 2015"/>
    <s v="N"/>
    <m/>
    <m/>
    <s v="Continued"/>
    <n v="271.66666666666669"/>
    <n v="59400"/>
    <n v="271.66666666666669"/>
    <n v="59400"/>
    <n v="271.66666666666669"/>
    <n v="59400"/>
    <n v="271.66666666666669"/>
    <n v="59400"/>
    <n v="271.66666666666669"/>
    <n v="59400"/>
    <n v="815"/>
    <n v="178200"/>
    <n v="271.66666666666669"/>
    <n v="59400"/>
    <n v="271.66666666666669"/>
    <n v="59400"/>
    <n v="271.66666666666669"/>
    <n v="59400"/>
    <n v="815"/>
    <n v="178200"/>
    <n v="271.66666666666669"/>
    <n v="59400"/>
    <n v="271.66666666666669"/>
    <n v="59400"/>
    <n v="271.66666666666669"/>
    <n v="59400"/>
    <n v="815"/>
    <n v="178200"/>
    <x v="1"/>
    <n v="0"/>
    <n v="0"/>
    <n v="0"/>
    <n v="0"/>
    <n v="364.95"/>
    <n v="0"/>
    <n v="0"/>
    <n v="0"/>
    <n v="0"/>
    <n v="0"/>
    <n v="0"/>
    <n v="0"/>
    <n v="0"/>
    <n v="0"/>
    <s v="Discontinued"/>
    <n v="0"/>
    <n v="0"/>
    <n v="0"/>
    <n v="0"/>
    <n v="0"/>
    <n v="0"/>
    <s v="Spring 2015"/>
    <n v="0"/>
    <n v="0"/>
    <n v="0"/>
    <n v="0"/>
    <n v="0"/>
    <n v="0"/>
    <n v="0"/>
    <n v="0"/>
    <s v="Discontinued"/>
    <n v="0"/>
    <n v="0"/>
    <n v="0"/>
    <n v="0"/>
    <n v="0"/>
    <n v="0"/>
    <m/>
    <n v="0"/>
    <n v="0"/>
    <n v="0"/>
    <n v="0"/>
    <n v="0"/>
    <n v="0"/>
    <n v="0"/>
    <n v="0"/>
    <n v="2716.666666666667"/>
    <n v="594000"/>
    <n v="55"/>
  </r>
  <r>
    <x v="3"/>
    <s v="Completed"/>
    <m/>
    <s v="R1: No PO"/>
    <d v="2014-11-19T00:00:00"/>
    <d v="2015-06-08T00:00:00"/>
    <s v="01"/>
    <x v="0"/>
    <x v="0"/>
    <x v="0"/>
    <n v="10800"/>
    <m/>
    <x v="3"/>
    <x v="3"/>
    <s v="Critical and Contemporary Issues in Education"/>
    <s v="EDUC 2110"/>
    <s v="Educator Preparation"/>
    <s v="N"/>
    <s v="N"/>
    <s v="N"/>
    <s v="Various OER"/>
    <x v="2"/>
    <s v="Positive"/>
    <s v="Positive"/>
    <n v="52920"/>
    <n v="270"/>
    <n v="196"/>
    <n v="90"/>
    <n v="90"/>
    <n v="90"/>
    <s v="Spring 2015"/>
    <s v="N"/>
    <m/>
    <m/>
    <s v="Continued"/>
    <n v="90"/>
    <n v="17640"/>
    <n v="90"/>
    <n v="17640"/>
    <n v="90"/>
    <n v="17640"/>
    <n v="90"/>
    <n v="17640"/>
    <n v="90"/>
    <n v="17640"/>
    <n v="270"/>
    <n v="52920"/>
    <n v="90"/>
    <n v="17640"/>
    <n v="90"/>
    <n v="17640"/>
    <n v="90"/>
    <n v="17640"/>
    <n v="270"/>
    <n v="52920"/>
    <n v="90"/>
    <n v="17640"/>
    <n v="90"/>
    <n v="17640"/>
    <n v="90"/>
    <n v="17640"/>
    <n v="270"/>
    <n v="52920"/>
    <x v="0"/>
    <n v="90"/>
    <n v="90"/>
    <n v="90"/>
    <n v="270"/>
    <n v="193.33"/>
    <n v="52199.100000000006"/>
    <n v="90"/>
    <n v="17399.7"/>
    <n v="90"/>
    <n v="17399.7"/>
    <n v="90"/>
    <n v="17399.7"/>
    <n v="270"/>
    <n v="52199.100000000006"/>
    <s v="Timed Out"/>
    <m/>
    <m/>
    <m/>
    <n v="0"/>
    <m/>
    <n v="0"/>
    <s v="Spring 2015"/>
    <n v="0"/>
    <n v="0"/>
    <n v="0"/>
    <n v="0"/>
    <n v="0"/>
    <n v="0"/>
    <n v="0"/>
    <n v="0"/>
    <s v="Timed Out"/>
    <m/>
    <m/>
    <m/>
    <n v="0"/>
    <n v="0"/>
    <n v="0"/>
    <m/>
    <n v="0"/>
    <n v="0"/>
    <n v="0"/>
    <n v="0"/>
    <n v="0"/>
    <n v="0"/>
    <n v="0"/>
    <n v="0"/>
    <n v="1170"/>
    <n v="228599.1"/>
    <n v="21.166583333333335"/>
  </r>
  <r>
    <x v="4"/>
    <s v="Completed"/>
    <m/>
    <s v="R1: No PO"/>
    <d v="2014-11-19T00:00:00"/>
    <d v="2015-06-08T00:00:00"/>
    <s v="01"/>
    <x v="0"/>
    <x v="0"/>
    <x v="2"/>
    <n v="10800"/>
    <m/>
    <x v="4"/>
    <x v="4"/>
    <s v="Exploring Socio-Cultural Diversity"/>
    <s v="EDUC 2120"/>
    <s v="Educator Preparation"/>
    <s v="N"/>
    <s v="Created Materials"/>
    <s v="N"/>
    <s v="OER and Library"/>
    <x v="2"/>
    <s v="Neutral"/>
    <s v="Neutral"/>
    <n v="54072"/>
    <n v="360"/>
    <n v="150.19999999999999"/>
    <n v="120"/>
    <n v="120"/>
    <n v="120"/>
    <s v="Spring 2015"/>
    <s v="N"/>
    <m/>
    <m/>
    <s v="Unknown"/>
    <n v="120"/>
    <n v="18024"/>
    <n v="120"/>
    <n v="18024"/>
    <n v="0"/>
    <n v="0"/>
    <n v="0"/>
    <n v="0"/>
    <n v="0"/>
    <n v="0"/>
    <n v="0"/>
    <n v="0"/>
    <n v="0"/>
    <n v="0"/>
    <n v="0"/>
    <n v="0"/>
    <n v="0"/>
    <n v="0"/>
    <n v="0"/>
    <n v="0"/>
    <n v="0"/>
    <n v="0"/>
    <n v="0"/>
    <n v="0"/>
    <n v="0"/>
    <n v="0"/>
    <n v="0"/>
    <n v="0"/>
    <x v="1"/>
    <n v="0"/>
    <n v="0"/>
    <n v="0"/>
    <n v="0"/>
    <n v="102.67"/>
    <n v="0"/>
    <n v="0"/>
    <n v="0"/>
    <n v="0"/>
    <n v="0"/>
    <n v="0"/>
    <n v="0"/>
    <n v="0"/>
    <n v="0"/>
    <s v="Discontinued"/>
    <n v="0"/>
    <n v="0"/>
    <n v="0"/>
    <n v="0"/>
    <n v="0"/>
    <n v="0"/>
    <s v="Spring 2015"/>
    <n v="0"/>
    <n v="0"/>
    <n v="0"/>
    <n v="0"/>
    <n v="0"/>
    <n v="0"/>
    <n v="0"/>
    <n v="0"/>
    <s v="Discontinued"/>
    <n v="0"/>
    <n v="0"/>
    <n v="0"/>
    <n v="0"/>
    <n v="0"/>
    <n v="0"/>
    <m/>
    <n v="0"/>
    <n v="0"/>
    <n v="0"/>
    <n v="0"/>
    <n v="0"/>
    <n v="0"/>
    <n v="0"/>
    <n v="0"/>
    <n v="120"/>
    <n v="18024"/>
    <n v="1.6688888888888889"/>
  </r>
  <r>
    <x v="5"/>
    <s v="Completed"/>
    <m/>
    <s v="R1: No PO"/>
    <d v="2014-11-19T00:00:00"/>
    <d v="2015-06-08T00:00:00"/>
    <s v="01"/>
    <x v="0"/>
    <x v="0"/>
    <x v="3"/>
    <n v="10800"/>
    <m/>
    <x v="5"/>
    <x v="5"/>
    <s v="Exploring Teaching and Learning"/>
    <s v="EDUC 2130"/>
    <s v="Educator Preparation"/>
    <s v="N"/>
    <s v="Created Materials"/>
    <s v="N"/>
    <s v="OER and Library"/>
    <x v="2"/>
    <s v="Positive"/>
    <s v="Not Measured"/>
    <n v="30000"/>
    <n v="120"/>
    <n v="250"/>
    <n v="40"/>
    <n v="40"/>
    <n v="40"/>
    <s v="Spring 2015"/>
    <s v="N"/>
    <m/>
    <m/>
    <s v="Continued"/>
    <n v="40"/>
    <n v="10000"/>
    <n v="40"/>
    <n v="10000"/>
    <n v="40"/>
    <n v="10000"/>
    <n v="40"/>
    <n v="10000"/>
    <n v="40"/>
    <n v="10000"/>
    <n v="120"/>
    <n v="30000"/>
    <n v="40"/>
    <n v="10000"/>
    <n v="40"/>
    <n v="10000"/>
    <n v="40"/>
    <n v="10000"/>
    <n v="120"/>
    <n v="30000"/>
    <n v="40"/>
    <n v="10000"/>
    <n v="40"/>
    <n v="10000"/>
    <n v="40"/>
    <n v="10000"/>
    <n v="120"/>
    <n v="30000"/>
    <x v="0"/>
    <n v="30"/>
    <n v="60"/>
    <n v="60"/>
    <n v="150"/>
    <n v="108.33"/>
    <n v="16249.5"/>
    <n v="30"/>
    <n v="3249.9"/>
    <n v="60"/>
    <n v="6499.8"/>
    <n v="60"/>
    <n v="6499.8"/>
    <n v="150"/>
    <n v="16249.5"/>
    <s v="Continued"/>
    <n v="40"/>
    <n v="50"/>
    <n v="50"/>
    <n v="140"/>
    <n v="85"/>
    <n v="11900"/>
    <s v="Spring 2015"/>
    <n v="40"/>
    <n v="3400"/>
    <n v="50"/>
    <n v="4250"/>
    <n v="50"/>
    <n v="4250"/>
    <n v="140"/>
    <n v="11900"/>
    <s v="Continued"/>
    <n v="40"/>
    <n v="50"/>
    <n v="50"/>
    <n v="140"/>
    <n v="85"/>
    <n v="11900"/>
    <m/>
    <n v="40"/>
    <n v="3400"/>
    <n v="50"/>
    <n v="4250"/>
    <n v="50"/>
    <n v="4250"/>
    <n v="140"/>
    <n v="11900"/>
    <n v="830"/>
    <n v="140049.5"/>
    <n v="12.967546296296296"/>
  </r>
  <r>
    <x v="6"/>
    <s v="Completed"/>
    <m/>
    <s v="R1: No PO"/>
    <d v="2014-11-19T00:00:00"/>
    <d v="2015-06-08T00:00:00"/>
    <s v="01"/>
    <x v="0"/>
    <x v="0"/>
    <x v="4"/>
    <n v="10800"/>
    <m/>
    <x v="6"/>
    <x v="6"/>
    <s v="Introduction to Computing"/>
    <s v="CSCI 1100"/>
    <s v="Computing Disciplines"/>
    <s v="N"/>
    <s v="Created Materials"/>
    <s v="N"/>
    <s v="Various OER"/>
    <x v="2"/>
    <s v="Neutral"/>
    <s v="Neutral"/>
    <n v="205275"/>
    <n v="1050"/>
    <n v="195.5"/>
    <n v="350"/>
    <n v="350"/>
    <n v="350"/>
    <s v="Spring 2015"/>
    <s v="N"/>
    <m/>
    <m/>
    <s v="Unknown"/>
    <n v="350"/>
    <n v="68425"/>
    <n v="350"/>
    <n v="68425"/>
    <n v="0"/>
    <n v="0"/>
    <n v="0"/>
    <n v="0"/>
    <n v="0"/>
    <n v="0"/>
    <n v="0"/>
    <n v="0"/>
    <n v="0"/>
    <n v="0"/>
    <n v="0"/>
    <n v="0"/>
    <n v="0"/>
    <n v="0"/>
    <n v="0"/>
    <n v="0"/>
    <n v="0"/>
    <n v="0"/>
    <n v="0"/>
    <n v="0"/>
    <n v="0"/>
    <n v="0"/>
    <n v="0"/>
    <n v="0"/>
    <x v="1"/>
    <n v="0"/>
    <n v="0"/>
    <n v="0"/>
    <n v="0"/>
    <n v="189.95"/>
    <n v="0"/>
    <n v="0"/>
    <n v="0"/>
    <n v="0"/>
    <n v="0"/>
    <n v="0"/>
    <n v="0"/>
    <n v="0"/>
    <n v="0"/>
    <s v="Discontinued"/>
    <n v="0"/>
    <n v="0"/>
    <n v="0"/>
    <n v="0"/>
    <n v="0"/>
    <n v="0"/>
    <s v="Spring 2015"/>
    <n v="0"/>
    <n v="0"/>
    <n v="0"/>
    <n v="0"/>
    <n v="0"/>
    <n v="0"/>
    <n v="0"/>
    <n v="0"/>
    <s v="Discontinued"/>
    <n v="0"/>
    <n v="0"/>
    <n v="0"/>
    <n v="0"/>
    <n v="0"/>
    <n v="0"/>
    <m/>
    <n v="0"/>
    <n v="0"/>
    <n v="0"/>
    <n v="0"/>
    <n v="0"/>
    <n v="0"/>
    <n v="0"/>
    <n v="0"/>
    <n v="350"/>
    <n v="68425"/>
    <n v="6.3356481481481479"/>
  </r>
  <r>
    <x v="7"/>
    <s v="Completed"/>
    <m/>
    <s v="R1: No PO"/>
    <d v="2014-11-19T00:00:00"/>
    <d v="2015-06-08T00:00:00"/>
    <s v="01"/>
    <x v="0"/>
    <x v="0"/>
    <x v="5"/>
    <n v="10800"/>
    <m/>
    <x v="7"/>
    <x v="7"/>
    <s v="Principles of Logic and Argumentation"/>
    <s v="PHIL 2020"/>
    <s v="Philosophy and Religion"/>
    <s v="Introduction to Philosophy"/>
    <s v="Created Materials"/>
    <s v="N"/>
    <s v="Critical Thinking Web"/>
    <x v="2"/>
    <s v="Neutral"/>
    <s v="Positive"/>
    <n v="72301"/>
    <n v="560"/>
    <n v="129.10892857142858"/>
    <n v="186.66666666666666"/>
    <n v="186.66666666666666"/>
    <n v="186.66666666666666"/>
    <s v="Spring 2015"/>
    <s v="N"/>
    <m/>
    <m/>
    <s v="Continued"/>
    <n v="186.66666666666666"/>
    <n v="24100.333333333332"/>
    <n v="186.66666666666666"/>
    <n v="24100.333333333332"/>
    <n v="186.66666666666666"/>
    <n v="24100.333333333332"/>
    <n v="186.66666666666666"/>
    <n v="24100.333333333332"/>
    <n v="186.66666666666666"/>
    <n v="24100.333333333332"/>
    <n v="560"/>
    <n v="72301"/>
    <n v="186.66666666666666"/>
    <n v="24100.333333333332"/>
    <n v="186.66666666666666"/>
    <n v="24100.333333333332"/>
    <n v="186.66666666666666"/>
    <n v="24100.333333333332"/>
    <n v="560"/>
    <n v="72301"/>
    <n v="186.66666666666666"/>
    <n v="24100.333333333332"/>
    <n v="186.66666666666666"/>
    <n v="24100.333333333332"/>
    <n v="186.66666666666666"/>
    <n v="24100.333333333332"/>
    <n v="560"/>
    <n v="72301"/>
    <x v="0"/>
    <n v="40"/>
    <n v="80"/>
    <n v="80"/>
    <n v="200"/>
    <n v="181.95"/>
    <n v="36390"/>
    <n v="40"/>
    <n v="7278"/>
    <n v="80"/>
    <n v="14556"/>
    <n v="80"/>
    <n v="14556"/>
    <n v="200"/>
    <n v="36390"/>
    <s v="Continued"/>
    <n v="38"/>
    <n v="82"/>
    <n v="80"/>
    <n v="200"/>
    <n v="150"/>
    <n v="30000"/>
    <s v="Spring 2015"/>
    <n v="38"/>
    <n v="5700"/>
    <n v="82"/>
    <n v="12300"/>
    <n v="80"/>
    <n v="12000"/>
    <n v="200"/>
    <n v="30000"/>
    <s v="Continued"/>
    <n v="38"/>
    <n v="82"/>
    <n v="80"/>
    <n v="200"/>
    <n v="150"/>
    <n v="30000"/>
    <m/>
    <n v="38"/>
    <n v="5700"/>
    <n v="82"/>
    <n v="12300"/>
    <n v="80"/>
    <n v="12000"/>
    <n v="200"/>
    <n v="30000"/>
    <n v="2466.6666666666665"/>
    <n v="337393.33333333331"/>
    <n v="31.240123456790123"/>
  </r>
  <r>
    <x v="8"/>
    <s v="Completed"/>
    <m/>
    <s v="R1: No PO"/>
    <d v="2014-03-03T00:00:00"/>
    <d v="2015-06-08T00:00:00"/>
    <s v="01"/>
    <x v="0"/>
    <x v="0"/>
    <x v="5"/>
    <n v="10800"/>
    <m/>
    <x v="8"/>
    <x v="8"/>
    <s v="Evolution and Biodiversity, Organismal Biology"/>
    <s v="BIOL 1010, BIOL 1030"/>
    <s v="Biological Sciences"/>
    <s v="N"/>
    <s v="N"/>
    <s v="Y"/>
    <s v="OpenStax Concepts of Biology"/>
    <x v="2"/>
    <s v="Neutral"/>
    <s v="Neutral"/>
    <n v="124875"/>
    <n v="900"/>
    <n v="138.75"/>
    <n v="300"/>
    <n v="300"/>
    <n v="300"/>
    <s v="Spring 2015"/>
    <s v="Y"/>
    <n v="180"/>
    <s v="Spring 2016"/>
    <s v="Continued"/>
    <n v="300"/>
    <n v="41625"/>
    <n v="300"/>
    <n v="41625"/>
    <n v="300"/>
    <n v="41625"/>
    <n v="300"/>
    <n v="41625"/>
    <n v="0"/>
    <n v="0"/>
    <n v="0"/>
    <n v="83250"/>
    <n v="0"/>
    <n v="0"/>
    <n v="0"/>
    <n v="0"/>
    <n v="0"/>
    <n v="0"/>
    <n v="0"/>
    <n v="0"/>
    <n v="0"/>
    <n v="0"/>
    <n v="0"/>
    <n v="0"/>
    <n v="0"/>
    <n v="0"/>
    <n v="0"/>
    <n v="0"/>
    <x v="2"/>
    <n v="0"/>
    <n v="0"/>
    <n v="0"/>
    <n v="0"/>
    <n v="193.74"/>
    <n v="0"/>
    <n v="0"/>
    <n v="0"/>
    <n v="0"/>
    <n v="0"/>
    <n v="0"/>
    <n v="0"/>
    <n v="0"/>
    <n v="0"/>
    <s v="Scaled"/>
    <n v="0"/>
    <n v="0"/>
    <n v="0"/>
    <n v="0"/>
    <n v="0"/>
    <n v="0"/>
    <s v="Spring 2015"/>
    <n v="0"/>
    <n v="0"/>
    <n v="0"/>
    <n v="0"/>
    <n v="0"/>
    <n v="0"/>
    <n v="0"/>
    <n v="0"/>
    <s v="Scaled"/>
    <n v="0"/>
    <n v="0"/>
    <n v="0"/>
    <n v="0"/>
    <n v="0"/>
    <n v="0"/>
    <m/>
    <n v="0"/>
    <n v="0"/>
    <n v="0"/>
    <n v="0"/>
    <n v="0"/>
    <n v="0"/>
    <n v="0"/>
    <n v="0"/>
    <n v="300"/>
    <n v="124875"/>
    <n v="11.5625"/>
  </r>
  <r>
    <x v="9"/>
    <s v="Completed"/>
    <m/>
    <s v="R1: No PO"/>
    <d v="2015-03-03T00:00:00"/>
    <d v="2015-06-08T00:00:00"/>
    <s v="01"/>
    <x v="0"/>
    <x v="0"/>
    <x v="5"/>
    <n v="10800"/>
    <m/>
    <x v="9"/>
    <x v="9"/>
    <s v="Science and Technology in Early Childhood Education"/>
    <s v="ECED 4500"/>
    <s v="Educator Preparation"/>
    <s v="N"/>
    <s v="Created Materials"/>
    <s v="N"/>
    <s v="Various OER"/>
    <x v="2"/>
    <s v="Neutral"/>
    <s v="Neutral"/>
    <n v="5544"/>
    <n v="56"/>
    <n v="99"/>
    <n v="18.666666666666668"/>
    <n v="18.666666666666668"/>
    <n v="18.666666666666668"/>
    <s v="Spring 2015"/>
    <s v="N"/>
    <m/>
    <m/>
    <s v="Continued"/>
    <n v="18.666666666666668"/>
    <n v="1848.0000000000002"/>
    <n v="18.666666666666668"/>
    <n v="1848.0000000000002"/>
    <n v="18.666666666666668"/>
    <n v="1848.0000000000002"/>
    <n v="18.666666666666668"/>
    <n v="1848.0000000000002"/>
    <n v="18.666666666666668"/>
    <n v="1848.0000000000002"/>
    <n v="56"/>
    <n v="5544.0000000000009"/>
    <n v="18.666666666666668"/>
    <n v="1848.0000000000002"/>
    <n v="18.666666666666668"/>
    <n v="1848.0000000000002"/>
    <n v="18.666666666666668"/>
    <n v="1848.0000000000002"/>
    <n v="56"/>
    <n v="5544.0000000000009"/>
    <n v="18.666666666666668"/>
    <n v="1848.0000000000002"/>
    <n v="18.666666666666668"/>
    <n v="1848.0000000000002"/>
    <n v="18.666666666666668"/>
    <n v="1848.0000000000002"/>
    <n v="56"/>
    <n v="5544.0000000000009"/>
    <x v="1"/>
    <n v="0"/>
    <n v="0"/>
    <n v="0"/>
    <n v="0"/>
    <n v="104.5"/>
    <n v="0"/>
    <n v="0"/>
    <n v="0"/>
    <n v="0"/>
    <n v="0"/>
    <n v="0"/>
    <n v="0"/>
    <n v="0"/>
    <n v="0"/>
    <s v="Discontinued"/>
    <n v="0"/>
    <n v="0"/>
    <n v="0"/>
    <n v="0"/>
    <n v="0"/>
    <n v="0"/>
    <s v="Spring 2015"/>
    <n v="0"/>
    <n v="0"/>
    <n v="0"/>
    <n v="0"/>
    <n v="0"/>
    <n v="0"/>
    <n v="0"/>
    <n v="0"/>
    <s v="Discontinued"/>
    <n v="0"/>
    <n v="0"/>
    <n v="0"/>
    <n v="0"/>
    <n v="0"/>
    <n v="0"/>
    <m/>
    <n v="0"/>
    <n v="0"/>
    <n v="0"/>
    <n v="0"/>
    <n v="0"/>
    <n v="0"/>
    <n v="0"/>
    <n v="0"/>
    <n v="186.66666666666669"/>
    <n v="18480.000000000004"/>
    <n v="1.7111111111111115"/>
  </r>
  <r>
    <x v="10"/>
    <s v="Completed"/>
    <m/>
    <s v="R1: No PO"/>
    <d v="2014-11-19T00:00:00"/>
    <d v="2015-06-08T00:00:00"/>
    <s v="01"/>
    <x v="0"/>
    <x v="0"/>
    <x v="6"/>
    <n v="10800"/>
    <m/>
    <x v="10"/>
    <x v="10"/>
    <s v="Introduction to General Psychology"/>
    <s v="PSYC 1101"/>
    <s v="Psychology"/>
    <s v="Introduction to General Psychology"/>
    <s v="N"/>
    <s v="N"/>
    <s v="Saylor Introduction to Psychology"/>
    <x v="0"/>
    <s v="Neutral"/>
    <s v="Neutral"/>
    <n v="44000"/>
    <n v="440"/>
    <n v="100"/>
    <n v="146.66666666666666"/>
    <n v="146.66666666666666"/>
    <n v="146.66666666666666"/>
    <s v="Spring 2015"/>
    <s v="Y"/>
    <n v="102"/>
    <s v="Fall 2015"/>
    <s v="Continued"/>
    <n v="146.66666666666666"/>
    <n v="14666.666666666666"/>
    <n v="146.66666666666666"/>
    <n v="14666.666666666666"/>
    <n v="146.66666666666666"/>
    <n v="14666.666666666666"/>
    <n v="0"/>
    <n v="0"/>
    <n v="0"/>
    <n v="0"/>
    <n v="0"/>
    <n v="14666.666666666666"/>
    <n v="0"/>
    <n v="0"/>
    <n v="0"/>
    <n v="0"/>
    <n v="0"/>
    <n v="0"/>
    <n v="0"/>
    <n v="0"/>
    <n v="0"/>
    <n v="0"/>
    <n v="0"/>
    <n v="0"/>
    <n v="0"/>
    <n v="0"/>
    <n v="0"/>
    <n v="0"/>
    <x v="2"/>
    <n v="0"/>
    <n v="0"/>
    <n v="0"/>
    <n v="0"/>
    <n v="115.99"/>
    <n v="0"/>
    <n v="0"/>
    <n v="0"/>
    <n v="0"/>
    <n v="0"/>
    <n v="0"/>
    <n v="0"/>
    <n v="0"/>
    <n v="0"/>
    <s v="Scaled"/>
    <n v="0"/>
    <n v="0"/>
    <n v="0"/>
    <n v="0"/>
    <n v="0"/>
    <n v="0"/>
    <s v="Spring 2015"/>
    <n v="0"/>
    <n v="0"/>
    <n v="0"/>
    <n v="0"/>
    <n v="0"/>
    <n v="0"/>
    <n v="0"/>
    <n v="0"/>
    <s v="Scaled"/>
    <n v="0"/>
    <n v="0"/>
    <n v="0"/>
    <n v="0"/>
    <n v="0"/>
    <n v="0"/>
    <m/>
    <n v="0"/>
    <n v="0"/>
    <n v="0"/>
    <n v="0"/>
    <n v="0"/>
    <n v="0"/>
    <n v="0"/>
    <n v="0"/>
    <n v="146.66666666666666"/>
    <n v="29333.333333333332"/>
    <n v="2.7160493827160495"/>
  </r>
  <r>
    <x v="11"/>
    <s v="Completed"/>
    <m/>
    <s v="R1: No PO"/>
    <d v="2014-11-19T00:00:00"/>
    <d v="2015-06-08T00:00:00"/>
    <s v="01"/>
    <x v="0"/>
    <x v="0"/>
    <x v="7"/>
    <n v="10800"/>
    <m/>
    <x v="11"/>
    <x v="11"/>
    <s v="Calculus I, Calculus II, Calculus III"/>
    <s v="MATH 1161, MATH 2072, MATH 2083"/>
    <s v="Mathematical Subjects"/>
    <s v="Calculus I"/>
    <s v="Created Materials"/>
    <s v="N"/>
    <s v="APEX Calculus"/>
    <x v="2"/>
    <s v="Neutral"/>
    <s v="Neutral"/>
    <n v="87025"/>
    <n v="521"/>
    <n v="167.03454894433781"/>
    <n v="173.66666666666666"/>
    <n v="173.66666666666666"/>
    <n v="173.66666666666666"/>
    <s v="Spring 2015"/>
    <s v="N"/>
    <m/>
    <m/>
    <s v="Continued"/>
    <n v="173.66666666666666"/>
    <n v="29008.333333333332"/>
    <n v="173.66666666666666"/>
    <n v="29008.333333333332"/>
    <n v="173.66666666666666"/>
    <n v="29008.333333333332"/>
    <n v="173.66666666666666"/>
    <n v="29008.333333333332"/>
    <n v="173.66666666666666"/>
    <n v="29008.333333333332"/>
    <n v="521"/>
    <n v="87025"/>
    <n v="173.66666666666666"/>
    <n v="29008.333333333332"/>
    <n v="173.66666666666666"/>
    <n v="29008.333333333332"/>
    <n v="173.66666666666666"/>
    <n v="29008.333333333332"/>
    <n v="521"/>
    <n v="87025"/>
    <n v="173.66666666666666"/>
    <n v="29008.333333333332"/>
    <n v="173.66666666666666"/>
    <n v="29008.333333333332"/>
    <n v="173.66666666666666"/>
    <n v="29008.333333333332"/>
    <n v="521"/>
    <n v="87025"/>
    <x v="0"/>
    <n v="50"/>
    <n v="200"/>
    <n v="180"/>
    <n v="430"/>
    <n v="288.68"/>
    <n v="124132.40000000001"/>
    <n v="50"/>
    <n v="14434"/>
    <n v="200"/>
    <n v="57736"/>
    <n v="180"/>
    <n v="51962.400000000001"/>
    <n v="430"/>
    <n v="124132.4"/>
    <s v="Continued"/>
    <n v="50"/>
    <n v="200"/>
    <n v="180"/>
    <n v="430"/>
    <n v="225"/>
    <n v="96750"/>
    <s v="Spring 2015"/>
    <n v="50"/>
    <n v="11250"/>
    <n v="200"/>
    <n v="45000"/>
    <n v="180"/>
    <n v="40500"/>
    <n v="430"/>
    <n v="96750"/>
    <s v="Timed Out"/>
    <n v="50"/>
    <n v="200"/>
    <n v="180"/>
    <n v="0"/>
    <n v="0"/>
    <n v="0"/>
    <m/>
    <n v="0"/>
    <n v="0"/>
    <n v="0"/>
    <n v="0"/>
    <n v="0"/>
    <n v="0"/>
    <n v="0"/>
    <n v="0"/>
    <n v="2596.6666666666665"/>
    <n v="510965.73333333328"/>
    <n v="47.311641975308639"/>
  </r>
  <r>
    <x v="12"/>
    <s v="Completed"/>
    <m/>
    <s v="R1: No PO"/>
    <d v="2015-01-28T00:00:00"/>
    <d v="2015-06-08T00:00:00"/>
    <s v="01"/>
    <x v="0"/>
    <x v="0"/>
    <x v="8"/>
    <n v="10800"/>
    <m/>
    <x v="12"/>
    <x v="12"/>
    <s v="Human Factors in Design"/>
    <s v="ID 2320"/>
    <s v="Engineering"/>
    <s v="N"/>
    <s v="Created Materials"/>
    <s v="N"/>
    <s v="Various OER"/>
    <x v="2"/>
    <s v="Neutral"/>
    <s v="Not Measured"/>
    <n v="15360"/>
    <n v="80"/>
    <n v="192"/>
    <n v="26.666666666666668"/>
    <n v="26.666666666666668"/>
    <n v="26.666666666666668"/>
    <s v="Spring 2015"/>
    <s v="N"/>
    <m/>
    <m/>
    <s v="Continued"/>
    <n v="26.666666666666668"/>
    <n v="5120"/>
    <n v="26.666666666666668"/>
    <n v="5120"/>
    <n v="26.666666666666668"/>
    <n v="5120"/>
    <n v="26.666666666666668"/>
    <n v="5120"/>
    <n v="26.666666666666668"/>
    <n v="5120"/>
    <n v="80"/>
    <n v="15360"/>
    <n v="26.666666666666668"/>
    <n v="5120"/>
    <n v="26.666666666666668"/>
    <n v="5120"/>
    <n v="26.666666666666668"/>
    <n v="5120"/>
    <n v="80"/>
    <n v="15360"/>
    <n v="26.666666666666668"/>
    <n v="5120"/>
    <n v="26.666666666666668"/>
    <n v="5120"/>
    <n v="26.666666666666668"/>
    <n v="5120"/>
    <n v="80"/>
    <n v="15360"/>
    <x v="0"/>
    <n v="40"/>
    <n v="100"/>
    <n v="100"/>
    <n v="240"/>
    <n v="223.65"/>
    <n v="53676"/>
    <n v="40"/>
    <n v="8946"/>
    <n v="100"/>
    <n v="22365"/>
    <n v="100"/>
    <n v="22365"/>
    <n v="240"/>
    <n v="53676"/>
    <s v="Continued"/>
    <n v="40"/>
    <n v="75"/>
    <n v="100"/>
    <n v="215"/>
    <n v="46"/>
    <n v="9890"/>
    <s v="Spring 2015"/>
    <n v="40"/>
    <n v="1840"/>
    <n v="75"/>
    <n v="3450"/>
    <n v="100"/>
    <n v="4600"/>
    <n v="215"/>
    <n v="9890"/>
    <s v="Continued"/>
    <n v="40"/>
    <n v="75"/>
    <n v="100"/>
    <n v="215"/>
    <n v="46"/>
    <n v="9890"/>
    <m/>
    <n v="40"/>
    <n v="1840"/>
    <n v="75"/>
    <n v="3450"/>
    <n v="100"/>
    <n v="4600"/>
    <n v="215"/>
    <n v="9890"/>
    <n v="936.66666666666674"/>
    <n v="124656"/>
    <n v="11.542222222222222"/>
  </r>
  <r>
    <x v="13"/>
    <s v="Completed"/>
    <m/>
    <s v="R1: No PO"/>
    <d v="2015-01-07T00:00:00"/>
    <d v="2015-06-08T00:00:00"/>
    <s v="01"/>
    <x v="0"/>
    <x v="0"/>
    <x v="9"/>
    <n v="5590"/>
    <m/>
    <x v="13"/>
    <x v="13"/>
    <s v="Introduction to General Psychology"/>
    <s v="PSYC 1101"/>
    <s v="Psychology"/>
    <s v="Introduction to General Psychology"/>
    <s v="Created Materials"/>
    <s v="N"/>
    <s v="NOBA Modules"/>
    <x v="2"/>
    <s v="Neutral"/>
    <s v="Neutral"/>
    <n v="43296"/>
    <n v="640"/>
    <n v="67.650000000000006"/>
    <n v="213.33333333333334"/>
    <n v="213.33333333333334"/>
    <n v="213.33333333333334"/>
    <s v="Spring 2015"/>
    <s v="N"/>
    <m/>
    <m/>
    <s v="Continued"/>
    <n v="213.33333333333334"/>
    <n v="14432.000000000002"/>
    <n v="213.33333333333334"/>
    <n v="14432.000000000002"/>
    <n v="213.33333333333334"/>
    <n v="14432.000000000002"/>
    <n v="213.33333333333334"/>
    <n v="14432.000000000002"/>
    <n v="213.33333333333334"/>
    <n v="14432.000000000002"/>
    <n v="640"/>
    <n v="43296.000000000007"/>
    <n v="213.33333333333334"/>
    <n v="14432.000000000002"/>
    <n v="213.33333333333334"/>
    <n v="14432.000000000002"/>
    <n v="213.33333333333334"/>
    <n v="14432.000000000002"/>
    <n v="640"/>
    <n v="43296.000000000007"/>
    <n v="213.33333333333334"/>
    <n v="14432.000000000002"/>
    <n v="213.33333333333334"/>
    <n v="14432.000000000002"/>
    <n v="213.33333333333334"/>
    <n v="14432.000000000002"/>
    <n v="640"/>
    <n v="43296.000000000007"/>
    <x v="0"/>
    <n v="40"/>
    <n v="240"/>
    <n v="110"/>
    <n v="390"/>
    <n v="138"/>
    <n v="53820"/>
    <n v="40"/>
    <n v="5520"/>
    <n v="240"/>
    <n v="33120"/>
    <n v="110"/>
    <n v="15180"/>
    <n v="390"/>
    <n v="53820"/>
    <s v="Continued"/>
    <n v="30"/>
    <n v="120"/>
    <n v="120"/>
    <n v="270"/>
    <n v="59.99"/>
    <n v="16197.300000000001"/>
    <s v="Spring 2015"/>
    <n v="30"/>
    <n v="1799.7"/>
    <n v="120"/>
    <n v="7198.8"/>
    <n v="120"/>
    <n v="7198.8"/>
    <n v="270"/>
    <n v="16197.3"/>
    <s v="Continued"/>
    <n v="30"/>
    <n v="120"/>
    <n v="120"/>
    <n v="270"/>
    <n v="59.99"/>
    <n v="16197.300000000001"/>
    <m/>
    <n v="30"/>
    <n v="1799.7"/>
    <n v="120"/>
    <n v="7198.8"/>
    <n v="120"/>
    <n v="7198.8"/>
    <n v="270"/>
    <n v="16197.3"/>
    <n v="3063.3333333333335"/>
    <n v="230534.6"/>
    <n v="41.240536672629695"/>
  </r>
  <r>
    <x v="14"/>
    <s v="Completed"/>
    <m/>
    <s v="R1: No PO"/>
    <d v="2015-01-22T00:00:00"/>
    <d v="2015-06-08T00:00:00"/>
    <s v="01"/>
    <x v="0"/>
    <x v="0"/>
    <x v="1"/>
    <n v="10800"/>
    <m/>
    <x v="14"/>
    <x v="14"/>
    <s v="Issues in African and African Diaspora Studies"/>
    <s v="AADS 1102"/>
    <s v="Arts and Sciences"/>
    <s v="N"/>
    <s v="N"/>
    <s v="N"/>
    <s v="Various OER"/>
    <x v="2"/>
    <s v="Neutral"/>
    <s v="Neutral"/>
    <n v="20840.75"/>
    <n v="175"/>
    <n v="119.09"/>
    <n v="58.333333333333336"/>
    <n v="58.333333333333336"/>
    <n v="58.333333333333336"/>
    <s v="Spring 2015"/>
    <s v="N"/>
    <m/>
    <m/>
    <s v="Continued"/>
    <n v="58.333333333333336"/>
    <n v="6946.916666666667"/>
    <n v="58.333333333333336"/>
    <n v="6946.916666666667"/>
    <n v="58.333333333333336"/>
    <n v="6946.916666666667"/>
    <n v="58.333333333333336"/>
    <n v="6946.916666666667"/>
    <n v="58.333333333333336"/>
    <n v="6946.916666666667"/>
    <n v="175"/>
    <n v="20840.75"/>
    <n v="58.333333333333336"/>
    <n v="6946.916666666667"/>
    <n v="58.333333333333336"/>
    <n v="6946.916666666667"/>
    <n v="58.333333333333336"/>
    <n v="6946.916666666667"/>
    <n v="175"/>
    <n v="20840.75"/>
    <n v="58.333333333333336"/>
    <n v="6946.916666666667"/>
    <n v="58.333333333333336"/>
    <n v="6946.916666666667"/>
    <n v="58.333333333333336"/>
    <n v="6946.916666666667"/>
    <n v="175"/>
    <n v="20840.75"/>
    <x v="0"/>
    <n v="35"/>
    <n v="70"/>
    <n v="70"/>
    <n v="175"/>
    <n v="119.09"/>
    <n v="20840.75"/>
    <n v="35"/>
    <n v="4168.1500000000005"/>
    <n v="70"/>
    <n v="8336.3000000000011"/>
    <n v="70"/>
    <n v="8336.3000000000011"/>
    <n v="175"/>
    <n v="20840.75"/>
    <s v="Continued"/>
    <n v="0"/>
    <n v="70"/>
    <n v="70"/>
    <n v="140"/>
    <n v="135"/>
    <n v="18900"/>
    <s v="Spring 2015"/>
    <n v="0"/>
    <n v="0"/>
    <n v="70"/>
    <n v="9450"/>
    <n v="70"/>
    <n v="9450"/>
    <n v="140"/>
    <n v="18900"/>
    <s v="Continued"/>
    <n v="0"/>
    <n v="70"/>
    <n v="70"/>
    <n v="140"/>
    <n v="135"/>
    <n v="18900"/>
    <m/>
    <n v="0"/>
    <n v="0"/>
    <n v="70"/>
    <n v="9450"/>
    <n v="70"/>
    <n v="9450"/>
    <n v="140"/>
    <n v="18900"/>
    <n v="1038.3333333333335"/>
    <n v="128109.91666666667"/>
    <n v="11.862029320987654"/>
  </r>
  <r>
    <x v="15"/>
    <s v="Completed"/>
    <m/>
    <s v="R1: No PO"/>
    <d v="2014-11-19T00:00:00"/>
    <d v="2015-06-08T00:00:00"/>
    <s v="01"/>
    <x v="0"/>
    <x v="0"/>
    <x v="10"/>
    <n v="10800"/>
    <m/>
    <x v="15"/>
    <x v="15"/>
    <s v="Introductory Algebra, Intermediate Algebra, College Algebra"/>
    <s v="MATH 0097, MATH 0099, MATH 1111"/>
    <s v="Mathematical Subjects"/>
    <s v="Support for College Algebra, College Algebra"/>
    <s v="Created Materials"/>
    <s v="N"/>
    <s v="Various OER"/>
    <x v="2"/>
    <s v="Neutral"/>
    <s v="Neutral"/>
    <n v="236646"/>
    <n v="1200"/>
    <n v="197.20500000000001"/>
    <n v="400"/>
    <n v="400"/>
    <n v="400"/>
    <s v="Spring 2015"/>
    <s v="N"/>
    <m/>
    <m/>
    <s v="Continued"/>
    <n v="400"/>
    <n v="78882"/>
    <n v="400"/>
    <n v="78882"/>
    <n v="400"/>
    <n v="78882"/>
    <n v="400"/>
    <n v="78882"/>
    <n v="400"/>
    <n v="78882"/>
    <n v="1200"/>
    <n v="236646"/>
    <n v="400"/>
    <n v="78882"/>
    <n v="400"/>
    <n v="78882"/>
    <n v="400"/>
    <n v="78882"/>
    <n v="1200"/>
    <n v="236646"/>
    <n v="400"/>
    <n v="78882"/>
    <n v="400"/>
    <n v="78882"/>
    <n v="400"/>
    <n v="78882"/>
    <n v="1200"/>
    <n v="236646"/>
    <x v="0"/>
    <n v="30"/>
    <n v="60"/>
    <n v="60"/>
    <n v="150"/>
    <n v="261.97000000000003"/>
    <n v="39295.500000000007"/>
    <n v="30"/>
    <n v="7859.1"/>
    <n v="60"/>
    <n v="15718.2"/>
    <n v="60"/>
    <n v="15718.2"/>
    <n v="150"/>
    <n v="39295.5"/>
    <s v="Discontinued"/>
    <n v="0"/>
    <n v="0"/>
    <n v="0"/>
    <n v="0"/>
    <n v="0"/>
    <n v="0"/>
    <s v="Spring 2015"/>
    <n v="0"/>
    <n v="0"/>
    <n v="0"/>
    <n v="0"/>
    <n v="0"/>
    <n v="0"/>
    <n v="0"/>
    <n v="0"/>
    <s v="Discontinued"/>
    <n v="0"/>
    <n v="0"/>
    <n v="0"/>
    <n v="0"/>
    <n v="0"/>
    <n v="0"/>
    <m/>
    <n v="0"/>
    <n v="0"/>
    <n v="0"/>
    <n v="0"/>
    <n v="0"/>
    <n v="0"/>
    <n v="0"/>
    <n v="0"/>
    <n v="4150"/>
    <n v="828115.5"/>
    <n v="76.677361111111111"/>
  </r>
  <r>
    <x v="16"/>
    <s v="Completed"/>
    <m/>
    <s v="R1: No PO"/>
    <d v="2015-01-06T00:00:00"/>
    <d v="2015-06-08T00:00:00"/>
    <s v="01"/>
    <x v="0"/>
    <x v="0"/>
    <x v="11"/>
    <n v="10800"/>
    <m/>
    <x v="16"/>
    <x v="16"/>
    <s v="World Literature I"/>
    <s v="ENGL 2111"/>
    <s v="English"/>
    <s v="World Literature I"/>
    <s v="Created Materials"/>
    <s v="N"/>
    <s v="Various OER"/>
    <x v="2"/>
    <s v="Neutral"/>
    <s v="Neutral"/>
    <n v="25847.5"/>
    <n v="245"/>
    <n v="105.5"/>
    <n v="81.666666666666671"/>
    <n v="81.666666666666671"/>
    <n v="81.666666666666671"/>
    <s v="Spring 2015"/>
    <s v="N"/>
    <m/>
    <m/>
    <s v="Continued"/>
    <n v="81.666666666666671"/>
    <n v="8615.8333333333339"/>
    <n v="81.666666666666671"/>
    <n v="8615.8333333333339"/>
    <n v="81.666666666666671"/>
    <n v="8615.8333333333339"/>
    <n v="81.666666666666671"/>
    <n v="8615.8333333333339"/>
    <n v="81.666666666666671"/>
    <n v="8615.8333333333339"/>
    <n v="245"/>
    <n v="25847.5"/>
    <n v="81.666666666666671"/>
    <n v="8615.8333333333339"/>
    <n v="81.666666666666671"/>
    <n v="8615.8333333333339"/>
    <n v="81.666666666666671"/>
    <n v="8615.8333333333339"/>
    <n v="245"/>
    <n v="25847.5"/>
    <n v="81.666666666666671"/>
    <n v="8615.8333333333339"/>
    <n v="81.666666666666671"/>
    <n v="8615.8333333333339"/>
    <n v="81.666666666666671"/>
    <n v="8615.8333333333339"/>
    <n v="245"/>
    <n v="25847.5"/>
    <x v="0"/>
    <n v="25"/>
    <n v="25"/>
    <n v="25"/>
    <n v="75"/>
    <n v="116.09"/>
    <n v="8706.75"/>
    <n v="25"/>
    <n v="2902.25"/>
    <n v="25"/>
    <n v="2902.25"/>
    <n v="25"/>
    <n v="2902.25"/>
    <n v="75"/>
    <n v="8706.75"/>
    <s v="Continued"/>
    <n v="25"/>
    <n v="25"/>
    <n v="25"/>
    <n v="75"/>
    <n v="95.99"/>
    <n v="7199.25"/>
    <s v="Spring 2015"/>
    <n v="25"/>
    <n v="2399.75"/>
    <n v="25"/>
    <n v="2399.75"/>
    <n v="25"/>
    <n v="2399.75"/>
    <n v="75"/>
    <n v="7199.25"/>
    <s v="Continued"/>
    <n v="25"/>
    <n v="25"/>
    <n v="25"/>
    <n v="75"/>
    <n v="95.99"/>
    <n v="7199.25"/>
    <m/>
    <n v="25"/>
    <n v="2399.75"/>
    <n v="25"/>
    <n v="2399.75"/>
    <n v="25"/>
    <n v="2399.75"/>
    <n v="75"/>
    <n v="7199.25"/>
    <n v="1041.6666666666667"/>
    <n v="109263.58333333334"/>
    <n v="10.116998456790125"/>
  </r>
  <r>
    <x v="17"/>
    <s v="Completed"/>
    <m/>
    <s v="R1: No PO"/>
    <d v="2015-01-07T00:00:00"/>
    <d v="2015-06-08T00:00:00"/>
    <s v="01"/>
    <x v="0"/>
    <x v="0"/>
    <x v="12"/>
    <n v="10800"/>
    <m/>
    <x v="17"/>
    <x v="17"/>
    <s v="Human Anatomy and Physiology"/>
    <s v="BIOL 2411"/>
    <s v="Biological Sciences"/>
    <s v="N"/>
    <s v="Created Materials"/>
    <s v="Y"/>
    <s v="OpenStax Anatomy and Physiology"/>
    <x v="2"/>
    <s v="Positive"/>
    <s v="Positive"/>
    <n v="22500"/>
    <n v="75"/>
    <n v="300"/>
    <n v="25"/>
    <n v="25"/>
    <n v="25"/>
    <s v="Spring 2015"/>
    <s v="Y"/>
    <n v="120"/>
    <s v="Fall 2015"/>
    <s v="Continued"/>
    <n v="25"/>
    <n v="7500"/>
    <n v="25"/>
    <n v="7500"/>
    <n v="25"/>
    <n v="7500"/>
    <n v="0"/>
    <n v="0"/>
    <n v="0"/>
    <n v="0"/>
    <n v="0"/>
    <n v="7500"/>
    <n v="0"/>
    <n v="0"/>
    <n v="0"/>
    <n v="0"/>
    <n v="0"/>
    <n v="0"/>
    <n v="0"/>
    <n v="0"/>
    <n v="0"/>
    <n v="0"/>
    <n v="0"/>
    <n v="0"/>
    <n v="0"/>
    <n v="0"/>
    <n v="0"/>
    <n v="0"/>
    <x v="2"/>
    <n v="0"/>
    <n v="0"/>
    <n v="0"/>
    <n v="0"/>
    <n v="390.5"/>
    <n v="0"/>
    <n v="0"/>
    <n v="0"/>
    <n v="0"/>
    <n v="0"/>
    <n v="0"/>
    <n v="0"/>
    <n v="0"/>
    <n v="0"/>
    <s v="Scaled"/>
    <n v="0"/>
    <n v="0"/>
    <n v="0"/>
    <n v="0"/>
    <n v="0"/>
    <n v="0"/>
    <s v="Spring 2015"/>
    <n v="0"/>
    <n v="0"/>
    <n v="0"/>
    <n v="0"/>
    <n v="0"/>
    <n v="0"/>
    <n v="0"/>
    <n v="0"/>
    <s v="Scaled"/>
    <n v="0"/>
    <n v="0"/>
    <n v="0"/>
    <n v="0"/>
    <n v="0"/>
    <n v="0"/>
    <m/>
    <n v="0"/>
    <n v="0"/>
    <n v="0"/>
    <n v="0"/>
    <n v="0"/>
    <n v="0"/>
    <n v="0"/>
    <n v="0"/>
    <n v="25"/>
    <n v="15000"/>
    <n v="1.3888888888888888"/>
  </r>
  <r>
    <x v="18"/>
    <s v="Completed"/>
    <m/>
    <s v="R1: No PO"/>
    <d v="2015-04-17T00:00:00"/>
    <d v="2015-06-08T00:00:00"/>
    <s v="01"/>
    <x v="0"/>
    <x v="0"/>
    <x v="13"/>
    <n v="10800"/>
    <m/>
    <x v="18"/>
    <x v="18"/>
    <s v="Introductory Biology II"/>
    <s v="BIOL 1020"/>
    <s v="Biological Sciences"/>
    <s v="Introductory Biology II"/>
    <s v="Created Materials"/>
    <s v="Y"/>
    <s v="OpenStax Concepts of Biology"/>
    <x v="2"/>
    <s v="Neutral"/>
    <s v="Neutral"/>
    <n v="16339.2"/>
    <n v="96"/>
    <n v="170.20000000000002"/>
    <n v="32"/>
    <n v="32"/>
    <n v="32"/>
    <s v="Spring 2015"/>
    <s v="N"/>
    <m/>
    <m/>
    <s v="Continued"/>
    <n v="32"/>
    <n v="5446.4000000000005"/>
    <n v="32"/>
    <n v="5446.4000000000005"/>
    <n v="32"/>
    <n v="5446.4000000000005"/>
    <n v="32"/>
    <n v="5446.4000000000005"/>
    <n v="32"/>
    <n v="5446.4000000000005"/>
    <n v="96"/>
    <n v="16339.2"/>
    <n v="32"/>
    <n v="5446.4000000000005"/>
    <n v="32"/>
    <n v="5446.4000000000005"/>
    <n v="32"/>
    <n v="5446.4000000000005"/>
    <n v="96"/>
    <n v="16339.2"/>
    <n v="32"/>
    <n v="5446.4000000000005"/>
    <n v="32"/>
    <n v="5446.4000000000005"/>
    <n v="32"/>
    <n v="5446.4000000000005"/>
    <n v="96"/>
    <n v="16339.2"/>
    <x v="0"/>
    <n v="0"/>
    <n v="24"/>
    <n v="48"/>
    <n v="72"/>
    <n v="173.85"/>
    <n v="12517.199999999999"/>
    <n v="0"/>
    <n v="0"/>
    <n v="24"/>
    <n v="4172.3999999999996"/>
    <n v="48"/>
    <n v="8344.7999999999993"/>
    <n v="72"/>
    <n v="12517.199999999999"/>
    <s v="Continued"/>
    <n v="0"/>
    <n v="24"/>
    <n v="48"/>
    <n v="72"/>
    <n v="170.2"/>
    <n v="12254.4"/>
    <s v="Spring 2015"/>
    <n v="0"/>
    <n v="0"/>
    <n v="24"/>
    <n v="4084.7999999999997"/>
    <n v="48"/>
    <n v="8169.5999999999995"/>
    <n v="72"/>
    <n v="12254.4"/>
    <s v="Continued"/>
    <n v="0"/>
    <n v="24"/>
    <n v="48"/>
    <n v="72"/>
    <n v="170.2"/>
    <n v="12254.4"/>
    <m/>
    <n v="0"/>
    <n v="0"/>
    <n v="24"/>
    <n v="4084.7999999999997"/>
    <n v="48"/>
    <n v="8169.5999999999995"/>
    <n v="72"/>
    <n v="12254.4"/>
    <n v="536"/>
    <n v="91489.999999999985"/>
    <n v="8.4712962962962948"/>
  </r>
  <r>
    <x v="19"/>
    <s v="Completed"/>
    <m/>
    <s v="R1: No PO"/>
    <d v="2015-01-22T00:00:00"/>
    <d v="2015-06-08T00:00:00"/>
    <s v="01"/>
    <x v="0"/>
    <x v="0"/>
    <x v="1"/>
    <n v="10800"/>
    <m/>
    <x v="19"/>
    <x v="19"/>
    <s v="Spirits, Beers, and Brews"/>
    <s v="CSH 4630"/>
    <s v="Arts and Sciences"/>
    <s v="N"/>
    <s v="Created Materials"/>
    <s v="N"/>
    <s v="Various OER"/>
    <x v="2"/>
    <s v="Positive"/>
    <s v="Neutral"/>
    <n v="13875"/>
    <n v="300"/>
    <n v="46.25"/>
    <n v="100"/>
    <n v="100"/>
    <n v="100"/>
    <s v="Spring 2015"/>
    <s v="N"/>
    <m/>
    <m/>
    <s v="Continued"/>
    <n v="100"/>
    <n v="4625"/>
    <n v="100"/>
    <n v="4625"/>
    <n v="100"/>
    <n v="4625"/>
    <n v="100"/>
    <n v="4625"/>
    <n v="100"/>
    <n v="4625"/>
    <n v="300"/>
    <n v="13875"/>
    <n v="100"/>
    <n v="4625"/>
    <n v="100"/>
    <n v="4625"/>
    <n v="100"/>
    <n v="4625"/>
    <n v="300"/>
    <n v="13875"/>
    <n v="100"/>
    <n v="4625"/>
    <n v="100"/>
    <n v="4625"/>
    <n v="100"/>
    <n v="4625"/>
    <n v="300"/>
    <n v="13875"/>
    <x v="0"/>
    <n v="23"/>
    <n v="20"/>
    <n v="22"/>
    <n v="65"/>
    <n v="178"/>
    <n v="11570"/>
    <n v="23"/>
    <n v="4094"/>
    <n v="20"/>
    <n v="3560"/>
    <n v="22"/>
    <n v="3916"/>
    <n v="65"/>
    <n v="11570"/>
    <s v="Continued"/>
    <n v="10"/>
    <n v="10"/>
    <n v="0"/>
    <n v="20"/>
    <n v="46.25"/>
    <n v="925"/>
    <s v="Spring 2015"/>
    <n v="10"/>
    <n v="462.5"/>
    <n v="10"/>
    <n v="462.5"/>
    <n v="0"/>
    <n v="0"/>
    <n v="20"/>
    <n v="925"/>
    <s v="Discontinued"/>
    <n v="10"/>
    <n v="10"/>
    <n v="0"/>
    <n v="0"/>
    <n v="0"/>
    <n v="0"/>
    <m/>
    <n v="0"/>
    <n v="0"/>
    <n v="0"/>
    <n v="0"/>
    <n v="0"/>
    <n v="0"/>
    <n v="0"/>
    <n v="0"/>
    <n v="1085"/>
    <n v="58745"/>
    <n v="5.4393518518518515"/>
  </r>
  <r>
    <x v="20"/>
    <s v="Completed"/>
    <m/>
    <s v="R1: No PO"/>
    <d v="2015-01-07T00:00:00"/>
    <d v="2015-06-07T00:00:00"/>
    <s v="01"/>
    <x v="0"/>
    <x v="0"/>
    <x v="12"/>
    <n v="10800"/>
    <m/>
    <x v="20"/>
    <x v="20"/>
    <s v="Introductory Physics II"/>
    <s v="PHYS 1112"/>
    <s v="Physics and Astronomy"/>
    <s v="Introductory Physics II"/>
    <s v="Created Materials"/>
    <s v="Y"/>
    <s v="OpenStax College Physics"/>
    <x v="1"/>
    <s v="Neutral"/>
    <s v="Neutral"/>
    <n v="70000"/>
    <n v="400"/>
    <n v="175"/>
    <n v="133.33333333333334"/>
    <n v="133.33333333333334"/>
    <n v="133.33333333333334"/>
    <s v="Spring 2015"/>
    <s v="N"/>
    <m/>
    <m/>
    <s v="Continued"/>
    <n v="133.33333333333334"/>
    <n v="23333.333333333336"/>
    <n v="133.33333333333334"/>
    <n v="23333.333333333336"/>
    <n v="133.33333333333334"/>
    <n v="23333.333333333336"/>
    <n v="133.33333333333334"/>
    <n v="23333.333333333336"/>
    <n v="133.33333333333334"/>
    <n v="23333.333333333336"/>
    <n v="400"/>
    <n v="70000"/>
    <n v="133.33333333333334"/>
    <n v="23333.333333333336"/>
    <n v="133.33333333333334"/>
    <n v="23333.333333333336"/>
    <n v="133.33333333333334"/>
    <n v="23333.333333333336"/>
    <n v="400"/>
    <n v="70000"/>
    <n v="133.33333333333334"/>
    <n v="23333.333333333336"/>
    <n v="133.33333333333334"/>
    <n v="23333.333333333336"/>
    <n v="133.33333333333334"/>
    <n v="23333.333333333336"/>
    <n v="400"/>
    <n v="70000"/>
    <x v="0"/>
    <n v="5"/>
    <n v="25"/>
    <n v="50"/>
    <n v="80"/>
    <n v="175"/>
    <n v="14000"/>
    <n v="5"/>
    <n v="875"/>
    <n v="25"/>
    <n v="4375"/>
    <n v="50"/>
    <n v="8750"/>
    <n v="80"/>
    <n v="14000"/>
    <s v="Continued"/>
    <n v="5"/>
    <n v="25"/>
    <n v="50"/>
    <n v="80"/>
    <n v="175"/>
    <n v="14000"/>
    <s v="Spring 2015"/>
    <n v="5"/>
    <n v="875"/>
    <n v="25"/>
    <n v="4375"/>
    <n v="50"/>
    <n v="8750"/>
    <n v="80"/>
    <n v="14000"/>
    <s v="Continued"/>
    <n v="5"/>
    <n v="25"/>
    <n v="50"/>
    <n v="80"/>
    <n v="175"/>
    <n v="14000"/>
    <m/>
    <n v="5"/>
    <n v="875"/>
    <n v="25"/>
    <n v="4375"/>
    <n v="50"/>
    <n v="8750"/>
    <n v="80"/>
    <n v="14000"/>
    <n v="1573.3333333333335"/>
    <n v="275333.33333333337"/>
    <n v="25.493827160493829"/>
  </r>
  <r>
    <x v="21"/>
    <s v="Completed"/>
    <m/>
    <s v="R1: No PO"/>
    <d v="2015-01-06T00:00:00"/>
    <d v="2015-06-08T00:00:00"/>
    <s v="01"/>
    <x v="0"/>
    <x v="0"/>
    <x v="14"/>
    <n v="10800"/>
    <m/>
    <x v="21"/>
    <x v="21"/>
    <s v="First-Year Experience"/>
    <s v="FCST 1010"/>
    <s v="Arts and Sciences"/>
    <s v="N"/>
    <s v="Created Materials"/>
    <s v="N"/>
    <s v="Various OER"/>
    <x v="2"/>
    <s v="Positive"/>
    <s v="Not Measured"/>
    <n v="80437.5"/>
    <n v="1625"/>
    <n v="49.5"/>
    <n v="541.66666666666663"/>
    <n v="541.66666666666663"/>
    <n v="541.66666666666663"/>
    <s v="Spring 2015"/>
    <s v="N"/>
    <m/>
    <m/>
    <s v="Continued"/>
    <n v="541.66666666666663"/>
    <n v="26812.499999999996"/>
    <n v="541.66666666666663"/>
    <n v="26812.499999999996"/>
    <n v="541.66666666666663"/>
    <n v="26812.499999999996"/>
    <n v="541.66666666666663"/>
    <n v="26812.499999999996"/>
    <n v="541.66666666666663"/>
    <n v="26812.499999999996"/>
    <n v="1625"/>
    <n v="80437.499999999985"/>
    <n v="541.66666666666663"/>
    <n v="26812.499999999996"/>
    <n v="541.66666666666663"/>
    <n v="26812.499999999996"/>
    <n v="541.66666666666663"/>
    <n v="26812.499999999996"/>
    <n v="1625"/>
    <n v="80437.499999999985"/>
    <n v="541.66666666666663"/>
    <n v="26812.499999999996"/>
    <n v="541.66666666666663"/>
    <n v="26812.499999999996"/>
    <n v="271"/>
    <n v="13414.5"/>
    <n v="1354.3333333333333"/>
    <n v="67039.5"/>
    <x v="1"/>
    <n v="0"/>
    <n v="0"/>
    <n v="0"/>
    <n v="0"/>
    <n v="59.72"/>
    <n v="0"/>
    <n v="0"/>
    <n v="0"/>
    <n v="0"/>
    <n v="0"/>
    <n v="0"/>
    <n v="0"/>
    <n v="0"/>
    <n v="0"/>
    <s v="Discontinued"/>
    <n v="0"/>
    <n v="0"/>
    <n v="0"/>
    <n v="0"/>
    <n v="0"/>
    <n v="0"/>
    <s v="Spring 2015"/>
    <n v="0"/>
    <n v="0"/>
    <n v="0"/>
    <n v="0"/>
    <n v="0"/>
    <n v="0"/>
    <n v="0"/>
    <n v="0"/>
    <s v="Discontinued"/>
    <n v="0"/>
    <n v="0"/>
    <n v="0"/>
    <n v="0"/>
    <n v="0"/>
    <n v="0"/>
    <m/>
    <n v="0"/>
    <n v="0"/>
    <n v="0"/>
    <n v="0"/>
    <n v="0"/>
    <n v="0"/>
    <n v="0"/>
    <n v="0"/>
    <n v="5146"/>
    <n v="254726.99999999997"/>
    <n v="23.58583333333333"/>
  </r>
  <r>
    <x v="22"/>
    <s v="Completed"/>
    <m/>
    <s v="R1: No PO"/>
    <d v="2015-01-23T00:00:00"/>
    <d v="2015-06-09T00:00:00"/>
    <s v="01"/>
    <x v="0"/>
    <x v="0"/>
    <x v="15"/>
    <n v="10800"/>
    <m/>
    <x v="22"/>
    <x v="22"/>
    <s v="Integration for Practice: Neuromuscular"/>
    <s v="PTHP 8351"/>
    <s v="Nursing "/>
    <s v="N"/>
    <s v="Created Materials"/>
    <s v="N"/>
    <s v="Original "/>
    <x v="2"/>
    <s v="Not Measured"/>
    <s v="Not Measured"/>
    <n v="10686.55"/>
    <n v="35"/>
    <n v="305.33"/>
    <n v="11.666666666666666"/>
    <n v="11.666666666666666"/>
    <n v="11.666666666666666"/>
    <s v="Spring 2015"/>
    <s v="N"/>
    <m/>
    <m/>
    <s v="Continued"/>
    <n v="11.666666666666666"/>
    <n v="3562.1833333333329"/>
    <n v="11.666666666666666"/>
    <n v="3562.1833333333329"/>
    <n v="11.666666666666666"/>
    <n v="3562.1833333333329"/>
    <n v="11.666666666666666"/>
    <n v="3562.1833333333329"/>
    <n v="11.666666666666666"/>
    <n v="3562.1833333333329"/>
    <n v="35"/>
    <n v="10686.55"/>
    <n v="11.666666666666666"/>
    <n v="3562.1833333333329"/>
    <n v="11.666666666666666"/>
    <n v="3562.1833333333329"/>
    <n v="11.666666666666666"/>
    <n v="3562.1833333333329"/>
    <n v="35"/>
    <n v="10686.55"/>
    <n v="11.666666666666666"/>
    <n v="3562.1833333333329"/>
    <n v="11.666666666666666"/>
    <n v="3562.1833333333329"/>
    <n v="11.666666666666666"/>
    <n v="3562.1833333333329"/>
    <n v="35"/>
    <n v="10686.55"/>
    <x v="0"/>
    <n v="36"/>
    <n v="0"/>
    <n v="0"/>
    <n v="36"/>
    <n v="139.37"/>
    <n v="5017.32"/>
    <n v="36"/>
    <n v="5017.32"/>
    <n v="0"/>
    <n v="0"/>
    <n v="0"/>
    <n v="0"/>
    <n v="36"/>
    <n v="5017.32"/>
    <s v="Continued"/>
    <n v="0"/>
    <n v="0"/>
    <n v="40"/>
    <n v="40"/>
    <n v="230"/>
    <n v="9200"/>
    <s v="Spring 2015"/>
    <n v="0"/>
    <n v="0"/>
    <n v="0"/>
    <n v="0"/>
    <n v="40"/>
    <n v="9200"/>
    <n v="40"/>
    <n v="9200"/>
    <s v="Continued"/>
    <n v="0"/>
    <n v="0"/>
    <n v="40"/>
    <n v="40"/>
    <n v="230"/>
    <n v="9200"/>
    <m/>
    <n v="0"/>
    <n v="0"/>
    <n v="0"/>
    <n v="0"/>
    <n v="40"/>
    <n v="9200"/>
    <n v="40"/>
    <n v="9200"/>
    <n v="232.66666666666666"/>
    <n v="59039.153333333328"/>
    <n v="5.4665882716049374"/>
  </r>
  <r>
    <x v="23"/>
    <s v="Completed"/>
    <m/>
    <s v="R1: No PO"/>
    <d v="2015-01-06T00:00:00"/>
    <d v="2015-06-08T00:00:00"/>
    <s v="01"/>
    <x v="0"/>
    <x v="0"/>
    <x v="1"/>
    <n v="10800"/>
    <m/>
    <x v="23"/>
    <x v="23"/>
    <s v="Introduction to Web Development"/>
    <s v="IT 3502"/>
    <s v="Computing Disciplines"/>
    <s v="N"/>
    <s v="Created Materials"/>
    <s v="N"/>
    <s v="Various OER"/>
    <x v="2"/>
    <s v="Positive"/>
    <s v="Positive"/>
    <n v="16833.75"/>
    <n v="125"/>
    <n v="134.66999999999999"/>
    <n v="41.666666666666664"/>
    <n v="41.666666666666664"/>
    <n v="41.666666666666664"/>
    <s v="Spring 2015"/>
    <s v="N"/>
    <m/>
    <m/>
    <s v="Continued"/>
    <n v="41.666666666666664"/>
    <n v="5611.2499999999991"/>
    <n v="41.666666666666664"/>
    <n v="5611.2499999999991"/>
    <n v="41.666666666666664"/>
    <n v="5611.2499999999991"/>
    <n v="41.666666666666664"/>
    <n v="5611.2499999999991"/>
    <n v="41.666666666666664"/>
    <n v="5611.2499999999991"/>
    <n v="125"/>
    <n v="16833.749999999996"/>
    <n v="41.666666666666664"/>
    <n v="5611.2499999999991"/>
    <n v="41.666666666666664"/>
    <n v="5611.2499999999991"/>
    <n v="41.666666666666664"/>
    <n v="5611.2499999999991"/>
    <n v="125"/>
    <n v="16833.749999999996"/>
    <n v="41.666666666666664"/>
    <n v="5611.2499999999991"/>
    <n v="41.666666666666664"/>
    <n v="5611.2499999999991"/>
    <n v="41.666666666666664"/>
    <n v="5611.2499999999991"/>
    <n v="125"/>
    <n v="16833.749999999996"/>
    <x v="0"/>
    <n v="36"/>
    <n v="0"/>
    <n v="0"/>
    <n v="36"/>
    <n v="143.07"/>
    <n v="5150.5199999999995"/>
    <n v="36"/>
    <n v="5150.5199999999995"/>
    <n v="0"/>
    <n v="0"/>
    <n v="0"/>
    <n v="0"/>
    <n v="36"/>
    <n v="5150.5199999999995"/>
    <s v="Continued"/>
    <n v="31"/>
    <n v="10"/>
    <n v="52"/>
    <n v="93"/>
    <n v="146.65"/>
    <n v="13638.45"/>
    <s v="Spring 2015"/>
    <n v="31"/>
    <n v="4546.1500000000005"/>
    <n v="10"/>
    <n v="1466.5"/>
    <n v="52"/>
    <n v="7625.8"/>
    <n v="93"/>
    <n v="13638.45"/>
    <s v="Continued"/>
    <n v="31"/>
    <n v="10"/>
    <n v="52"/>
    <n v="93"/>
    <n v="146.65"/>
    <n v="13638.45"/>
    <m/>
    <n v="31"/>
    <n v="4546.1500000000005"/>
    <n v="10"/>
    <n v="1466.5"/>
    <n v="52"/>
    <n v="7625.8"/>
    <n v="93"/>
    <n v="13638.45"/>
    <n v="638.66666666666663"/>
    <n v="88539.919999999984"/>
    <n v="8.1981407407407385"/>
  </r>
  <r>
    <x v="24"/>
    <s v="Completed"/>
    <m/>
    <s v="R1: No PO"/>
    <d v="2014-11-17T00:00:00"/>
    <d v="2015-06-08T00:00:00"/>
    <s v="01"/>
    <x v="0"/>
    <x v="0"/>
    <x v="11"/>
    <n v="10800"/>
    <m/>
    <x v="24"/>
    <x v="24"/>
    <s v="Principles of Biology I, Principles of Biology II"/>
    <s v="BIOL 1215"/>
    <s v="Biological Sciences"/>
    <s v="Principles of Biology I &amp; II"/>
    <s v="N"/>
    <s v="Y"/>
    <s v="OpenStax Concepts of Biology"/>
    <x v="0"/>
    <s v="Negative"/>
    <s v="Negative"/>
    <n v="162000"/>
    <n v="960"/>
    <n v="168.75"/>
    <n v="320"/>
    <n v="320"/>
    <n v="320"/>
    <s v="Spring 2015"/>
    <s v="N"/>
    <m/>
    <m/>
    <s v="Continued"/>
    <n v="320"/>
    <n v="54000"/>
    <n v="320"/>
    <n v="54000"/>
    <n v="320"/>
    <n v="54000"/>
    <n v="320"/>
    <n v="54000"/>
    <n v="320"/>
    <n v="54000"/>
    <n v="960"/>
    <n v="162000"/>
    <n v="320"/>
    <n v="54000"/>
    <n v="320"/>
    <n v="54000"/>
    <n v="320"/>
    <n v="54000"/>
    <n v="960"/>
    <n v="162000"/>
    <n v="320"/>
    <n v="54000"/>
    <n v="320"/>
    <n v="54000"/>
    <n v="320"/>
    <n v="54000"/>
    <n v="960"/>
    <n v="162000"/>
    <x v="0"/>
    <n v="0"/>
    <n v="93"/>
    <n v="93"/>
    <n v="186"/>
    <n v="128.75"/>
    <n v="23947.5"/>
    <n v="0"/>
    <n v="0"/>
    <n v="93"/>
    <n v="11973.75"/>
    <n v="93"/>
    <n v="11973.75"/>
    <n v="186"/>
    <n v="23947.5"/>
    <s v="Discontinued"/>
    <n v="0"/>
    <n v="0"/>
    <n v="0"/>
    <n v="0"/>
    <n v="0"/>
    <n v="0"/>
    <s v="Spring 2015"/>
    <n v="0"/>
    <n v="0"/>
    <n v="0"/>
    <n v="0"/>
    <n v="0"/>
    <n v="0"/>
    <n v="0"/>
    <n v="0"/>
    <s v="Discontinued"/>
    <n v="0"/>
    <n v="0"/>
    <n v="0"/>
    <n v="0"/>
    <n v="0"/>
    <n v="0"/>
    <m/>
    <n v="0"/>
    <n v="0"/>
    <n v="0"/>
    <n v="0"/>
    <n v="0"/>
    <n v="0"/>
    <n v="0"/>
    <n v="0"/>
    <n v="3386"/>
    <n v="563947.5"/>
    <n v="52.21736111111111"/>
  </r>
  <r>
    <x v="25"/>
    <s v="Completed"/>
    <m/>
    <s v="R1: No PO"/>
    <d v="2015-01-07T00:00:00"/>
    <d v="2015-06-08T00:00:00"/>
    <s v="01"/>
    <x v="0"/>
    <x v="0"/>
    <x v="1"/>
    <n v="10800"/>
    <m/>
    <x v="25"/>
    <x v="25"/>
    <s v="Principles of Chemistry I "/>
    <s v="CHEM 1211"/>
    <s v="Chemistry"/>
    <s v="Principles of Chemistry I "/>
    <s v="N"/>
    <s v="N"/>
    <s v="Introduction to Chemistry"/>
    <x v="2"/>
    <s v="Negative"/>
    <s v="Negative"/>
    <n v="184320"/>
    <n v="768"/>
    <n v="240"/>
    <n v="256"/>
    <n v="256"/>
    <n v="256"/>
    <s v="Spring 2015"/>
    <s v="N"/>
    <m/>
    <m/>
    <s v="Discontinued"/>
    <n v="256"/>
    <n v="61440"/>
    <n v="256"/>
    <n v="61440"/>
    <n v="0"/>
    <n v="0"/>
    <n v="0"/>
    <n v="0"/>
    <n v="0"/>
    <n v="0"/>
    <n v="0"/>
    <n v="0"/>
    <n v="0"/>
    <n v="0"/>
    <n v="0"/>
    <n v="0"/>
    <n v="0"/>
    <n v="0"/>
    <n v="0"/>
    <n v="0"/>
    <n v="0"/>
    <n v="0"/>
    <n v="0"/>
    <n v="0"/>
    <n v="0"/>
    <n v="0"/>
    <n v="0"/>
    <n v="0"/>
    <x v="1"/>
    <n v="0"/>
    <n v="0"/>
    <n v="0"/>
    <n v="0"/>
    <n v="289.95"/>
    <n v="0"/>
    <n v="0"/>
    <n v="0"/>
    <n v="0"/>
    <n v="0"/>
    <n v="0"/>
    <n v="0"/>
    <n v="0"/>
    <n v="0"/>
    <s v="Discontinued"/>
    <n v="0"/>
    <n v="0"/>
    <n v="0"/>
    <n v="0"/>
    <n v="0"/>
    <n v="0"/>
    <s v="Spring 2015"/>
    <n v="0"/>
    <n v="0"/>
    <n v="0"/>
    <n v="0"/>
    <n v="0"/>
    <n v="0"/>
    <n v="0"/>
    <n v="0"/>
    <s v="Discontinued"/>
    <n v="0"/>
    <n v="0"/>
    <n v="0"/>
    <n v="0"/>
    <n v="0"/>
    <n v="0"/>
    <m/>
    <n v="0"/>
    <n v="0"/>
    <n v="0"/>
    <n v="0"/>
    <n v="0"/>
    <n v="0"/>
    <n v="0"/>
    <n v="0"/>
    <n v="256"/>
    <n v="61440"/>
    <n v="5.6888888888888891"/>
  </r>
  <r>
    <x v="26"/>
    <s v="Completed"/>
    <m/>
    <s v="R1: No PO"/>
    <d v="2014-11-19T00:00:00"/>
    <d v="2015-06-08T00:00:00"/>
    <s v="01"/>
    <x v="0"/>
    <x v="0"/>
    <x v="16"/>
    <n v="10800"/>
    <m/>
    <x v="26"/>
    <x v="26"/>
    <s v="College Algebra"/>
    <s v="MATH 1111"/>
    <s v="Mathematical Subjects"/>
    <s v="College Algebra"/>
    <s v="Created Materials"/>
    <s v="N"/>
    <s v="Stitz-Zeager College Algebra"/>
    <x v="0"/>
    <s v="Neutral"/>
    <s v="Neutral"/>
    <n v="52318.400000000001"/>
    <n v="608"/>
    <n v="86.05"/>
    <n v="202.66666666666666"/>
    <n v="202.66666666666666"/>
    <n v="202.66666666666666"/>
    <s v="Spring 2015"/>
    <s v="N"/>
    <m/>
    <m/>
    <s v="Discontinued"/>
    <n v="202.66666666666666"/>
    <n v="17439.466666666664"/>
    <n v="202.66666666666666"/>
    <n v="17439.466666666664"/>
    <n v="0"/>
    <n v="0"/>
    <n v="0"/>
    <n v="0"/>
    <n v="0"/>
    <n v="0"/>
    <n v="0"/>
    <n v="0"/>
    <n v="0"/>
    <n v="0"/>
    <n v="0"/>
    <n v="0"/>
    <n v="0"/>
    <n v="0"/>
    <n v="0"/>
    <n v="0"/>
    <n v="0"/>
    <n v="0"/>
    <n v="0"/>
    <n v="0"/>
    <n v="0"/>
    <n v="0"/>
    <n v="0"/>
    <n v="0"/>
    <x v="1"/>
    <n v="0"/>
    <n v="0"/>
    <n v="0"/>
    <n v="0"/>
    <n v="103.95"/>
    <n v="0"/>
    <n v="0"/>
    <n v="0"/>
    <n v="0"/>
    <n v="0"/>
    <n v="0"/>
    <n v="0"/>
    <n v="0"/>
    <n v="0"/>
    <s v="Discontinued"/>
    <n v="0"/>
    <n v="0"/>
    <n v="0"/>
    <n v="0"/>
    <n v="0"/>
    <n v="0"/>
    <s v="Spring 2015"/>
    <n v="0"/>
    <n v="0"/>
    <n v="0"/>
    <n v="0"/>
    <n v="0"/>
    <n v="0"/>
    <n v="0"/>
    <n v="0"/>
    <s v="Discontinued"/>
    <n v="0"/>
    <n v="0"/>
    <n v="0"/>
    <n v="0"/>
    <n v="0"/>
    <n v="0"/>
    <m/>
    <n v="0"/>
    <n v="0"/>
    <n v="0"/>
    <n v="0"/>
    <n v="0"/>
    <n v="0"/>
    <n v="0"/>
    <n v="0"/>
    <n v="202.66666666666666"/>
    <n v="17439.466666666664"/>
    <n v="1.6147654320987652"/>
  </r>
  <r>
    <x v="27"/>
    <s v="Completed"/>
    <m/>
    <s v="R1: No PO"/>
    <d v="2014-11-19T00:00:00"/>
    <d v="2015-06-08T00:00:00"/>
    <s v="01"/>
    <x v="0"/>
    <x v="0"/>
    <x v="16"/>
    <n v="10800"/>
    <m/>
    <x v="27"/>
    <x v="27"/>
    <s v="Environment of Business"/>
    <s v="LENB 3135"/>
    <s v="Business Administration, Management, and Economics"/>
    <s v="Environment of Business"/>
    <s v="Created Materials"/>
    <s v="N"/>
    <s v="Various OER"/>
    <x v="2"/>
    <s v="Negative"/>
    <s v="Negative"/>
    <n v="128497.38"/>
    <n v="418"/>
    <n v="307.41000000000003"/>
    <n v="139.33333333333334"/>
    <n v="139.33333333333334"/>
    <n v="139.33333333333334"/>
    <s v="Spring 2015"/>
    <s v="N"/>
    <m/>
    <m/>
    <s v="Discontinued"/>
    <n v="139.33333333333334"/>
    <n v="42832.460000000006"/>
    <n v="139.33333333333334"/>
    <n v="42832.460000000006"/>
    <n v="0"/>
    <n v="0"/>
    <n v="0"/>
    <n v="0"/>
    <n v="0"/>
    <n v="0"/>
    <n v="0"/>
    <n v="0"/>
    <n v="0"/>
    <n v="0"/>
    <n v="0"/>
    <n v="0"/>
    <n v="0"/>
    <n v="0"/>
    <n v="0"/>
    <n v="0"/>
    <n v="0"/>
    <n v="0"/>
    <n v="0"/>
    <n v="0"/>
    <n v="0"/>
    <n v="0"/>
    <n v="0"/>
    <n v="0"/>
    <x v="1"/>
    <n v="0"/>
    <n v="0"/>
    <n v="0"/>
    <n v="0"/>
    <n v="399.95"/>
    <n v="0"/>
    <n v="0"/>
    <n v="0"/>
    <n v="0"/>
    <n v="0"/>
    <n v="0"/>
    <n v="0"/>
    <n v="0"/>
    <n v="0"/>
    <s v="Discontinued"/>
    <n v="0"/>
    <n v="0"/>
    <n v="0"/>
    <n v="0"/>
    <n v="0"/>
    <n v="0"/>
    <s v="Spring 2015"/>
    <n v="0"/>
    <n v="0"/>
    <n v="0"/>
    <n v="0"/>
    <n v="0"/>
    <n v="0"/>
    <n v="0"/>
    <n v="0"/>
    <s v="Discontinued"/>
    <n v="0"/>
    <n v="0"/>
    <n v="0"/>
    <n v="0"/>
    <n v="0"/>
    <n v="0"/>
    <m/>
    <n v="0"/>
    <n v="0"/>
    <n v="0"/>
    <n v="0"/>
    <n v="0"/>
    <n v="0"/>
    <n v="0"/>
    <n v="0"/>
    <n v="139.33333333333334"/>
    <n v="42832.460000000006"/>
    <n v="3.9659685185185189"/>
  </r>
  <r>
    <x v="28"/>
    <s v="Completed"/>
    <m/>
    <s v="R1: No PO"/>
    <d v="2015-01-05T00:00:00"/>
    <d v="2015-06-08T00:00:00"/>
    <s v="01"/>
    <x v="0"/>
    <x v="0"/>
    <x v="3"/>
    <n v="10800"/>
    <m/>
    <x v="28"/>
    <x v="28"/>
    <s v="Human Anatomy and Physiology I, Human Anatomy and Physiology II"/>
    <s v="BIOL 2212, BIOL 2213"/>
    <s v="Biological Sciences"/>
    <s v="N"/>
    <s v="N"/>
    <s v="Y"/>
    <s v="OpenStax Anatomy and Physiology"/>
    <x v="2"/>
    <s v="Positive"/>
    <s v="Positive"/>
    <n v="215040"/>
    <n v="560"/>
    <n v="384"/>
    <n v="186.66666666666666"/>
    <n v="186.66666666666666"/>
    <n v="186.66666666666666"/>
    <s v="Spring 2015"/>
    <s v="N"/>
    <m/>
    <m/>
    <s v="Continued"/>
    <n v="186.66666666666666"/>
    <n v="71680"/>
    <n v="186.66666666666666"/>
    <n v="71680"/>
    <n v="186.66666666666666"/>
    <n v="71680"/>
    <n v="186.66666666666666"/>
    <n v="71680"/>
    <n v="186.66666666666666"/>
    <n v="71680"/>
    <n v="560"/>
    <n v="215040"/>
    <n v="186.66666666666666"/>
    <n v="71680"/>
    <n v="186.66666666666666"/>
    <n v="71680"/>
    <n v="186.66666666666666"/>
    <n v="71680"/>
    <n v="560"/>
    <n v="215040"/>
    <n v="186.66666666666666"/>
    <n v="71680"/>
    <n v="186.66666666666666"/>
    <n v="71680"/>
    <n v="186.66666666666666"/>
    <n v="71680"/>
    <n v="560"/>
    <n v="215040"/>
    <x v="0"/>
    <n v="153"/>
    <n v="39"/>
    <n v="165"/>
    <n v="357"/>
    <n v="411.2"/>
    <n v="146798.39999999999"/>
    <n v="153"/>
    <n v="62913.599999999999"/>
    <n v="39"/>
    <n v="16036.8"/>
    <n v="165"/>
    <n v="67848"/>
    <n v="357"/>
    <n v="146798.39999999999"/>
    <s v="Continued"/>
    <n v="21"/>
    <n v="74"/>
    <n v="0"/>
    <n v="95"/>
    <n v="336.84"/>
    <n v="31999.8"/>
    <s v="Spring 2015"/>
    <n v="21"/>
    <n v="7073.6399999999994"/>
    <n v="74"/>
    <n v="24926.16"/>
    <n v="0"/>
    <n v="0"/>
    <n v="95"/>
    <n v="31999.8"/>
    <s v="Discontinued"/>
    <n v="21"/>
    <n v="74"/>
    <n v="0"/>
    <n v="0"/>
    <n v="0"/>
    <n v="0"/>
    <m/>
    <n v="0"/>
    <n v="0"/>
    <n v="0"/>
    <n v="0"/>
    <n v="0"/>
    <n v="0"/>
    <n v="0"/>
    <n v="0"/>
    <n v="2318.6666666666665"/>
    <n v="895598.20000000007"/>
    <n v="82.925759259259266"/>
  </r>
  <r>
    <x v="29"/>
    <s v="Completed"/>
    <m/>
    <s v="R1: No PO"/>
    <d v="2015-01-06T00:00:00"/>
    <d v="2016-06-06T00:00:00"/>
    <s v="01"/>
    <x v="0"/>
    <x v="0"/>
    <x v="17"/>
    <n v="10800"/>
    <m/>
    <x v="29"/>
    <x v="29"/>
    <s v="English Composition I"/>
    <s v="ENGL 1101"/>
    <s v="English"/>
    <s v="English Composition I"/>
    <s v="Created Materials"/>
    <s v="N"/>
    <s v="Original "/>
    <x v="2"/>
    <s v="Neutral"/>
    <s v="Neutral"/>
    <n v="142333.75"/>
    <n v="1625"/>
    <n v="60.4"/>
    <n v="541.66666666666663"/>
    <n v="541.66666666666663"/>
    <n v="541.66666666666663"/>
    <s v="Fall 2015"/>
    <s v="N"/>
    <m/>
    <m/>
    <s v="Continued"/>
    <n v="0"/>
    <n v="0"/>
    <n v="0"/>
    <n v="0"/>
    <n v="0"/>
    <n v="0"/>
    <n v="541.66666666666663"/>
    <n v="32716.666666666664"/>
    <n v="541.66666666666663"/>
    <n v="32716.666666666664"/>
    <n v="1083.3333333333333"/>
    <n v="65433.333333333328"/>
    <n v="541.66666666666663"/>
    <n v="32716.666666666664"/>
    <n v="541.66666666666663"/>
    <n v="32716.666666666664"/>
    <n v="541.66666666666663"/>
    <n v="32716.666666666664"/>
    <n v="1625"/>
    <n v="98150"/>
    <n v="541.66666666666663"/>
    <n v="32716.666666666664"/>
    <n v="541.66666666666663"/>
    <n v="32716.666666666664"/>
    <n v="541.66666666666663"/>
    <n v="32716.666666666664"/>
    <n v="1625"/>
    <n v="98150"/>
    <x v="0"/>
    <n v="100"/>
    <n v="650"/>
    <n v="650"/>
    <n v="1400"/>
    <n v="60.4"/>
    <n v="84560"/>
    <n v="100"/>
    <n v="6040"/>
    <n v="650"/>
    <n v="39260"/>
    <n v="650"/>
    <n v="39260"/>
    <n v="1400"/>
    <n v="84560"/>
    <s v="Timed Out"/>
    <m/>
    <m/>
    <m/>
    <n v="0"/>
    <m/>
    <n v="0"/>
    <s v="Fall 2015"/>
    <n v="0"/>
    <n v="0"/>
    <n v="0"/>
    <n v="0"/>
    <n v="0"/>
    <n v="0"/>
    <n v="0"/>
    <n v="0"/>
    <s v="Timed Out"/>
    <m/>
    <m/>
    <m/>
    <n v="0"/>
    <n v="0"/>
    <n v="0"/>
    <m/>
    <n v="0"/>
    <n v="0"/>
    <n v="0"/>
    <n v="0"/>
    <n v="0"/>
    <n v="0"/>
    <n v="0"/>
    <n v="0"/>
    <n v="5733.333333333333"/>
    <n v="346293.33333333331"/>
    <n v="32.064197530864199"/>
  </r>
  <r>
    <x v="30"/>
    <s v="Completed"/>
    <m/>
    <n v="510038"/>
    <d v="2015-10-29T00:00:00"/>
    <d v="2016-01-11T00:00:00"/>
    <s v="02"/>
    <x v="0"/>
    <x v="0"/>
    <x v="4"/>
    <n v="10800"/>
    <m/>
    <x v="30"/>
    <x v="30"/>
    <s v="Environment of Business"/>
    <s v="BUSA 2106"/>
    <s v="Business Administration, Management, and Economics"/>
    <s v="Environment of Business"/>
    <s v="Created Materials"/>
    <s v="N"/>
    <s v="Original "/>
    <x v="2"/>
    <s v="Positive"/>
    <s v="Positive"/>
    <n v="600000"/>
    <n v="2600"/>
    <n v="230.76923076923077"/>
    <n v="866.66666666666663"/>
    <n v="866.66666666666663"/>
    <n v="866.66666666666663"/>
    <s v="Fall 2015"/>
    <s v="N"/>
    <m/>
    <m/>
    <s v="Continued"/>
    <n v="0"/>
    <n v="0"/>
    <n v="0"/>
    <n v="0"/>
    <n v="0"/>
    <n v="0"/>
    <n v="866.66666666666663"/>
    <n v="200000"/>
    <n v="866.66666666666663"/>
    <n v="200000"/>
    <n v="1733.3333333333333"/>
    <n v="400000"/>
    <n v="866.66666666666663"/>
    <n v="200000"/>
    <n v="866.66666666666663"/>
    <n v="200000"/>
    <n v="866.66666666666663"/>
    <n v="200000"/>
    <n v="2600"/>
    <n v="600000"/>
    <n v="866.66666666666663"/>
    <n v="200000"/>
    <n v="866.66666666666663"/>
    <n v="200000"/>
    <n v="866.66666666666663"/>
    <n v="200000"/>
    <n v="2600"/>
    <n v="600000"/>
    <x v="0"/>
    <n v="0"/>
    <n v="150"/>
    <n v="50"/>
    <n v="200"/>
    <n v="299.95"/>
    <n v="59990"/>
    <n v="0"/>
    <n v="0"/>
    <n v="150"/>
    <n v="44992.5"/>
    <n v="50"/>
    <n v="14997.5"/>
    <n v="200"/>
    <n v="59990"/>
    <s v="Continued"/>
    <n v="0"/>
    <n v="180"/>
    <n v="100"/>
    <n v="280"/>
    <n v="100"/>
    <n v="28000"/>
    <s v="Fall 2015"/>
    <n v="0"/>
    <n v="0"/>
    <n v="180"/>
    <n v="18000"/>
    <n v="100"/>
    <n v="10000"/>
    <n v="280"/>
    <n v="28000"/>
    <s v="Continued"/>
    <n v="0"/>
    <n v="180"/>
    <n v="100"/>
    <n v="280"/>
    <n v="100"/>
    <n v="28000"/>
    <m/>
    <n v="0"/>
    <n v="0"/>
    <n v="180"/>
    <n v="18000"/>
    <n v="100"/>
    <n v="10000"/>
    <n v="280"/>
    <n v="28000"/>
    <n v="7693.333333333333"/>
    <n v="1715990"/>
    <n v="158.88796296296297"/>
  </r>
  <r>
    <x v="31"/>
    <s v="Completed"/>
    <m/>
    <n v="510032"/>
    <d v="2015-04-17T00:00:00"/>
    <d v="2016-01-11T00:00:00"/>
    <s v="02"/>
    <x v="0"/>
    <x v="0"/>
    <x v="5"/>
    <n v="10800"/>
    <m/>
    <x v="31"/>
    <x v="31"/>
    <s v="Analytic Geometry and Calculus I"/>
    <s v="MATH 2261"/>
    <s v="Mathematical Subjects"/>
    <s v="Calculus I"/>
    <s v="Created Materials"/>
    <s v="N"/>
    <s v="APEX Calculus"/>
    <x v="2"/>
    <s v="Neutral"/>
    <s v="Neutral"/>
    <n v="79600.5"/>
    <n v="525"/>
    <n v="151.62"/>
    <n v="175"/>
    <n v="175"/>
    <n v="175"/>
    <s v="Fall 2015"/>
    <s v="N"/>
    <m/>
    <m/>
    <s v="Discontinued"/>
    <n v="0"/>
    <n v="0"/>
    <n v="0"/>
    <n v="0"/>
    <n v="0"/>
    <n v="0"/>
    <n v="175"/>
    <n v="26533.5"/>
    <n v="0"/>
    <n v="0"/>
    <n v="175"/>
    <n v="26533.5"/>
    <n v="0"/>
    <n v="0"/>
    <n v="0"/>
    <n v="0"/>
    <n v="0"/>
    <n v="0"/>
    <n v="0"/>
    <n v="0"/>
    <n v="0"/>
    <n v="0"/>
    <n v="0"/>
    <n v="0"/>
    <n v="0"/>
    <n v="0"/>
    <n v="0"/>
    <n v="0"/>
    <x v="1"/>
    <n v="0"/>
    <n v="0"/>
    <n v="0"/>
    <n v="0"/>
    <n v="277.2"/>
    <n v="0"/>
    <n v="0"/>
    <n v="0"/>
    <n v="0"/>
    <n v="0"/>
    <n v="0"/>
    <n v="0"/>
    <n v="0"/>
    <n v="0"/>
    <s v="Discontinued"/>
    <n v="0"/>
    <n v="0"/>
    <n v="0"/>
    <n v="0"/>
    <n v="0"/>
    <n v="0"/>
    <s v="Fall 2015"/>
    <n v="0"/>
    <n v="0"/>
    <n v="0"/>
    <n v="0"/>
    <n v="0"/>
    <n v="0"/>
    <n v="0"/>
    <n v="0"/>
    <s v="Discontinued"/>
    <n v="0"/>
    <n v="0"/>
    <n v="0"/>
    <n v="0"/>
    <n v="0"/>
    <n v="0"/>
    <m/>
    <n v="0"/>
    <n v="0"/>
    <n v="0"/>
    <n v="0"/>
    <n v="0"/>
    <n v="0"/>
    <n v="0"/>
    <n v="0"/>
    <n v="175"/>
    <n v="26533.5"/>
    <n v="2.4568055555555555"/>
  </r>
  <r>
    <x v="32"/>
    <s v="Completed"/>
    <m/>
    <n v="510035"/>
    <d v="2016-01-11T00:00:00"/>
    <d v="2016-09-06T00:00:00"/>
    <s v="02"/>
    <x v="0"/>
    <x v="0"/>
    <x v="11"/>
    <n v="10800"/>
    <m/>
    <x v="32"/>
    <x v="32"/>
    <s v="Psychology Research Design and Methodology"/>
    <s v="PSYC 3211"/>
    <s v="Psychology"/>
    <s v="N"/>
    <s v="Created Materials"/>
    <s v="N"/>
    <s v="Various OER"/>
    <x v="2"/>
    <s v="Neutral"/>
    <s v="Neutral"/>
    <n v="14100"/>
    <n v="30"/>
    <n v="470"/>
    <n v="10"/>
    <n v="10"/>
    <n v="10"/>
    <s v="Fall 2015"/>
    <s v="N"/>
    <m/>
    <m/>
    <s v="Continued"/>
    <n v="0"/>
    <n v="0"/>
    <n v="0"/>
    <n v="0"/>
    <n v="0"/>
    <n v="0"/>
    <n v="10"/>
    <n v="4700"/>
    <n v="10"/>
    <n v="4700"/>
    <n v="20"/>
    <n v="9400"/>
    <n v="10"/>
    <n v="4700"/>
    <n v="10"/>
    <n v="4700"/>
    <n v="10"/>
    <n v="4700"/>
    <n v="30"/>
    <n v="14100"/>
    <n v="10"/>
    <n v="4700"/>
    <n v="10"/>
    <n v="4700"/>
    <n v="10"/>
    <n v="4700"/>
    <n v="30"/>
    <n v="14100"/>
    <x v="0"/>
    <n v="0"/>
    <n v="38"/>
    <n v="38"/>
    <n v="76"/>
    <n v="299.05"/>
    <n v="22727.8"/>
    <n v="0"/>
    <n v="0"/>
    <n v="38"/>
    <n v="11363.9"/>
    <n v="38"/>
    <n v="11363.9"/>
    <n v="76"/>
    <n v="22727.8"/>
    <s v="Continued"/>
    <n v="0"/>
    <n v="38"/>
    <n v="38"/>
    <n v="76"/>
    <n v="470"/>
    <n v="35720"/>
    <s v="Fall 2015"/>
    <n v="0"/>
    <n v="0"/>
    <n v="38"/>
    <n v="17860"/>
    <n v="38"/>
    <n v="17860"/>
    <n v="76"/>
    <n v="35720"/>
    <s v="Continued"/>
    <n v="0"/>
    <n v="38"/>
    <n v="38"/>
    <n v="76"/>
    <n v="470"/>
    <n v="35720"/>
    <m/>
    <n v="0"/>
    <n v="0"/>
    <n v="38"/>
    <n v="17860"/>
    <n v="38"/>
    <n v="17860"/>
    <n v="76"/>
    <n v="35720"/>
    <n v="308"/>
    <n v="131767.79999999999"/>
    <n v="12.200722222222222"/>
  </r>
  <r>
    <x v="33"/>
    <s v="Completed"/>
    <m/>
    <n v="510275"/>
    <d v="2015-04-17T00:00:00"/>
    <d v="2016-05-24T00:00:00"/>
    <s v="02"/>
    <x v="0"/>
    <x v="0"/>
    <x v="3"/>
    <n v="10800"/>
    <m/>
    <x v="33"/>
    <x v="33"/>
    <s v="Principles of Biology I, Principles of Biology II"/>
    <s v="BIOL 1107, BIOL 1108"/>
    <s v="Biological Sciences"/>
    <s v="Principles of Biology I &amp; II"/>
    <s v="Created Materials"/>
    <s v="Y"/>
    <s v="OpenStax Biology"/>
    <x v="2"/>
    <s v="Positive"/>
    <s v="Positive"/>
    <n v="109525"/>
    <n v="1300"/>
    <n v="84.25"/>
    <n v="433.33333333333331"/>
    <n v="433.33333333333331"/>
    <n v="433.33333333333331"/>
    <s v="Fall 2015"/>
    <s v="N"/>
    <m/>
    <m/>
    <s v="Continued"/>
    <n v="0"/>
    <n v="0"/>
    <n v="0"/>
    <n v="0"/>
    <n v="0"/>
    <n v="0"/>
    <n v="433.33333333333331"/>
    <n v="36508.333333333328"/>
    <n v="433.33333333333331"/>
    <n v="36508.333333333328"/>
    <n v="866.66666666666663"/>
    <n v="73016.666666666657"/>
    <n v="433.33333333333331"/>
    <n v="36508.333333333328"/>
    <n v="433.33333333333331"/>
    <n v="36508.333333333328"/>
    <n v="433.33333333333331"/>
    <n v="36508.333333333328"/>
    <n v="1300"/>
    <n v="109524.99999999999"/>
    <n v="433.33333333333331"/>
    <n v="36508.333333333328"/>
    <n v="433.33333333333331"/>
    <n v="36508.333333333328"/>
    <n v="433.33333333333331"/>
    <n v="36508.333333333328"/>
    <n v="1300"/>
    <n v="109524.99999999999"/>
    <x v="0"/>
    <n v="96"/>
    <n v="540"/>
    <n v="540"/>
    <n v="1176"/>
    <n v="84.25"/>
    <n v="99078"/>
    <n v="96"/>
    <n v="8088"/>
    <n v="540"/>
    <n v="45495"/>
    <n v="540"/>
    <n v="45495"/>
    <n v="1176"/>
    <n v="99078"/>
    <s v="Continued"/>
    <n v="59"/>
    <n v="488"/>
    <n v="446"/>
    <n v="993"/>
    <n v="54.25"/>
    <n v="53870.25"/>
    <s v="Fall 2015"/>
    <n v="59"/>
    <n v="3200.75"/>
    <n v="488"/>
    <n v="26474"/>
    <n v="446"/>
    <n v="24195.5"/>
    <n v="993"/>
    <n v="53870.25"/>
    <s v="Continued"/>
    <n v="59"/>
    <n v="488"/>
    <n v="446"/>
    <n v="993"/>
    <n v="54.25"/>
    <n v="53870.25"/>
    <m/>
    <n v="59"/>
    <n v="3200.75"/>
    <n v="488"/>
    <n v="26474"/>
    <n v="446"/>
    <n v="24195.5"/>
    <n v="993"/>
    <n v="53870.25"/>
    <n v="6628.6666666666661"/>
    <n v="498885.16666666663"/>
    <n v="46.193070987654316"/>
  </r>
  <r>
    <x v="34"/>
    <s v="Completed"/>
    <m/>
    <n v="510037"/>
    <d v="2016-05-27T00:00:00"/>
    <d v="2015-04-17T00:00:00"/>
    <s v="02"/>
    <x v="0"/>
    <x v="0"/>
    <x v="10"/>
    <n v="10800"/>
    <m/>
    <x v="34"/>
    <x v="34"/>
    <s v="Principles of Chemistry I, Principles of Chemistry II"/>
    <s v="CHEM 1211, CHEM 1212"/>
    <s v="Chemistry"/>
    <s v="Principles of Chemistry I &amp; II"/>
    <s v="Created Materials"/>
    <s v="Y"/>
    <s v="OpenStax Chemistry"/>
    <x v="2"/>
    <s v="Neutral"/>
    <s v="Positive"/>
    <n v="167760"/>
    <n v="600"/>
    <n v="279.60000000000002"/>
    <n v="200"/>
    <n v="200"/>
    <n v="200"/>
    <s v="Fall 2015"/>
    <s v="N"/>
    <m/>
    <m/>
    <s v="Continued"/>
    <n v="0"/>
    <n v="0"/>
    <n v="0"/>
    <n v="0"/>
    <n v="0"/>
    <n v="0"/>
    <n v="200"/>
    <n v="55920.000000000007"/>
    <n v="200"/>
    <n v="55920.000000000007"/>
    <n v="400"/>
    <n v="111840.00000000001"/>
    <n v="200"/>
    <n v="55920.000000000007"/>
    <n v="200"/>
    <n v="55920.000000000007"/>
    <n v="200"/>
    <n v="55920.000000000007"/>
    <n v="600"/>
    <n v="167760.00000000003"/>
    <n v="200"/>
    <n v="55920.000000000007"/>
    <n v="200"/>
    <n v="55920.000000000007"/>
    <n v="200"/>
    <n v="55920.000000000007"/>
    <n v="600"/>
    <n v="167760.00000000003"/>
    <x v="0"/>
    <n v="100"/>
    <n v="660"/>
    <n v="600"/>
    <n v="1360"/>
    <n v="266.20999999999998"/>
    <n v="362045.6"/>
    <n v="100"/>
    <n v="26620.999999999996"/>
    <n v="660"/>
    <n v="175698.59999999998"/>
    <n v="600"/>
    <n v="159726"/>
    <n v="1360"/>
    <n v="362045.6"/>
    <s v="Discontinued"/>
    <n v="0"/>
    <n v="0"/>
    <n v="0"/>
    <n v="0"/>
    <n v="0"/>
    <n v="0"/>
    <s v="Fall 2015"/>
    <n v="0"/>
    <n v="0"/>
    <n v="0"/>
    <n v="0"/>
    <n v="0"/>
    <n v="0"/>
    <n v="0"/>
    <n v="0"/>
    <s v="Discontinued"/>
    <n v="0"/>
    <n v="0"/>
    <n v="0"/>
    <n v="0"/>
    <n v="0"/>
    <n v="0"/>
    <m/>
    <n v="0"/>
    <n v="0"/>
    <n v="0"/>
    <n v="0"/>
    <n v="0"/>
    <n v="0"/>
    <n v="0"/>
    <n v="0"/>
    <n v="2960"/>
    <n v="809405.60000000009"/>
    <n v="74.944962962962975"/>
  </r>
  <r>
    <x v="35"/>
    <s v="Completed"/>
    <m/>
    <n v="510033"/>
    <d v="2015-06-25T00:00:00"/>
    <d v="2015-09-22T00:00:00"/>
    <s v="02"/>
    <x v="0"/>
    <x v="0"/>
    <x v="3"/>
    <n v="10800"/>
    <m/>
    <x v="5"/>
    <x v="5"/>
    <s v="Exploratory Activities in Physical Education, Art, and Music"/>
    <s v="EDUC 3214"/>
    <s v="Educator Preparation"/>
    <s v="N"/>
    <s v="Created Materials"/>
    <s v="N"/>
    <s v="OER and Library"/>
    <x v="3"/>
    <s v="Positive"/>
    <s v="Positive"/>
    <n v="15000"/>
    <n v="105"/>
    <n v="142.85714285714286"/>
    <n v="35"/>
    <n v="35"/>
    <n v="35"/>
    <s v="Fall 2015"/>
    <s v="N"/>
    <m/>
    <m/>
    <s v="Continued"/>
    <n v="0"/>
    <n v="0"/>
    <n v="0"/>
    <n v="0"/>
    <n v="0"/>
    <n v="0"/>
    <n v="35"/>
    <n v="5000"/>
    <n v="35"/>
    <n v="5000"/>
    <n v="70"/>
    <n v="10000"/>
    <n v="35"/>
    <n v="5000"/>
    <n v="35"/>
    <n v="5000"/>
    <n v="35"/>
    <n v="5000"/>
    <n v="105"/>
    <n v="15000"/>
    <n v="35"/>
    <n v="5000"/>
    <n v="35"/>
    <n v="5000"/>
    <n v="35"/>
    <n v="5000"/>
    <n v="105"/>
    <n v="15000"/>
    <x v="0"/>
    <n v="30"/>
    <n v="30"/>
    <n v="40"/>
    <n v="100"/>
    <n v="108.2"/>
    <n v="10820"/>
    <n v="30"/>
    <n v="3246"/>
    <n v="30"/>
    <n v="3246"/>
    <n v="40"/>
    <n v="4328"/>
    <n v="100"/>
    <n v="10820"/>
    <s v="Continued"/>
    <n v="40"/>
    <n v="60"/>
    <n v="60"/>
    <n v="160"/>
    <n v="120"/>
    <n v="19200"/>
    <s v="Fall 2015"/>
    <n v="40"/>
    <n v="4800"/>
    <n v="60"/>
    <n v="7200"/>
    <n v="60"/>
    <n v="7200"/>
    <n v="160"/>
    <n v="19200"/>
    <s v="Continued"/>
    <n v="40"/>
    <n v="60"/>
    <n v="60"/>
    <n v="160"/>
    <n v="120"/>
    <n v="19200"/>
    <m/>
    <n v="40"/>
    <n v="4800"/>
    <n v="60"/>
    <n v="7200"/>
    <n v="60"/>
    <n v="7200"/>
    <n v="160"/>
    <n v="19200"/>
    <n v="700"/>
    <n v="89220"/>
    <n v="8.2611111111111111"/>
  </r>
  <r>
    <x v="36"/>
    <s v="Completed"/>
    <m/>
    <n v="510273"/>
    <d v="2015-06-26T00:00:00"/>
    <d v="2015-09-22T00:00:00"/>
    <s v="02"/>
    <x v="0"/>
    <x v="0"/>
    <x v="11"/>
    <n v="10800"/>
    <m/>
    <x v="35"/>
    <x v="35"/>
    <s v="Introduction to Statistics"/>
    <s v="STAT 1127"/>
    <s v="Mathematical Subjects"/>
    <s v="Introduction to Statistics"/>
    <s v="N"/>
    <s v="Y"/>
    <s v="OpenStax Introductory Statistics"/>
    <x v="2"/>
    <s v="Positive"/>
    <s v="Positive"/>
    <n v="114751"/>
    <n v="676"/>
    <n v="169.75"/>
    <n v="225.33333333333334"/>
    <n v="225.33333333333334"/>
    <n v="225.33333333333334"/>
    <s v="Spring 2015"/>
    <s v="N"/>
    <m/>
    <m/>
    <s v="Continued"/>
    <n v="225.33333333333334"/>
    <n v="38250.333333333336"/>
    <n v="225.33333333333334"/>
    <n v="38250.333333333336"/>
    <n v="225.33333333333334"/>
    <n v="38250.333333333336"/>
    <n v="225.33333333333334"/>
    <n v="38250.333333333336"/>
    <n v="225.33333333333334"/>
    <n v="38250.333333333336"/>
    <n v="676"/>
    <n v="114751"/>
    <n v="225.33333333333334"/>
    <n v="38250.333333333336"/>
    <n v="225.33333333333334"/>
    <n v="38250.333333333336"/>
    <n v="225.33333333333334"/>
    <n v="38250.333333333336"/>
    <n v="676"/>
    <n v="114751"/>
    <n v="225.33333333333334"/>
    <n v="38250.333333333336"/>
    <n v="225.33333333333334"/>
    <n v="38250.333333333336"/>
    <n v="225.33333333333334"/>
    <n v="38250.333333333336"/>
    <n v="676"/>
    <n v="114751"/>
    <x v="0"/>
    <n v="48"/>
    <n v="48"/>
    <n v="48"/>
    <n v="144"/>
    <n v="177.8"/>
    <n v="25603.200000000001"/>
    <n v="48"/>
    <n v="8534.4000000000015"/>
    <n v="48"/>
    <n v="8534.4000000000015"/>
    <n v="48"/>
    <n v="8534.4000000000015"/>
    <n v="144"/>
    <n v="25603.200000000004"/>
    <s v="Timed Out"/>
    <m/>
    <m/>
    <m/>
    <n v="0"/>
    <m/>
    <n v="0"/>
    <s v="Spring 2015"/>
    <n v="0"/>
    <n v="0"/>
    <n v="0"/>
    <n v="0"/>
    <n v="0"/>
    <n v="0"/>
    <n v="0"/>
    <n v="0"/>
    <s v="Timed Out"/>
    <m/>
    <m/>
    <m/>
    <n v="0"/>
    <n v="0"/>
    <n v="0"/>
    <m/>
    <n v="0"/>
    <n v="0"/>
    <n v="0"/>
    <n v="0"/>
    <n v="0"/>
    <n v="0"/>
    <n v="0"/>
    <n v="0"/>
    <n v="2397.3333333333335"/>
    <n v="408106.53333333338"/>
    <n v="37.787641975308645"/>
  </r>
  <r>
    <x v="37"/>
    <s v="Completed"/>
    <m/>
    <n v="510274"/>
    <d v="2015-04-17T00:00:00"/>
    <d v="2015-09-22T00:00:00"/>
    <s v="02"/>
    <x v="0"/>
    <x v="0"/>
    <x v="12"/>
    <n v="10800"/>
    <m/>
    <x v="36"/>
    <x v="36"/>
    <s v="Introduction to General Psychology"/>
    <s v="PSYC 1101"/>
    <s v="Psychology"/>
    <s v="Introduction to General Psychology"/>
    <s v="N"/>
    <s v="Y"/>
    <s v="OpenStax Psychology"/>
    <x v="2"/>
    <s v="Positive"/>
    <s v="Neutral"/>
    <n v="16054"/>
    <n v="66"/>
    <n v="243.24242424242425"/>
    <n v="22"/>
    <n v="22"/>
    <n v="22"/>
    <s v="Summer 2015"/>
    <s v="N"/>
    <m/>
    <m/>
    <s v="Continued"/>
    <n v="0"/>
    <n v="0"/>
    <n v="0"/>
    <n v="0"/>
    <n v="22"/>
    <n v="5351.3333333333339"/>
    <n v="22"/>
    <n v="5351.3333333333339"/>
    <n v="22"/>
    <n v="5351.3333333333339"/>
    <n v="66"/>
    <n v="16054.000000000002"/>
    <n v="22"/>
    <n v="5351.3333333333339"/>
    <n v="22"/>
    <n v="5351.3333333333339"/>
    <n v="22"/>
    <n v="5351.3333333333339"/>
    <n v="66"/>
    <n v="16054.000000000002"/>
    <n v="22"/>
    <n v="5351.3333333333339"/>
    <n v="22"/>
    <n v="5351.3333333333339"/>
    <n v="22"/>
    <n v="5351.3333333333339"/>
    <n v="66"/>
    <n v="16054.000000000002"/>
    <x v="0"/>
    <n v="210"/>
    <n v="975"/>
    <n v="975"/>
    <n v="2160"/>
    <n v="209.95"/>
    <n v="453492"/>
    <n v="210"/>
    <n v="44089.5"/>
    <n v="975"/>
    <n v="204701.25"/>
    <n v="975"/>
    <n v="204701.25"/>
    <n v="2160"/>
    <n v="453492"/>
    <s v="Continued"/>
    <n v="210"/>
    <n v="975"/>
    <n v="975"/>
    <n v="2160"/>
    <n v="209.95"/>
    <n v="453492"/>
    <s v="Summer 2015"/>
    <n v="210"/>
    <n v="44089.5"/>
    <n v="975"/>
    <n v="204701.25"/>
    <n v="975"/>
    <n v="204701.25"/>
    <n v="2160"/>
    <n v="453492"/>
    <s v="Continued"/>
    <n v="210"/>
    <n v="975"/>
    <n v="975"/>
    <n v="2160"/>
    <n v="209.95"/>
    <n v="453492"/>
    <m/>
    <n v="210"/>
    <n v="44089.5"/>
    <n v="975"/>
    <n v="204701.25"/>
    <n v="975"/>
    <n v="204701.25"/>
    <n v="2160"/>
    <n v="453492"/>
    <n v="6678"/>
    <n v="1408638"/>
    <n v="130.42944444444444"/>
  </r>
  <r>
    <x v="38"/>
    <s v="Completed"/>
    <m/>
    <n v="510036"/>
    <d v="2015-06-25T00:00:00"/>
    <d v="2016-01-11T00:00:00"/>
    <s v="02"/>
    <x v="0"/>
    <x v="0"/>
    <x v="12"/>
    <n v="10800"/>
    <m/>
    <x v="37"/>
    <x v="37"/>
    <s v="Precalculus"/>
    <s v="MATH 1113"/>
    <s v="Mathematical Subjects"/>
    <s v="Precalculus"/>
    <s v="N"/>
    <s v="Y"/>
    <s v="OpenStax Precalculus"/>
    <x v="2"/>
    <s v="Neutral"/>
    <s v="Neutral"/>
    <n v="79800"/>
    <n v="350"/>
    <n v="228"/>
    <n v="116.66666666666667"/>
    <n v="116.66666666666667"/>
    <n v="116.66666666666667"/>
    <s v="Fall 2015"/>
    <s v="N"/>
    <m/>
    <m/>
    <s v="Continued"/>
    <n v="0"/>
    <n v="0"/>
    <n v="0"/>
    <n v="0"/>
    <n v="0"/>
    <n v="0"/>
    <n v="116.66666666666667"/>
    <n v="26600"/>
    <n v="116.66666666666667"/>
    <n v="26600"/>
    <n v="233.33333333333334"/>
    <n v="53200"/>
    <n v="116.66666666666667"/>
    <n v="26600"/>
    <n v="116.66666666666667"/>
    <n v="26600"/>
    <n v="116.66666666666667"/>
    <n v="26600"/>
    <n v="350"/>
    <n v="79800"/>
    <n v="116.66666666666667"/>
    <n v="26600"/>
    <n v="116.66666666666667"/>
    <n v="26600"/>
    <n v="116.66666666666667"/>
    <n v="26600"/>
    <n v="350"/>
    <n v="79800"/>
    <x v="0"/>
    <n v="20"/>
    <n v="20"/>
    <n v="20"/>
    <n v="60"/>
    <n v="249.95"/>
    <n v="14997"/>
    <n v="20"/>
    <n v="4999"/>
    <n v="20"/>
    <n v="4999"/>
    <n v="20"/>
    <n v="4999"/>
    <n v="60"/>
    <n v="14997"/>
    <s v="Continued"/>
    <n v="20"/>
    <n v="0"/>
    <n v="40"/>
    <n v="60"/>
    <n v="228"/>
    <n v="13680"/>
    <s v="Fall 2015"/>
    <n v="20"/>
    <n v="4560"/>
    <n v="0"/>
    <n v="0"/>
    <n v="40"/>
    <n v="9120"/>
    <n v="60"/>
    <n v="13680"/>
    <s v="Continued"/>
    <n v="20"/>
    <n v="0"/>
    <n v="40"/>
    <n v="60"/>
    <n v="228"/>
    <n v="13680"/>
    <m/>
    <n v="20"/>
    <n v="4560"/>
    <n v="0"/>
    <n v="0"/>
    <n v="40"/>
    <n v="9120"/>
    <n v="60"/>
    <n v="13680"/>
    <n v="1113.3333333333335"/>
    <n v="255157"/>
    <n v="23.625648148148148"/>
  </r>
  <r>
    <x v="39"/>
    <s v="Completed"/>
    <m/>
    <n v="510034"/>
    <d v="2015-06-23T00:00:00"/>
    <d v="2016-01-11T00:00:00"/>
    <s v="02"/>
    <x v="0"/>
    <x v="0"/>
    <x v="14"/>
    <n v="10800"/>
    <m/>
    <x v="38"/>
    <x v="38"/>
    <s v="Introductory Physics"/>
    <s v="PHYS 1111"/>
    <s v="Physics and Astronomy"/>
    <s v="Introductory Physics I"/>
    <s v="N"/>
    <s v="Y"/>
    <s v="OpenStax College Physics"/>
    <x v="2"/>
    <s v="Positive"/>
    <s v="Positive"/>
    <n v="33000"/>
    <n v="100"/>
    <n v="330"/>
    <n v="33.333333333333336"/>
    <n v="33.333333333333336"/>
    <n v="33.333333333333336"/>
    <s v="Spring 2016"/>
    <s v="N"/>
    <m/>
    <m/>
    <s v="Continued"/>
    <n v="0"/>
    <n v="0"/>
    <n v="0"/>
    <n v="0"/>
    <n v="0"/>
    <n v="0"/>
    <n v="0"/>
    <n v="0"/>
    <n v="33.333333333333336"/>
    <n v="11000"/>
    <n v="33.333333333333336"/>
    <n v="11000"/>
    <n v="33.333333333333336"/>
    <n v="11000"/>
    <n v="33.333333333333336"/>
    <n v="11000"/>
    <n v="33.333333333333336"/>
    <n v="11000"/>
    <n v="100"/>
    <n v="33000"/>
    <n v="33.333333333333336"/>
    <n v="11000"/>
    <n v="33.333333333333336"/>
    <n v="11000"/>
    <n v="33.333333333333336"/>
    <n v="11000"/>
    <n v="100"/>
    <n v="33000"/>
    <x v="1"/>
    <n v="0"/>
    <n v="0"/>
    <n v="0"/>
    <n v="0"/>
    <n v="189.95"/>
    <n v="0"/>
    <n v="0"/>
    <n v="0"/>
    <n v="0"/>
    <n v="0"/>
    <n v="0"/>
    <n v="0"/>
    <n v="0"/>
    <n v="0"/>
    <s v="Discontinued"/>
    <n v="0"/>
    <n v="0"/>
    <n v="0"/>
    <n v="0"/>
    <n v="0"/>
    <n v="0"/>
    <s v="Spring 2016"/>
    <n v="0"/>
    <n v="0"/>
    <n v="0"/>
    <n v="0"/>
    <n v="0"/>
    <n v="0"/>
    <n v="0"/>
    <n v="0"/>
    <s v="Discontinued"/>
    <n v="0"/>
    <n v="0"/>
    <n v="0"/>
    <n v="0"/>
    <n v="0"/>
    <n v="0"/>
    <m/>
    <n v="0"/>
    <n v="0"/>
    <n v="0"/>
    <n v="0"/>
    <n v="0"/>
    <n v="0"/>
    <n v="0"/>
    <n v="0"/>
    <n v="233.33333333333334"/>
    <n v="77000"/>
    <n v="7.1296296296296298"/>
  </r>
  <r>
    <x v="40"/>
    <s v="Completed"/>
    <m/>
    <n v="510261"/>
    <d v="2015-07-17T00:00:00"/>
    <d v="2016-05-24T00:00:00"/>
    <s v="02"/>
    <x v="0"/>
    <x v="0"/>
    <x v="6"/>
    <n v="17000"/>
    <m/>
    <x v="39"/>
    <x v="39"/>
    <s v="Foundations of Information Literacy, Instructional Technology"/>
    <s v="LIBR 1101, EDUC 3200"/>
    <s v="Educator Preparation"/>
    <s v="N"/>
    <s v="Created Materials"/>
    <s v="N"/>
    <s v="Various OER"/>
    <x v="2"/>
    <s v="Neutral"/>
    <s v="Neutral"/>
    <n v="27162"/>
    <n v="200"/>
    <n v="135.81"/>
    <n v="66.666666666666671"/>
    <n v="66.666666666666671"/>
    <n v="66.666666666666671"/>
    <s v="Fall 2015"/>
    <s v="N"/>
    <m/>
    <m/>
    <s v="Continued"/>
    <n v="0"/>
    <n v="0"/>
    <n v="0"/>
    <n v="0"/>
    <n v="0"/>
    <n v="0"/>
    <n v="66.666666666666671"/>
    <n v="9054"/>
    <n v="66.666666666666671"/>
    <n v="9054"/>
    <n v="133.33333333333334"/>
    <n v="18108"/>
    <n v="66.666666666666671"/>
    <n v="9054"/>
    <n v="66.666666666666671"/>
    <n v="9054"/>
    <n v="66.666666666666671"/>
    <n v="9054"/>
    <n v="200"/>
    <n v="27162"/>
    <n v="66.666666666666671"/>
    <n v="9054"/>
    <n v="66.666666666666671"/>
    <n v="9054"/>
    <n v="66.666666666666671"/>
    <n v="9054"/>
    <n v="200"/>
    <n v="27162"/>
    <x v="0"/>
    <n v="0"/>
    <n v="0"/>
    <n v="90"/>
    <n v="90"/>
    <n v="121.67"/>
    <n v="10950.3"/>
    <n v="0"/>
    <n v="0"/>
    <n v="0"/>
    <n v="0"/>
    <n v="90"/>
    <n v="10950.3"/>
    <n v="90"/>
    <n v="10950.3"/>
    <s v="Continued"/>
    <n v="0"/>
    <n v="0"/>
    <n v="90"/>
    <n v="90"/>
    <n v="135.81"/>
    <n v="12222.9"/>
    <s v="Fall 2015"/>
    <n v="0"/>
    <n v="0"/>
    <n v="0"/>
    <n v="0"/>
    <n v="90"/>
    <n v="12222.9"/>
    <n v="90"/>
    <n v="12222.9"/>
    <s v="Continued"/>
    <n v="0"/>
    <n v="0"/>
    <n v="90"/>
    <n v="90"/>
    <n v="135.81"/>
    <n v="12222.9"/>
    <m/>
    <n v="0"/>
    <n v="0"/>
    <n v="0"/>
    <n v="0"/>
    <n v="90"/>
    <n v="12222.9"/>
    <n v="90"/>
    <n v="12222.9"/>
    <n v="803.33333333333337"/>
    <n v="107828.09999999999"/>
    <n v="6.342829411764705"/>
  </r>
  <r>
    <x v="41"/>
    <s v="Completed"/>
    <m/>
    <n v="510250"/>
    <d v="2015-12-22T00:00:00"/>
    <d v="2016-01-11T00:00:00"/>
    <s v="02"/>
    <x v="0"/>
    <x v="0"/>
    <x v="6"/>
    <n v="30000"/>
    <m/>
    <x v="40"/>
    <x v="40"/>
    <s v="Introduction to General Psychology"/>
    <s v="PSYC 1101"/>
    <s v="Psychology"/>
    <s v="Introduction to General Psychology"/>
    <s v="N"/>
    <s v="Y"/>
    <s v="OpenStax Psychology, OpenStax Sociology"/>
    <x v="2"/>
    <s v="Positive"/>
    <s v="Positive"/>
    <n v="65070"/>
    <n v="495"/>
    <n v="131.45454545454547"/>
    <n v="165"/>
    <n v="165"/>
    <n v="165"/>
    <s v="Fall 2015"/>
    <s v="N"/>
    <m/>
    <m/>
    <s v="Continued"/>
    <n v="0"/>
    <n v="0"/>
    <n v="0"/>
    <n v="0"/>
    <n v="0"/>
    <n v="0"/>
    <n v="165"/>
    <n v="21690.000000000004"/>
    <n v="165"/>
    <n v="21690.000000000004"/>
    <n v="330"/>
    <n v="43380.000000000007"/>
    <n v="165"/>
    <n v="21690.000000000004"/>
    <n v="165"/>
    <n v="21690.000000000004"/>
    <n v="165"/>
    <n v="21690.000000000004"/>
    <n v="495"/>
    <n v="65070.000000000015"/>
    <n v="165"/>
    <n v="21690.000000000004"/>
    <n v="165"/>
    <n v="21690.000000000004"/>
    <n v="165"/>
    <n v="21690.000000000004"/>
    <n v="495"/>
    <n v="65070.000000000015"/>
    <x v="0"/>
    <n v="0"/>
    <n v="200"/>
    <n v="180"/>
    <n v="380"/>
    <n v="152.96"/>
    <n v="58124.800000000003"/>
    <n v="0"/>
    <n v="0"/>
    <n v="200"/>
    <n v="30592"/>
    <n v="180"/>
    <n v="27532.800000000003"/>
    <n v="380"/>
    <n v="58124.800000000003"/>
    <s v="Continued"/>
    <n v="0"/>
    <n v="200"/>
    <n v="160"/>
    <n v="360"/>
    <n v="131.44999999999999"/>
    <n v="47321.999999999993"/>
    <s v="Fall 2015"/>
    <n v="0"/>
    <n v="0"/>
    <n v="200"/>
    <n v="26289.999999999996"/>
    <n v="160"/>
    <n v="21032"/>
    <n v="360"/>
    <n v="47322"/>
    <s v="Continued"/>
    <n v="0"/>
    <n v="200"/>
    <n v="160"/>
    <n v="360"/>
    <n v="131.44999999999999"/>
    <n v="47321.999999999993"/>
    <m/>
    <n v="0"/>
    <n v="0"/>
    <n v="200"/>
    <n v="26289.999999999996"/>
    <n v="160"/>
    <n v="21032"/>
    <n v="360"/>
    <n v="47322"/>
    <n v="2420"/>
    <n v="326288.80000000005"/>
    <n v="10.876293333333335"/>
  </r>
  <r>
    <x v="42"/>
    <s v="Completed"/>
    <m/>
    <n v="510263"/>
    <d v="2015-08-19T00:00:00"/>
    <d v="2016-01-11T00:00:00"/>
    <s v="02"/>
    <x v="0"/>
    <x v="0"/>
    <x v="18"/>
    <n v="25800"/>
    <m/>
    <x v="41"/>
    <x v="41"/>
    <s v="Microeconomics, Macroeconomics"/>
    <s v="ECON 2105, ECON 2106"/>
    <s v="Business Administration, Management, and Economics"/>
    <s v="Principles of Microeconomics, Principles of Macroeconomics"/>
    <s v="N"/>
    <s v="Y"/>
    <s v="OpenStax Microeconomics, OpenStax Macroeconomics"/>
    <x v="2"/>
    <s v="Positive"/>
    <s v="Positive"/>
    <n v="87734"/>
    <n v="660"/>
    <n v="132.93030303030304"/>
    <n v="220"/>
    <n v="220"/>
    <n v="220"/>
    <s v="Fall 2015"/>
    <s v="N"/>
    <m/>
    <m/>
    <s v="Continued"/>
    <n v="0"/>
    <n v="0"/>
    <n v="0"/>
    <n v="0"/>
    <n v="0"/>
    <n v="0"/>
    <n v="220"/>
    <n v="29244.666666666668"/>
    <n v="220"/>
    <n v="29244.666666666668"/>
    <n v="440"/>
    <n v="58489.333333333336"/>
    <n v="220"/>
    <n v="29244.666666666668"/>
    <n v="220"/>
    <n v="29244.666666666668"/>
    <n v="220"/>
    <n v="29244.666666666668"/>
    <n v="660"/>
    <n v="87734"/>
    <n v="220"/>
    <n v="29244.666666666668"/>
    <n v="220"/>
    <n v="29244.666666666668"/>
    <n v="220"/>
    <n v="29244.666666666668"/>
    <n v="660"/>
    <n v="87734"/>
    <x v="0"/>
    <n v="100"/>
    <n v="300"/>
    <n v="300"/>
    <n v="700"/>
    <n v="257.99"/>
    <n v="180593"/>
    <n v="100"/>
    <n v="25799"/>
    <n v="300"/>
    <n v="77397"/>
    <n v="300"/>
    <n v="77397"/>
    <n v="700"/>
    <n v="180593"/>
    <s v="Continued"/>
    <n v="100"/>
    <n v="300"/>
    <n v="300"/>
    <n v="700"/>
    <n v="132.93"/>
    <n v="93051"/>
    <s v="Fall 2015"/>
    <n v="100"/>
    <n v="13293"/>
    <n v="300"/>
    <n v="39879"/>
    <n v="300"/>
    <n v="39879"/>
    <n v="700"/>
    <n v="93051"/>
    <s v="Continued"/>
    <n v="100"/>
    <n v="300"/>
    <n v="300"/>
    <n v="700"/>
    <n v="132.93"/>
    <n v="93051"/>
    <m/>
    <n v="100"/>
    <n v="13293"/>
    <n v="300"/>
    <n v="39879"/>
    <n v="300"/>
    <n v="39879"/>
    <n v="700"/>
    <n v="93051"/>
    <n v="3860"/>
    <n v="600652.33333333337"/>
    <n v="23.281098191214472"/>
  </r>
  <r>
    <x v="43"/>
    <s v="Completed"/>
    <m/>
    <n v="510249"/>
    <d v="2015-06-26T00:00:00"/>
    <d v="2016-05-24T00:00:00"/>
    <s v="02"/>
    <x v="0"/>
    <x v="0"/>
    <x v="4"/>
    <n v="30000"/>
    <m/>
    <x v="42"/>
    <x v="42"/>
    <s v="English Composition I, English Composition II"/>
    <s v="ENGL 1101, ENGL 1102"/>
    <s v="English"/>
    <s v="English Composition I &amp; II"/>
    <s v="Created Materials"/>
    <s v="N"/>
    <s v="Saylor Writing for Success "/>
    <x v="2"/>
    <s v="Neutral"/>
    <s v="Negative"/>
    <n v="1050175.44"/>
    <n v="5688"/>
    <n v="184.63"/>
    <n v="1896"/>
    <n v="1896"/>
    <n v="1896"/>
    <s v="Spring 2015"/>
    <s v="N"/>
    <m/>
    <m/>
    <s v="Continued"/>
    <n v="1896"/>
    <n v="350058.48"/>
    <n v="1896"/>
    <n v="350058.48"/>
    <n v="1896"/>
    <n v="350058.48"/>
    <n v="1896"/>
    <n v="350058.48"/>
    <n v="1896"/>
    <n v="350058.48"/>
    <n v="5688"/>
    <n v="1050175.44"/>
    <n v="1896"/>
    <n v="350058.48"/>
    <n v="1896"/>
    <n v="350058.48"/>
    <n v="1896"/>
    <n v="350058.48"/>
    <n v="5688"/>
    <n v="1050175.44"/>
    <n v="1896"/>
    <n v="350058.48"/>
    <n v="1896"/>
    <n v="350058.48"/>
    <n v="1896"/>
    <n v="350058.48"/>
    <n v="5688"/>
    <n v="1050175.44"/>
    <x v="0"/>
    <n v="1896"/>
    <n v="1896"/>
    <n v="1896"/>
    <n v="5688"/>
    <n v="151.94"/>
    <n v="864234.72"/>
    <n v="1896"/>
    <n v="288078.24"/>
    <n v="1896"/>
    <n v="288078.24"/>
    <n v="1896"/>
    <n v="288078.24"/>
    <n v="5688"/>
    <n v="864234.72"/>
    <s v="Scaled"/>
    <n v="0"/>
    <n v="0"/>
    <n v="0"/>
    <n v="0"/>
    <n v="0"/>
    <n v="0"/>
    <s v="Spring 2015"/>
    <n v="0"/>
    <n v="0"/>
    <n v="0"/>
    <n v="0"/>
    <n v="0"/>
    <n v="0"/>
    <n v="0"/>
    <n v="0"/>
    <s v="Scaled"/>
    <n v="0"/>
    <n v="0"/>
    <n v="0"/>
    <n v="0"/>
    <n v="0"/>
    <n v="0"/>
    <m/>
    <n v="0"/>
    <n v="0"/>
    <n v="0"/>
    <n v="0"/>
    <n v="0"/>
    <n v="0"/>
    <n v="0"/>
    <n v="0"/>
    <n v="24648"/>
    <n v="4364819.5199999996"/>
    <n v="145.49398399999998"/>
  </r>
  <r>
    <x v="44"/>
    <s v="Completed"/>
    <m/>
    <n v="510262"/>
    <d v="2015-06-26T00:00:00"/>
    <d v="2016-01-11T00:00:00"/>
    <s v="02"/>
    <x v="0"/>
    <x v="0"/>
    <x v="11"/>
    <n v="25800"/>
    <m/>
    <x v="43"/>
    <x v="43"/>
    <s v="Strategic Management"/>
    <s v="BUSA 4185"/>
    <s v="Business Administration, Management, and Economics"/>
    <s v="N"/>
    <s v="N"/>
    <s v="N"/>
    <s v="OER and Library"/>
    <x v="2"/>
    <s v="Positive"/>
    <s v="Positive"/>
    <n v="32508"/>
    <n v="180"/>
    <n v="180.6"/>
    <n v="60"/>
    <n v="60"/>
    <n v="60"/>
    <s v="Fall 2015"/>
    <s v="N"/>
    <m/>
    <m/>
    <s v="Continued"/>
    <n v="0"/>
    <n v="0"/>
    <n v="0"/>
    <n v="0"/>
    <n v="0"/>
    <n v="0"/>
    <n v="60"/>
    <n v="10836"/>
    <n v="60"/>
    <n v="10836"/>
    <n v="120"/>
    <n v="21672"/>
    <n v="60"/>
    <n v="10836"/>
    <n v="60"/>
    <n v="10836"/>
    <n v="60"/>
    <n v="10836"/>
    <n v="180"/>
    <n v="32508"/>
    <n v="60"/>
    <n v="10836"/>
    <n v="60"/>
    <n v="10836"/>
    <n v="60"/>
    <n v="10836"/>
    <n v="180"/>
    <n v="32508"/>
    <x v="0"/>
    <n v="60"/>
    <n v="60"/>
    <n v="60"/>
    <n v="180"/>
    <n v="198.8"/>
    <n v="35784"/>
    <n v="60"/>
    <n v="11928"/>
    <n v="60"/>
    <n v="11928"/>
    <n v="60"/>
    <n v="11928"/>
    <n v="180"/>
    <n v="35784"/>
    <s v="Continued"/>
    <n v="30"/>
    <n v="75"/>
    <n v="90"/>
    <n v="195"/>
    <n v="180.6"/>
    <n v="35217"/>
    <s v="Fall 2015"/>
    <n v="30"/>
    <n v="5418"/>
    <n v="75"/>
    <n v="13545"/>
    <n v="90"/>
    <n v="16254"/>
    <n v="195"/>
    <n v="35217"/>
    <s v="Continued"/>
    <n v="30"/>
    <n v="75"/>
    <n v="90"/>
    <n v="195"/>
    <n v="180.6"/>
    <n v="35217"/>
    <m/>
    <n v="30"/>
    <n v="5418"/>
    <n v="75"/>
    <n v="13545"/>
    <n v="90"/>
    <n v="16254"/>
    <n v="195"/>
    <n v="35217"/>
    <n v="1050"/>
    <n v="192906"/>
    <n v="7.4769767441860466"/>
  </r>
  <r>
    <x v="45"/>
    <s v="Completed"/>
    <m/>
    <n v="510251"/>
    <d v="2015-08-18T00:00:00"/>
    <d v="2016-06-03T00:00:00"/>
    <s v="02"/>
    <x v="0"/>
    <x v="0"/>
    <x v="10"/>
    <n v="30000"/>
    <m/>
    <x v="44"/>
    <x v="44"/>
    <s v="Critical and Contemporary Issues in Education, Exploring Socio-Cultural Diversity, Exploring Teaching and Learning"/>
    <s v="EDUC 2110, EDUC 2120, EDUC 2130"/>
    <s v="Educator Preparation"/>
    <s v="N"/>
    <s v="N"/>
    <s v="N"/>
    <s v="OER and Library"/>
    <x v="3"/>
    <s v="Not Measured"/>
    <s v="Not Measured"/>
    <n v="311808"/>
    <n v="1392"/>
    <n v="184"/>
    <n v="160"/>
    <n v="160"/>
    <n v="160"/>
    <s v="Spring 2016"/>
    <s v="N"/>
    <m/>
    <m/>
    <s v="Continued"/>
    <n v="0"/>
    <n v="0"/>
    <n v="0"/>
    <n v="0"/>
    <n v="0"/>
    <n v="0"/>
    <n v="0"/>
    <n v="0"/>
    <n v="160"/>
    <n v="29440"/>
    <n v="160"/>
    <n v="29440"/>
    <n v="160"/>
    <n v="29440"/>
    <n v="160"/>
    <n v="29440"/>
    <n v="160"/>
    <n v="29440"/>
    <n v="480"/>
    <n v="88320"/>
    <n v="160"/>
    <n v="29440"/>
    <n v="160"/>
    <n v="29440"/>
    <n v="160"/>
    <n v="29440"/>
    <n v="480"/>
    <n v="88320"/>
    <x v="0"/>
    <n v="160"/>
    <n v="160"/>
    <n v="160"/>
    <n v="480"/>
    <n v="230.22"/>
    <n v="110505.60000000001"/>
    <n v="160"/>
    <n v="36835.199999999997"/>
    <n v="160"/>
    <n v="36835.199999999997"/>
    <n v="160"/>
    <n v="36835.199999999997"/>
    <n v="480"/>
    <n v="110505.59999999999"/>
    <s v="Continued"/>
    <n v="169"/>
    <n v="578"/>
    <n v="160"/>
    <n v="907"/>
    <n v="100"/>
    <n v="90700"/>
    <s v="Spring 2016"/>
    <n v="169"/>
    <n v="16900"/>
    <n v="578"/>
    <n v="57800"/>
    <n v="160"/>
    <n v="16000"/>
    <n v="907"/>
    <n v="90700"/>
    <s v="Continued"/>
    <n v="169"/>
    <n v="578"/>
    <n v="160"/>
    <n v="907"/>
    <n v="100"/>
    <n v="90700"/>
    <m/>
    <n v="169"/>
    <n v="16900"/>
    <n v="578"/>
    <n v="57800"/>
    <n v="160"/>
    <n v="16000"/>
    <n v="907"/>
    <n v="90700"/>
    <n v="3414"/>
    <n v="497985.6"/>
    <n v="16.599519999999998"/>
  </r>
  <r>
    <x v="46"/>
    <s v="Completed"/>
    <m/>
    <n v="510264"/>
    <d v="2015-07-06T00:00:00"/>
    <d v="2016-01-11T00:00:00"/>
    <s v="02"/>
    <x v="0"/>
    <x v="0"/>
    <x v="16"/>
    <n v="30000"/>
    <m/>
    <x v="45"/>
    <x v="45"/>
    <s v="Introduction to Environmental Science"/>
    <s v="ENSC 1000"/>
    <s v="Biological Sciences"/>
    <s v="N"/>
    <s v="Created Materials"/>
    <s v="Y"/>
    <s v="OpenStax Biology"/>
    <x v="2"/>
    <s v="Positive"/>
    <s v="Negative"/>
    <n v="68704"/>
    <n v="452"/>
    <n v="152"/>
    <n v="150.66666666666666"/>
    <n v="150.66666666666666"/>
    <n v="150.66666666666666"/>
    <s v="Fall 2015"/>
    <s v="N"/>
    <m/>
    <m/>
    <s v="Continued"/>
    <n v="0"/>
    <n v="0"/>
    <n v="0"/>
    <n v="0"/>
    <n v="0"/>
    <n v="0"/>
    <n v="150.66666666666666"/>
    <n v="22901.333333333332"/>
    <n v="150.66666666666666"/>
    <n v="22901.333333333332"/>
    <n v="301.33333333333331"/>
    <n v="45802.666666666664"/>
    <n v="150.66666666666666"/>
    <n v="22901.333333333332"/>
    <n v="150.66666666666666"/>
    <n v="22901.333333333332"/>
    <n v="150.66666666666666"/>
    <n v="22901.333333333332"/>
    <n v="452"/>
    <n v="68704"/>
    <n v="150.66666666666666"/>
    <n v="22901.333333333332"/>
    <n v="150.66666666666666"/>
    <n v="22901.333333333332"/>
    <n v="150.66666666666666"/>
    <n v="22901.333333333332"/>
    <n v="452"/>
    <n v="68704"/>
    <x v="0"/>
    <n v="151"/>
    <n v="151"/>
    <n v="151"/>
    <n v="453"/>
    <n v="145.35"/>
    <n v="65843.55"/>
    <n v="151"/>
    <n v="21947.85"/>
    <n v="151"/>
    <n v="21947.85"/>
    <n v="151"/>
    <n v="21947.85"/>
    <n v="453"/>
    <n v="65843.549999999988"/>
    <s v="Continued"/>
    <n v="24"/>
    <n v="200"/>
    <n v="200"/>
    <n v="424"/>
    <n v="180"/>
    <n v="76320"/>
    <s v="Fall 2015"/>
    <n v="24"/>
    <n v="4320"/>
    <n v="200"/>
    <n v="36000"/>
    <n v="200"/>
    <n v="36000"/>
    <n v="424"/>
    <n v="76320"/>
    <s v="Continued"/>
    <n v="24"/>
    <n v="200"/>
    <n v="200"/>
    <n v="424"/>
    <n v="180"/>
    <n v="76320"/>
    <m/>
    <n v="24"/>
    <n v="4320"/>
    <n v="200"/>
    <n v="36000"/>
    <n v="200"/>
    <n v="36000"/>
    <n v="424"/>
    <n v="76320"/>
    <n v="2506.333333333333"/>
    <n v="401694.21666666667"/>
    <n v="13.389807222222222"/>
  </r>
  <r>
    <x v="47"/>
    <s v="Completed"/>
    <m/>
    <n v="510260"/>
    <d v="2015-07-06T00:00:00"/>
    <d v="2016-05-24T00:00:00"/>
    <s v="02"/>
    <x v="0"/>
    <x v="0"/>
    <x v="0"/>
    <n v="16600"/>
    <m/>
    <x v="46"/>
    <x v="46"/>
    <s v="Survey of Chemistry I, Survey of Chemistry II"/>
    <s v="CHEM 1151, CHEM 1152"/>
    <s v="Chemistry"/>
    <s v="Survey of Chemistry I &amp; II"/>
    <s v="Created Materials"/>
    <s v="N"/>
    <s v="LibreTexts Chemistry"/>
    <x v="0"/>
    <s v="Neutral"/>
    <s v="Neutral"/>
    <n v="77400"/>
    <n v="360"/>
    <n v="215"/>
    <n v="120"/>
    <n v="120"/>
    <n v="120"/>
    <s v="Fall 2015"/>
    <s v="N"/>
    <m/>
    <m/>
    <s v="Continued"/>
    <n v="0"/>
    <n v="0"/>
    <n v="0"/>
    <n v="0"/>
    <n v="0"/>
    <n v="0"/>
    <n v="120"/>
    <n v="25800"/>
    <n v="120"/>
    <n v="25800"/>
    <n v="240"/>
    <n v="51600"/>
    <n v="120"/>
    <n v="25800"/>
    <n v="120"/>
    <n v="25800"/>
    <n v="120"/>
    <n v="25800"/>
    <n v="360"/>
    <n v="77400"/>
    <n v="120"/>
    <n v="25800"/>
    <n v="120"/>
    <n v="25800"/>
    <n v="120"/>
    <n v="25800"/>
    <n v="360"/>
    <n v="77400"/>
    <x v="0"/>
    <n v="50"/>
    <n v="150"/>
    <n v="150"/>
    <n v="350"/>
    <n v="40"/>
    <n v="14000"/>
    <n v="50"/>
    <n v="2000"/>
    <n v="150"/>
    <n v="6000"/>
    <n v="150"/>
    <n v="6000"/>
    <n v="350"/>
    <n v="14000"/>
    <s v="Continued"/>
    <n v="50"/>
    <n v="150"/>
    <n v="150"/>
    <n v="350"/>
    <n v="100"/>
    <n v="35000"/>
    <s v="Fall 2015"/>
    <n v="50"/>
    <n v="5000"/>
    <n v="150"/>
    <n v="15000"/>
    <n v="150"/>
    <n v="15000"/>
    <n v="350"/>
    <n v="35000"/>
    <s v="Continued"/>
    <n v="50"/>
    <n v="150"/>
    <n v="150"/>
    <n v="350"/>
    <n v="100"/>
    <n v="35000"/>
    <m/>
    <n v="50"/>
    <n v="5000"/>
    <n v="150"/>
    <n v="15000"/>
    <n v="150"/>
    <n v="15000"/>
    <n v="350"/>
    <n v="35000"/>
    <n v="2010"/>
    <n v="290400"/>
    <n v="17.493975903614459"/>
  </r>
  <r>
    <x v="48"/>
    <s v="Completed"/>
    <m/>
    <n v="510245"/>
    <d v="2015-06-25T00:00:00"/>
    <d v="2016-05-24T00:00:00"/>
    <s v="02"/>
    <x v="0"/>
    <x v="0"/>
    <x v="19"/>
    <n v="29000"/>
    <m/>
    <x v="47"/>
    <x v="47"/>
    <s v="College Algebra, Precalculus"/>
    <s v="MATH 1111, MATH 1113"/>
    <s v="Mathematical Subjects"/>
    <s v="College Algebra, Precalculus"/>
    <s v="N"/>
    <s v="N"/>
    <s v="Various OER"/>
    <x v="2"/>
    <s v="Negative"/>
    <s v="Negative"/>
    <n v="131250"/>
    <n v="750"/>
    <n v="175"/>
    <n v="250"/>
    <n v="250"/>
    <n v="250"/>
    <s v="Spring 2016"/>
    <s v="N"/>
    <m/>
    <m/>
    <s v="Continued"/>
    <n v="0"/>
    <n v="0"/>
    <n v="0"/>
    <n v="0"/>
    <n v="0"/>
    <n v="0"/>
    <n v="0"/>
    <n v="0"/>
    <n v="250"/>
    <n v="43750"/>
    <n v="250"/>
    <n v="43750"/>
    <n v="250"/>
    <n v="43750"/>
    <n v="250"/>
    <n v="43750"/>
    <n v="250"/>
    <n v="43750"/>
    <n v="750"/>
    <n v="131250"/>
    <n v="250"/>
    <n v="43750"/>
    <n v="250"/>
    <n v="43750"/>
    <n v="250"/>
    <n v="43750"/>
    <n v="750"/>
    <n v="131250"/>
    <x v="0"/>
    <n v="250"/>
    <n v="250"/>
    <n v="250"/>
    <n v="750"/>
    <n v="244.91"/>
    <n v="183682.5"/>
    <n v="250"/>
    <n v="61227.5"/>
    <n v="250"/>
    <n v="61227.5"/>
    <n v="250"/>
    <n v="61227.5"/>
    <n v="750"/>
    <n v="183682.5"/>
    <s v="Continued"/>
    <n v="250"/>
    <n v="250"/>
    <n v="250"/>
    <n v="750"/>
    <n v="135"/>
    <n v="101250"/>
    <s v="Spring 2016"/>
    <n v="250"/>
    <n v="33750"/>
    <n v="250"/>
    <n v="33750"/>
    <n v="250"/>
    <n v="33750"/>
    <n v="750"/>
    <n v="101250"/>
    <s v="Continued"/>
    <n v="250"/>
    <n v="250"/>
    <n v="250"/>
    <n v="750"/>
    <n v="135"/>
    <n v="101250"/>
    <m/>
    <n v="250"/>
    <n v="33750"/>
    <n v="250"/>
    <n v="33750"/>
    <n v="250"/>
    <n v="33750"/>
    <n v="750"/>
    <n v="101250"/>
    <n v="4000"/>
    <n v="692432.5"/>
    <n v="23.876982758620688"/>
  </r>
  <r>
    <x v="49"/>
    <s v="Completed"/>
    <m/>
    <n v="510248"/>
    <d v="2015-12-09T00:00:00"/>
    <d v="2016-05-24T00:00:00"/>
    <s v="02"/>
    <x v="0"/>
    <x v="0"/>
    <x v="2"/>
    <n v="30000"/>
    <m/>
    <x v="4"/>
    <x v="4"/>
    <s v="Critical and Contemporary Issues in Education, Exploring Socio-Cultural Diversity"/>
    <s v="EDUC 2110, EDUC 2120"/>
    <s v="Educator Preparation"/>
    <s v="N"/>
    <s v="Created Materials"/>
    <s v="N"/>
    <s v="Various OER"/>
    <x v="2"/>
    <s v="Neutral"/>
    <s v="Negative"/>
    <n v="271441.45"/>
    <n v="1015"/>
    <n v="267.43"/>
    <n v="338.33333333333331"/>
    <n v="338.33333333333331"/>
    <n v="338.33333333333331"/>
    <s v="Spring 2016"/>
    <s v="N"/>
    <m/>
    <m/>
    <s v="Continued"/>
    <n v="0"/>
    <n v="0"/>
    <n v="0"/>
    <n v="0"/>
    <n v="0"/>
    <n v="0"/>
    <n v="0"/>
    <n v="0"/>
    <n v="0"/>
    <n v="0"/>
    <n v="0"/>
    <n v="0"/>
    <n v="338.33333333333331"/>
    <n v="90480.483333333337"/>
    <n v="338.33333333333331"/>
    <n v="90480.483333333337"/>
    <n v="338.33333333333331"/>
    <n v="90480.483333333337"/>
    <n v="1015"/>
    <n v="271441.45"/>
    <n v="338.33333333333331"/>
    <n v="90480.483333333337"/>
    <n v="338.33333333333331"/>
    <n v="90480.483333333337"/>
    <n v="338.33333333333331"/>
    <n v="90480.483333333337"/>
    <n v="1015"/>
    <n v="271441.45"/>
    <x v="1"/>
    <n v="0"/>
    <n v="0"/>
    <n v="0"/>
    <n v="0"/>
    <n v="267.43"/>
    <n v="0"/>
    <n v="0"/>
    <n v="0"/>
    <n v="0"/>
    <n v="0"/>
    <n v="0"/>
    <n v="0"/>
    <n v="0"/>
    <n v="0"/>
    <s v="Discontinued"/>
    <n v="0"/>
    <n v="0"/>
    <n v="0"/>
    <n v="0"/>
    <n v="0"/>
    <n v="0"/>
    <s v="Spring 2016"/>
    <n v="0"/>
    <n v="0"/>
    <n v="0"/>
    <n v="0"/>
    <n v="0"/>
    <n v="0"/>
    <n v="0"/>
    <n v="0"/>
    <s v="Discontinued"/>
    <n v="0"/>
    <n v="0"/>
    <n v="0"/>
    <n v="0"/>
    <n v="0"/>
    <n v="0"/>
    <m/>
    <n v="0"/>
    <n v="0"/>
    <n v="0"/>
    <n v="0"/>
    <n v="0"/>
    <n v="0"/>
    <n v="0"/>
    <n v="0"/>
    <n v="2030"/>
    <n v="542882.9"/>
    <n v="18.096096666666668"/>
  </r>
  <r>
    <x v="50"/>
    <s v="Completed"/>
    <m/>
    <n v="510258"/>
    <d v="2015-07-21T00:00:00"/>
    <d v="2016-05-24T00:00:00"/>
    <s v="02"/>
    <x v="0"/>
    <x v="0"/>
    <x v="20"/>
    <n v="30000"/>
    <m/>
    <x v="48"/>
    <x v="48"/>
    <s v="Pre-Algebra, Trigonometry, Precalculus, Introduction to Statistics"/>
    <s v="MATH 1111, MATH 1112, MATH 1113, MATH 2112"/>
    <s v="Mathematical Subjects"/>
    <s v="Precalculus, Trigonometry"/>
    <s v="N"/>
    <s v="Y"/>
    <s v="OpenStax Algebra and Trigonometry, OpenStax Statistics"/>
    <x v="2"/>
    <s v="Neutral"/>
    <s v="Neutral"/>
    <n v="404184"/>
    <n v="1876"/>
    <n v="215.4498933901919"/>
    <n v="625.33333333333337"/>
    <n v="625.33333333333337"/>
    <n v="625.33333333333337"/>
    <s v="Spring 2016"/>
    <s v="N"/>
    <m/>
    <m/>
    <s v="Continued"/>
    <n v="0"/>
    <n v="0"/>
    <n v="0"/>
    <n v="0"/>
    <n v="0"/>
    <n v="0"/>
    <n v="0"/>
    <n v="0"/>
    <n v="625.33333333333337"/>
    <n v="134728"/>
    <n v="625.33333333333337"/>
    <n v="134728"/>
    <n v="625.33333333333337"/>
    <n v="134728"/>
    <n v="625.33333333333337"/>
    <n v="134728"/>
    <n v="625.33333333333337"/>
    <n v="134728"/>
    <n v="1876"/>
    <n v="404184"/>
    <n v="625.33333333333337"/>
    <n v="134728"/>
    <n v="625.33333333333337"/>
    <n v="134728"/>
    <n v="625.33333333333337"/>
    <n v="134728"/>
    <n v="1876"/>
    <n v="404184"/>
    <x v="0"/>
    <n v="111"/>
    <n v="445"/>
    <n v="1026"/>
    <n v="1582"/>
    <n v="247.53"/>
    <n v="391592.46"/>
    <n v="111"/>
    <n v="27475.83"/>
    <n v="445"/>
    <n v="110150.85"/>
    <n v="1026"/>
    <n v="253965.78"/>
    <n v="1582"/>
    <n v="391592.45999999996"/>
    <s v="Continued"/>
    <n v="85"/>
    <n v="381"/>
    <n v="480"/>
    <n v="946"/>
    <n v="242.18"/>
    <n v="229102.28"/>
    <s v="Spring 2016"/>
    <n v="85"/>
    <n v="20585.3"/>
    <n v="381"/>
    <n v="92270.58"/>
    <n v="480"/>
    <n v="116246.40000000001"/>
    <n v="946"/>
    <n v="229102.28000000003"/>
    <s v="Discontinued"/>
    <n v="85"/>
    <n v="381"/>
    <n v="480"/>
    <n v="0"/>
    <n v="0"/>
    <n v="0"/>
    <m/>
    <n v="0"/>
    <n v="0"/>
    <n v="0"/>
    <n v="0"/>
    <n v="0"/>
    <n v="0"/>
    <n v="0"/>
    <n v="0"/>
    <n v="6905.3333333333339"/>
    <n v="1563790.74"/>
    <n v="52.126357999999996"/>
  </r>
  <r>
    <x v="51"/>
    <s v="Completed"/>
    <m/>
    <n v="510246"/>
    <d v="2015-11-30T00:00:00"/>
    <d v="2016-05-24T00:00:00"/>
    <s v="02"/>
    <x v="0"/>
    <x v="0"/>
    <x v="2"/>
    <n v="28300"/>
    <m/>
    <x v="49"/>
    <x v="49"/>
    <s v="Introduction to General Psychology"/>
    <s v="PSYC 1101"/>
    <s v="Psychology"/>
    <s v="Introduction to General Psychology"/>
    <s v="N"/>
    <s v="Y"/>
    <s v="OpenStax Psychology"/>
    <x v="0"/>
    <s v="Negative"/>
    <s v="Negative"/>
    <n v="290796"/>
    <n v="600"/>
    <n v="484.66"/>
    <n v="0"/>
    <n v="0"/>
    <n v="600"/>
    <s v="Fall 2015"/>
    <s v="N"/>
    <m/>
    <m/>
    <s v="Continued"/>
    <n v="0"/>
    <n v="0"/>
    <n v="0"/>
    <n v="0"/>
    <n v="0"/>
    <n v="0"/>
    <n v="0"/>
    <n v="0"/>
    <n v="600"/>
    <n v="290796"/>
    <n v="600"/>
    <n v="290796"/>
    <n v="0"/>
    <n v="0"/>
    <n v="0"/>
    <n v="0"/>
    <n v="600"/>
    <n v="290796"/>
    <n v="600"/>
    <n v="290796"/>
    <n v="0"/>
    <n v="0"/>
    <n v="0"/>
    <n v="0"/>
    <n v="600"/>
    <n v="290796"/>
    <n v="600"/>
    <n v="290796"/>
    <x v="0"/>
    <n v="0"/>
    <n v="600"/>
    <n v="0"/>
    <n v="600"/>
    <n v="154.4"/>
    <n v="92640"/>
    <n v="0"/>
    <n v="0"/>
    <n v="600"/>
    <n v="92640"/>
    <n v="0"/>
    <n v="0"/>
    <n v="600"/>
    <n v="92640"/>
    <s v="Continued"/>
    <n v="0"/>
    <n v="600"/>
    <n v="0"/>
    <n v="600"/>
    <n v="154.4"/>
    <n v="92640"/>
    <s v="Fall 2015"/>
    <n v="0"/>
    <n v="0"/>
    <n v="600"/>
    <n v="92640"/>
    <n v="0"/>
    <n v="0"/>
    <n v="600"/>
    <n v="92640"/>
    <s v="Continued"/>
    <n v="0"/>
    <n v="600"/>
    <n v="0"/>
    <n v="600"/>
    <n v="154.4"/>
    <n v="92640"/>
    <m/>
    <n v="0"/>
    <n v="0"/>
    <n v="600"/>
    <n v="92640"/>
    <n v="0"/>
    <n v="0"/>
    <n v="600"/>
    <n v="92640"/>
    <n v="3600"/>
    <n v="1150308"/>
    <n v="40.646925795053001"/>
  </r>
  <r>
    <x v="52"/>
    <s v="Completed"/>
    <m/>
    <n v="510256"/>
    <d v="2015-08-21T00:00:00"/>
    <d v="2016-05-24T00:00:00"/>
    <s v="02"/>
    <x v="0"/>
    <x v="0"/>
    <x v="1"/>
    <n v="30000"/>
    <m/>
    <x v="50"/>
    <x v="50"/>
    <s v="Advanced Databases, Business Intelligence, Database Design and Applications"/>
    <s v="CSE 3153, IT 4153, IT 4713, IT 5433"/>
    <s v="Computing Disciplines"/>
    <s v="N"/>
    <s v="N"/>
    <s v="N"/>
    <s v="Various OER"/>
    <x v="2"/>
    <s v="Positive"/>
    <s v="Positive"/>
    <n v="110419"/>
    <n v="330"/>
    <n v="334.60303030303032"/>
    <n v="110"/>
    <n v="110"/>
    <n v="110"/>
    <s v="Spring 2016"/>
    <s v="N"/>
    <m/>
    <m/>
    <s v="Continued"/>
    <n v="0"/>
    <n v="0"/>
    <n v="0"/>
    <n v="0"/>
    <n v="0"/>
    <n v="0"/>
    <n v="0"/>
    <n v="0"/>
    <n v="110"/>
    <n v="36806.333333333336"/>
    <n v="110"/>
    <n v="36806.333333333336"/>
    <n v="110"/>
    <n v="36806.333333333336"/>
    <n v="110"/>
    <n v="36806.333333333336"/>
    <n v="110"/>
    <n v="36806.333333333336"/>
    <n v="330"/>
    <n v="110419"/>
    <n v="110"/>
    <n v="36806.333333333336"/>
    <n v="110"/>
    <n v="36806.333333333336"/>
    <n v="110"/>
    <n v="36806.333333333336"/>
    <n v="330"/>
    <n v="110419"/>
    <x v="0"/>
    <n v="110"/>
    <n v="110"/>
    <n v="110"/>
    <n v="330"/>
    <n v="334.6"/>
    <n v="110418.00000000001"/>
    <n v="110"/>
    <n v="36806"/>
    <n v="110"/>
    <n v="36806"/>
    <n v="110"/>
    <n v="36806"/>
    <n v="330"/>
    <n v="110418"/>
    <s v="Continued"/>
    <n v="36"/>
    <n v="229"/>
    <n v="32"/>
    <n v="297"/>
    <n v="334.6"/>
    <n v="99376.200000000012"/>
    <s v="Spring 2016"/>
    <n v="36"/>
    <n v="12045.6"/>
    <n v="229"/>
    <n v="76623.400000000009"/>
    <n v="32"/>
    <n v="10707.2"/>
    <n v="297"/>
    <n v="99376.200000000012"/>
    <s v="Continued"/>
    <n v="36"/>
    <n v="229"/>
    <n v="32"/>
    <n v="297"/>
    <n v="334.6"/>
    <n v="99376.200000000012"/>
    <m/>
    <n v="36"/>
    <n v="12045.6"/>
    <n v="229"/>
    <n v="76623.400000000009"/>
    <n v="32"/>
    <n v="10707.2"/>
    <n v="297"/>
    <n v="99376.200000000012"/>
    <n v="1694"/>
    <n v="566814.7333333334"/>
    <n v="18.893824444444448"/>
  </r>
  <r>
    <x v="53"/>
    <s v="Completed"/>
    <m/>
    <n v="510257"/>
    <d v="2015-06-25T00:00:00"/>
    <d v="2016-01-11T00:00:00"/>
    <s v="02"/>
    <x v="0"/>
    <x v="0"/>
    <x v="12"/>
    <n v="18800"/>
    <m/>
    <x v="17"/>
    <x v="17"/>
    <s v="Human Anatomy and Physiology I"/>
    <s v="BIOL 2411"/>
    <s v="Biological Sciences"/>
    <s v="N"/>
    <s v="N"/>
    <s v="Y"/>
    <s v="OpenStax Anatomy and Physiology"/>
    <x v="2"/>
    <s v="Positive"/>
    <s v="Positive"/>
    <n v="71880"/>
    <n v="240"/>
    <n v="299.5"/>
    <n v="80"/>
    <n v="110"/>
    <n v="110"/>
    <s v="Fall 2015"/>
    <s v="N"/>
    <m/>
    <m/>
    <s v="Continued"/>
    <n v="0"/>
    <n v="0"/>
    <n v="0"/>
    <n v="0"/>
    <n v="0"/>
    <n v="0"/>
    <n v="110"/>
    <n v="32945"/>
    <n v="110"/>
    <n v="32945"/>
    <n v="220"/>
    <n v="65890"/>
    <n v="80"/>
    <n v="23960"/>
    <n v="110"/>
    <n v="32945"/>
    <n v="110"/>
    <n v="32945"/>
    <n v="300"/>
    <n v="89850"/>
    <n v="80"/>
    <n v="23960"/>
    <n v="110"/>
    <n v="32945"/>
    <n v="110"/>
    <n v="32945"/>
    <n v="300"/>
    <n v="89850"/>
    <x v="0"/>
    <n v="0"/>
    <n v="171"/>
    <n v="80"/>
    <n v="251"/>
    <n v="261.97000000000003"/>
    <n v="65754.47"/>
    <n v="0"/>
    <n v="0"/>
    <n v="171"/>
    <n v="44796.87"/>
    <n v="80"/>
    <n v="20957.600000000002"/>
    <n v="251"/>
    <n v="65754.47"/>
    <s v="Discontinued"/>
    <n v="0"/>
    <n v="0"/>
    <n v="0"/>
    <n v="0"/>
    <n v="0"/>
    <n v="0"/>
    <s v="Fall 2015"/>
    <n v="0"/>
    <n v="0"/>
    <n v="0"/>
    <n v="0"/>
    <n v="0"/>
    <n v="0"/>
    <n v="0"/>
    <n v="0"/>
    <s v="Discontinued"/>
    <n v="0"/>
    <n v="0"/>
    <n v="0"/>
    <n v="0"/>
    <n v="0"/>
    <n v="0"/>
    <m/>
    <n v="0"/>
    <n v="0"/>
    <n v="0"/>
    <n v="0"/>
    <n v="0"/>
    <n v="0"/>
    <n v="0"/>
    <n v="0"/>
    <n v="1071"/>
    <n v="311344.46999999997"/>
    <n v="16.560876063829784"/>
  </r>
  <r>
    <x v="54"/>
    <s v="Completed"/>
    <m/>
    <n v="510255"/>
    <d v="2015-08-14T00:00:00"/>
    <d v="2016-01-11T00:00:00"/>
    <s v="02"/>
    <x v="0"/>
    <x v="0"/>
    <x v="5"/>
    <n v="30000"/>
    <m/>
    <x v="51"/>
    <x v="51"/>
    <s v="Principles of Biology I"/>
    <s v="BIOL 1107"/>
    <s v="Biological Sciences"/>
    <s v="Principles of Biology I"/>
    <s v="Created Materials"/>
    <s v="Y"/>
    <s v="OpenStax Concepts of Biology"/>
    <x v="2"/>
    <s v="Positive"/>
    <s v="Positive"/>
    <n v="103950"/>
    <n v="525"/>
    <n v="198"/>
    <n v="175"/>
    <n v="175"/>
    <n v="175"/>
    <s v="Fall 2015"/>
    <s v="N"/>
    <m/>
    <m/>
    <s v="Continued"/>
    <n v="0"/>
    <n v="0"/>
    <n v="0"/>
    <n v="0"/>
    <n v="0"/>
    <n v="0"/>
    <n v="175"/>
    <n v="34650"/>
    <n v="175"/>
    <n v="34650"/>
    <n v="350"/>
    <n v="69300"/>
    <n v="175"/>
    <n v="34650"/>
    <n v="175"/>
    <n v="34650"/>
    <n v="175"/>
    <n v="34650"/>
    <n v="525"/>
    <n v="103950"/>
    <n v="175"/>
    <n v="34650"/>
    <n v="175"/>
    <n v="34650"/>
    <n v="175"/>
    <n v="34650"/>
    <n v="525"/>
    <n v="103950"/>
    <x v="1"/>
    <n v="0"/>
    <n v="0"/>
    <n v="0"/>
    <n v="0"/>
    <n v="248.99"/>
    <n v="0"/>
    <n v="0"/>
    <n v="0"/>
    <n v="0"/>
    <n v="0"/>
    <n v="0"/>
    <n v="0"/>
    <n v="0"/>
    <n v="0"/>
    <s v="Discontinued"/>
    <n v="0"/>
    <n v="0"/>
    <n v="0"/>
    <n v="0"/>
    <n v="0"/>
    <n v="0"/>
    <s v="Fall 2015"/>
    <n v="0"/>
    <n v="0"/>
    <n v="0"/>
    <n v="0"/>
    <n v="0"/>
    <n v="0"/>
    <n v="0"/>
    <n v="0"/>
    <s v="Discontinued"/>
    <n v="0"/>
    <n v="0"/>
    <n v="0"/>
    <n v="0"/>
    <n v="0"/>
    <n v="0"/>
    <m/>
    <n v="0"/>
    <n v="0"/>
    <n v="0"/>
    <n v="0"/>
    <n v="0"/>
    <n v="0"/>
    <n v="0"/>
    <n v="0"/>
    <n v="1400"/>
    <n v="277200"/>
    <n v="9.24"/>
  </r>
  <r>
    <x v="55"/>
    <s v="Completed"/>
    <m/>
    <n v="510252"/>
    <d v="2015-08-21T00:00:00"/>
    <d v="2016-01-11T00:00:00"/>
    <s v="02"/>
    <x v="0"/>
    <x v="0"/>
    <x v="10"/>
    <n v="21100"/>
    <m/>
    <x v="15"/>
    <x v="15"/>
    <s v="Support for College Algebra, Intermediate Algebra, College Algebra, Precalculus, Calculus I"/>
    <s v="MATH 0097, MATH 0099, MATH 1111, MATH 1113, MATH 1450"/>
    <s v="Mathematical Subjects"/>
    <s v="Support for College Algebra, College Algebra, Precalculus, Calculus I"/>
    <s v="N"/>
    <s v="N"/>
    <s v="Various OER"/>
    <x v="2"/>
    <s v="Neutral"/>
    <s v="Neutral"/>
    <n v="169570.8"/>
    <n v="840"/>
    <n v="201.86999999999998"/>
    <n v="280"/>
    <n v="280"/>
    <n v="280"/>
    <s v="Fall 2015"/>
    <s v="N"/>
    <m/>
    <m/>
    <s v="Continued"/>
    <n v="0"/>
    <n v="0"/>
    <n v="0"/>
    <n v="0"/>
    <n v="0"/>
    <n v="0"/>
    <n v="280"/>
    <n v="56523.599999999991"/>
    <n v="280"/>
    <n v="56523.599999999991"/>
    <n v="560"/>
    <n v="113047.19999999998"/>
    <n v="280"/>
    <n v="56523.599999999991"/>
    <n v="280"/>
    <n v="56523.599999999991"/>
    <n v="280"/>
    <n v="56523.599999999991"/>
    <n v="840"/>
    <n v="169570.8"/>
    <n v="280"/>
    <n v="56523.599999999991"/>
    <n v="280"/>
    <n v="56523.599999999991"/>
    <n v="280"/>
    <n v="56523.599999999991"/>
    <n v="840"/>
    <n v="169570.8"/>
    <x v="0"/>
    <n v="30"/>
    <n v="60"/>
    <n v="60"/>
    <n v="150"/>
    <n v="261.89999999999998"/>
    <n v="39285"/>
    <n v="30"/>
    <n v="7856.9999999999991"/>
    <n v="60"/>
    <n v="15713.999999999998"/>
    <n v="60"/>
    <n v="15713.999999999998"/>
    <n v="150"/>
    <n v="39284.999999999993"/>
    <s v="Discontinued"/>
    <n v="0"/>
    <n v="0"/>
    <n v="0"/>
    <n v="0"/>
    <n v="0"/>
    <n v="0"/>
    <s v="Fall 2015"/>
    <n v="0"/>
    <n v="0"/>
    <n v="0"/>
    <n v="0"/>
    <n v="0"/>
    <n v="0"/>
    <n v="0"/>
    <n v="0"/>
    <s v="Discontinued"/>
    <n v="0"/>
    <n v="0"/>
    <n v="0"/>
    <n v="0"/>
    <n v="0"/>
    <n v="0"/>
    <m/>
    <n v="0"/>
    <n v="0"/>
    <n v="0"/>
    <n v="0"/>
    <n v="0"/>
    <n v="0"/>
    <n v="0"/>
    <n v="0"/>
    <n v="2390"/>
    <n v="491473.8"/>
    <n v="23.292597156398102"/>
  </r>
  <r>
    <x v="56"/>
    <s v="Completed"/>
    <m/>
    <n v="510560"/>
    <d v="2016-01-25T00:00:00"/>
    <d v="2016-05-24T00:00:00"/>
    <s v="02"/>
    <x v="0"/>
    <x v="0"/>
    <x v="0"/>
    <n v="28700"/>
    <m/>
    <x v="52"/>
    <x v="52"/>
    <s v="Web Development, Web Programming"/>
    <s v="ITEC 2380, ITEC 3280, ITEC 4248"/>
    <s v="Computing Disciplines"/>
    <s v="N"/>
    <s v="Created Materials"/>
    <s v="N"/>
    <s v="Original "/>
    <x v="2"/>
    <s v="Neutral"/>
    <s v="Neutral"/>
    <n v="39960"/>
    <n v="360"/>
    <n v="111"/>
    <n v="120"/>
    <n v="120"/>
    <n v="120"/>
    <s v="Summer 2015"/>
    <s v="N"/>
    <m/>
    <m/>
    <s v="Continued"/>
    <n v="0"/>
    <n v="0"/>
    <n v="0"/>
    <n v="0"/>
    <n v="120"/>
    <n v="13320"/>
    <n v="120"/>
    <n v="13320"/>
    <n v="120"/>
    <n v="13320"/>
    <n v="360"/>
    <n v="39960"/>
    <n v="120"/>
    <n v="13320"/>
    <n v="120"/>
    <n v="13320"/>
    <n v="120"/>
    <n v="13320"/>
    <n v="360"/>
    <n v="39960"/>
    <n v="120"/>
    <n v="13320"/>
    <n v="120"/>
    <n v="13320"/>
    <n v="120"/>
    <n v="13320"/>
    <n v="360"/>
    <n v="39960"/>
    <x v="0"/>
    <n v="80"/>
    <n v="140"/>
    <n v="140"/>
    <n v="360"/>
    <n v="76"/>
    <n v="27360"/>
    <n v="80"/>
    <n v="6080"/>
    <n v="140"/>
    <n v="10640"/>
    <n v="140"/>
    <n v="10640"/>
    <n v="360"/>
    <n v="27360"/>
    <s v="Continued"/>
    <n v="80"/>
    <n v="140"/>
    <n v="140"/>
    <n v="360"/>
    <n v="111"/>
    <n v="39960"/>
    <s v="Summer 2015"/>
    <n v="80"/>
    <n v="8880"/>
    <n v="140"/>
    <n v="15540"/>
    <n v="140"/>
    <n v="15540"/>
    <n v="360"/>
    <n v="39960"/>
    <s v="Continued"/>
    <n v="80"/>
    <n v="140"/>
    <n v="140"/>
    <n v="360"/>
    <n v="111"/>
    <n v="39960"/>
    <m/>
    <n v="80"/>
    <n v="8880"/>
    <n v="140"/>
    <n v="15540"/>
    <n v="140"/>
    <n v="15540"/>
    <n v="360"/>
    <n v="39960"/>
    <n v="2160"/>
    <n v="227160"/>
    <n v="7.914982578397213"/>
  </r>
  <r>
    <x v="57"/>
    <s v="Completed"/>
    <m/>
    <n v="510432"/>
    <d v="2015-09-23T00:00:00"/>
    <d v="2016-04-18T00:00:00"/>
    <s v="03"/>
    <x v="1"/>
    <x v="0"/>
    <x v="3"/>
    <n v="10800"/>
    <m/>
    <x v="53"/>
    <x v="53"/>
    <s v="Introduction to Sociology"/>
    <s v="SOCI 1101"/>
    <s v="Sociology"/>
    <s v="Introduction to Sociology"/>
    <s v="N"/>
    <s v="Y"/>
    <s v="OpenStax Sociology "/>
    <x v="2"/>
    <s v="Positive"/>
    <s v="Positive"/>
    <n v="57645"/>
    <n v="315"/>
    <n v="183"/>
    <n v="105"/>
    <n v="105"/>
    <n v="105"/>
    <s v="Fall 2015"/>
    <s v="N"/>
    <m/>
    <m/>
    <s v="Continued"/>
    <n v="0"/>
    <n v="0"/>
    <n v="0"/>
    <n v="0"/>
    <n v="0"/>
    <n v="0"/>
    <n v="105"/>
    <n v="19215"/>
    <n v="105"/>
    <n v="19215"/>
    <n v="210"/>
    <n v="38430"/>
    <n v="105"/>
    <n v="19215"/>
    <n v="105"/>
    <n v="19215"/>
    <n v="105"/>
    <n v="19215"/>
    <n v="315"/>
    <n v="57645"/>
    <n v="105"/>
    <n v="19215"/>
    <n v="105"/>
    <n v="19215"/>
    <n v="105"/>
    <n v="19215"/>
    <n v="315"/>
    <n v="57645"/>
    <x v="0"/>
    <n v="40"/>
    <n v="160"/>
    <n v="80"/>
    <n v="280"/>
    <n v="183"/>
    <n v="51240"/>
    <n v="40"/>
    <n v="7320"/>
    <n v="160"/>
    <n v="29280"/>
    <n v="80"/>
    <n v="14640"/>
    <n v="280"/>
    <n v="51240"/>
    <s v="Timed Out"/>
    <m/>
    <m/>
    <m/>
    <n v="0"/>
    <m/>
    <n v="0"/>
    <s v="Fall 2015"/>
    <n v="0"/>
    <n v="0"/>
    <n v="0"/>
    <n v="0"/>
    <n v="0"/>
    <n v="0"/>
    <n v="0"/>
    <n v="0"/>
    <s v="Timed Out"/>
    <m/>
    <m/>
    <m/>
    <n v="0"/>
    <n v="0"/>
    <n v="0"/>
    <m/>
    <n v="0"/>
    <n v="0"/>
    <n v="0"/>
    <n v="0"/>
    <n v="0"/>
    <n v="0"/>
    <n v="0"/>
    <n v="0"/>
    <n v="1120"/>
    <n v="204960"/>
    <n v="18.977777777777778"/>
  </r>
  <r>
    <x v="58"/>
    <s v="Completed"/>
    <m/>
    <n v="510524"/>
    <d v="2015-12-22T00:00:00"/>
    <d v="2016-05-25T00:00:00"/>
    <s v="03"/>
    <x v="1"/>
    <x v="0"/>
    <x v="3"/>
    <n v="15800"/>
    <m/>
    <x v="54"/>
    <x v="54"/>
    <s v="Learning Support English, Foundations of English, Corequisite Support in English"/>
    <s v="ENGL 0098, ENGL 0989, ENGL 0999"/>
    <s v="English"/>
    <s v="Foundations for English Composition"/>
    <s v="Created Materials"/>
    <s v="N"/>
    <s v="Various OER"/>
    <x v="2"/>
    <s v="Negative"/>
    <s v="Positive"/>
    <n v="11016"/>
    <n v="162"/>
    <n v="68"/>
    <n v="54"/>
    <n v="54"/>
    <n v="54"/>
    <s v="Fall 2015"/>
    <s v="N"/>
    <m/>
    <m/>
    <s v="Continued"/>
    <n v="0"/>
    <n v="0"/>
    <n v="0"/>
    <n v="0"/>
    <n v="0"/>
    <n v="0"/>
    <n v="54"/>
    <n v="3672"/>
    <n v="54"/>
    <n v="3672"/>
    <n v="108"/>
    <n v="7344"/>
    <n v="54"/>
    <n v="3672"/>
    <n v="54"/>
    <n v="3672"/>
    <n v="54"/>
    <n v="3672"/>
    <n v="162"/>
    <n v="11016"/>
    <n v="54"/>
    <n v="3672"/>
    <n v="54"/>
    <n v="3672"/>
    <n v="54"/>
    <n v="3672"/>
    <n v="162"/>
    <n v="11016"/>
    <x v="0"/>
    <n v="0"/>
    <n v="150"/>
    <n v="150"/>
    <n v="300"/>
    <n v="67.95"/>
    <n v="20385"/>
    <n v="0"/>
    <n v="0"/>
    <n v="150"/>
    <n v="10192.5"/>
    <n v="150"/>
    <n v="10192.5"/>
    <n v="300"/>
    <n v="20385"/>
    <s v="Continued"/>
    <n v="0"/>
    <n v="280"/>
    <n v="150"/>
    <n v="430"/>
    <n v="68"/>
    <n v="29240"/>
    <s v="Fall 2015"/>
    <n v="0"/>
    <n v="0"/>
    <n v="280"/>
    <n v="19040"/>
    <n v="150"/>
    <n v="10200"/>
    <n v="430"/>
    <n v="29240"/>
    <s v="Discontinued"/>
    <n v="0"/>
    <n v="280"/>
    <n v="150"/>
    <n v="0"/>
    <n v="0"/>
    <n v="0"/>
    <m/>
    <n v="0"/>
    <n v="0"/>
    <n v="0"/>
    <n v="0"/>
    <n v="0"/>
    <n v="0"/>
    <n v="0"/>
    <n v="0"/>
    <n v="1162"/>
    <n v="79001"/>
    <n v="5.0000632911392406"/>
  </r>
  <r>
    <x v="59"/>
    <s v="Completed"/>
    <m/>
    <n v="510433"/>
    <d v="2015-09-23T00:00:00"/>
    <d v="2016-12-30T00:00:00"/>
    <s v="03"/>
    <x v="1"/>
    <x v="0"/>
    <x v="3"/>
    <n v="30000"/>
    <m/>
    <x v="55"/>
    <x v="55"/>
    <s v="Public Speaking"/>
    <s v="COMM 1110"/>
    <s v="Communication"/>
    <s v="Public Speaking"/>
    <s v="Created Materials"/>
    <s v="N"/>
    <s v="Original "/>
    <x v="2"/>
    <s v="Negative"/>
    <s v="Negative"/>
    <n v="199200"/>
    <n v="1200"/>
    <n v="166"/>
    <n v="400"/>
    <n v="400"/>
    <n v="400"/>
    <s v="Summer 2016"/>
    <s v="N"/>
    <m/>
    <m/>
    <s v="Continued"/>
    <n v="0"/>
    <n v="0"/>
    <n v="0"/>
    <n v="0"/>
    <n v="0"/>
    <n v="0"/>
    <n v="0"/>
    <n v="0"/>
    <n v="0"/>
    <n v="0"/>
    <n v="0"/>
    <n v="0"/>
    <n v="400"/>
    <n v="66400"/>
    <n v="400"/>
    <n v="66400"/>
    <n v="400"/>
    <n v="66400"/>
    <n v="1200"/>
    <n v="199200"/>
    <n v="400"/>
    <n v="66400"/>
    <n v="400"/>
    <n v="66400"/>
    <n v="400"/>
    <n v="66400"/>
    <n v="1200"/>
    <n v="199200"/>
    <x v="0"/>
    <n v="100"/>
    <n v="700"/>
    <n v="500"/>
    <n v="1300"/>
    <n v="168.09"/>
    <n v="218517"/>
    <n v="100"/>
    <n v="16809"/>
    <n v="700"/>
    <n v="117663"/>
    <n v="500"/>
    <n v="84045"/>
    <n v="1300"/>
    <n v="218517"/>
    <s v="Continued"/>
    <n v="76"/>
    <n v="665"/>
    <n v="560"/>
    <n v="1301"/>
    <n v="156.30000000000001"/>
    <n v="203346.30000000002"/>
    <s v="Summer 2016"/>
    <n v="76"/>
    <n v="11878.800000000001"/>
    <n v="665"/>
    <n v="103939.50000000001"/>
    <n v="560"/>
    <n v="87528"/>
    <n v="1301"/>
    <n v="203346.30000000002"/>
    <s v="Continued"/>
    <n v="76"/>
    <n v="665"/>
    <n v="560"/>
    <n v="1301"/>
    <n v="156.30000000000001"/>
    <n v="203346.30000000002"/>
    <m/>
    <n v="76"/>
    <n v="11878.800000000001"/>
    <n v="665"/>
    <n v="103939.50000000001"/>
    <n v="560"/>
    <n v="87528"/>
    <n v="1301"/>
    <n v="203346.30000000002"/>
    <n v="6302"/>
    <n v="1023609.6000000001"/>
    <n v="34.120320000000007"/>
  </r>
  <r>
    <x v="60"/>
    <s v="Completed"/>
    <m/>
    <n v="510434"/>
    <d v="2015-10-29T00:00:00"/>
    <d v="2016-05-25T00:00:00"/>
    <s v="03"/>
    <x v="1"/>
    <x v="0"/>
    <x v="18"/>
    <n v="29900"/>
    <m/>
    <x v="56"/>
    <x v="56"/>
    <s v="Introduction to General Psychology"/>
    <s v="PSYC 1101"/>
    <s v="Psychology"/>
    <s v="Introduction to General Psychology"/>
    <s v="N"/>
    <s v="Y"/>
    <s v="OpenStax Psychology"/>
    <x v="2"/>
    <s v="Positive"/>
    <s v="Positive"/>
    <n v="109592"/>
    <n v="800"/>
    <n v="136.99"/>
    <n v="266.66666666666669"/>
    <n v="266.66666666666669"/>
    <n v="266.66666666666669"/>
    <s v="Fall 2015"/>
    <s v="N"/>
    <m/>
    <m/>
    <s v="Continued"/>
    <n v="0"/>
    <n v="0"/>
    <n v="0"/>
    <n v="0"/>
    <n v="0"/>
    <n v="0"/>
    <n v="266.66666666666669"/>
    <n v="36530.666666666672"/>
    <n v="266.66666666666669"/>
    <n v="36530.666666666672"/>
    <n v="533.33333333333337"/>
    <n v="73061.333333333343"/>
    <n v="266.66666666666669"/>
    <n v="36530.666666666672"/>
    <n v="266.66666666666669"/>
    <n v="36530.666666666672"/>
    <n v="266.66666666666669"/>
    <n v="36530.666666666672"/>
    <n v="800"/>
    <n v="109592.00000000001"/>
    <n v="266.66666666666669"/>
    <n v="36530.666666666672"/>
    <n v="266.66666666666669"/>
    <n v="36530.666666666672"/>
    <n v="266.66666666666669"/>
    <n v="36530.666666666672"/>
    <n v="800"/>
    <n v="109592.00000000001"/>
    <x v="1"/>
    <n v="0"/>
    <n v="0"/>
    <n v="0"/>
    <n v="0"/>
    <n v="115.99"/>
    <n v="0"/>
    <n v="0"/>
    <n v="0"/>
    <n v="0"/>
    <n v="0"/>
    <n v="0"/>
    <n v="0"/>
    <n v="0"/>
    <n v="0"/>
    <s v="Discontinued"/>
    <n v="0"/>
    <n v="0"/>
    <n v="0"/>
    <n v="0"/>
    <m/>
    <n v="0"/>
    <s v="Fall 2015"/>
    <n v="0"/>
    <n v="0"/>
    <n v="0"/>
    <n v="0"/>
    <n v="0"/>
    <n v="0"/>
    <n v="0"/>
    <n v="0"/>
    <s v="Discontinued"/>
    <n v="0"/>
    <n v="0"/>
    <n v="0"/>
    <n v="0"/>
    <m/>
    <n v="0"/>
    <m/>
    <n v="0"/>
    <n v="0"/>
    <n v="0"/>
    <n v="0"/>
    <n v="0"/>
    <n v="0"/>
    <n v="0"/>
    <n v="0"/>
    <n v="2133.3333333333335"/>
    <n v="292245.33333333337"/>
    <n v="9.7740914158305472"/>
  </r>
  <r>
    <x v="61"/>
    <s v="Completed"/>
    <m/>
    <n v="510435"/>
    <d v="2016-01-08T00:00:00"/>
    <d v="2017-05-31T00:00:00"/>
    <s v="03"/>
    <x v="1"/>
    <x v="0"/>
    <x v="8"/>
    <n v="20800"/>
    <m/>
    <x v="57"/>
    <x v="57"/>
    <s v="Introduction to Biological Principles"/>
    <s v="BIOL 1510, BIOL 1511"/>
    <s v="Biological Sciences"/>
    <s v="Principles of Biology I &amp; II"/>
    <s v="N"/>
    <s v="Y"/>
    <s v="OpenStax Biology"/>
    <x v="2"/>
    <s v="Neutral"/>
    <s v="Neutral"/>
    <n v="115560"/>
    <n v="540"/>
    <n v="214"/>
    <n v="180"/>
    <n v="180"/>
    <n v="180"/>
    <s v="Fall 2015"/>
    <s v="N"/>
    <m/>
    <m/>
    <s v="Continued"/>
    <n v="0"/>
    <n v="0"/>
    <n v="0"/>
    <n v="0"/>
    <n v="0"/>
    <n v="0"/>
    <n v="180"/>
    <n v="38520"/>
    <n v="180"/>
    <n v="38520"/>
    <n v="360"/>
    <n v="77040"/>
    <n v="180"/>
    <n v="38520"/>
    <n v="180"/>
    <n v="38520"/>
    <n v="180"/>
    <n v="38520"/>
    <n v="540"/>
    <n v="115560"/>
    <n v="180"/>
    <n v="38520"/>
    <n v="180"/>
    <n v="38520"/>
    <n v="180"/>
    <n v="38520"/>
    <n v="540"/>
    <n v="115560"/>
    <x v="0"/>
    <n v="50"/>
    <n v="450"/>
    <n v="350"/>
    <n v="850"/>
    <n v="280.93"/>
    <n v="238790.5"/>
    <n v="50"/>
    <n v="14046.5"/>
    <n v="450"/>
    <n v="126418.5"/>
    <n v="350"/>
    <n v="98325.5"/>
    <n v="850"/>
    <n v="238790.5"/>
    <s v="Continued"/>
    <n v="34"/>
    <n v="260"/>
    <n v="114"/>
    <n v="408"/>
    <n v="240"/>
    <n v="97920"/>
    <s v="Fall 2015"/>
    <n v="34"/>
    <n v="8160"/>
    <n v="260"/>
    <n v="62400"/>
    <n v="114"/>
    <n v="27360"/>
    <n v="408"/>
    <n v="97920"/>
    <s v="Continued"/>
    <n v="34"/>
    <n v="260"/>
    <n v="114"/>
    <n v="408"/>
    <n v="240"/>
    <n v="97920"/>
    <m/>
    <n v="34"/>
    <n v="8160"/>
    <n v="260"/>
    <n v="62400"/>
    <n v="114"/>
    <n v="27360"/>
    <n v="408"/>
    <n v="97920"/>
    <n v="3106"/>
    <n v="742790.5"/>
    <n v="35.71108173076923"/>
  </r>
  <r>
    <x v="62"/>
    <s v="Completed"/>
    <m/>
    <n v="510478"/>
    <d v="2015-10-29T00:00:00"/>
    <d v="2016-12-30T00:00:00"/>
    <s v="03"/>
    <x v="1"/>
    <x v="0"/>
    <x v="18"/>
    <n v="21700"/>
    <m/>
    <x v="58"/>
    <x v="58"/>
    <s v="Public Speaking"/>
    <s v="COMM 1110"/>
    <s v="Communication"/>
    <s v="Public Speaking"/>
    <s v="Created Materials"/>
    <s v="N"/>
    <s v="Stand Up, Speak Out"/>
    <x v="2"/>
    <s v="Neutral"/>
    <s v="Neutral"/>
    <n v="66871.64"/>
    <n v="836"/>
    <n v="79.989999999999995"/>
    <n v="278.66666666666669"/>
    <n v="278.66666666666669"/>
    <n v="278.66666666666669"/>
    <s v="Summer 2016"/>
    <s v="N"/>
    <m/>
    <m/>
    <s v="Continued"/>
    <n v="0"/>
    <n v="0"/>
    <n v="0"/>
    <n v="0"/>
    <n v="0"/>
    <n v="0"/>
    <n v="0"/>
    <n v="0"/>
    <n v="0"/>
    <n v="0"/>
    <n v="0"/>
    <n v="0"/>
    <n v="278.66666666666669"/>
    <n v="22290.546666666665"/>
    <n v="278.66666666666669"/>
    <n v="22290.546666666665"/>
    <n v="278.66666666666669"/>
    <n v="22290.546666666665"/>
    <n v="836"/>
    <n v="66871.64"/>
    <n v="278.66666666666669"/>
    <n v="22290.546666666665"/>
    <n v="278.66666666666669"/>
    <n v="22290.546666666665"/>
    <n v="278.66666666666669"/>
    <n v="22290.546666666665"/>
    <n v="836"/>
    <n v="66871.64"/>
    <x v="0"/>
    <n v="100"/>
    <n v="400"/>
    <n v="400"/>
    <n v="900"/>
    <n v="121.8"/>
    <n v="109620"/>
    <n v="100"/>
    <n v="12180"/>
    <n v="400"/>
    <n v="48720"/>
    <n v="400"/>
    <n v="48720"/>
    <n v="900"/>
    <n v="109620"/>
    <s v="Continued"/>
    <n v="93"/>
    <n v="434"/>
    <n v="434"/>
    <n v="961"/>
    <n v="79.989999999999995"/>
    <n v="76870.39"/>
    <s v="Summer 2016"/>
    <n v="93"/>
    <n v="7439.07"/>
    <n v="434"/>
    <n v="34715.659999999996"/>
    <n v="434"/>
    <n v="34715.659999999996"/>
    <n v="961"/>
    <n v="76870.389999999985"/>
    <s v="Continued"/>
    <n v="93"/>
    <n v="434"/>
    <n v="434"/>
    <n v="961"/>
    <n v="79.989999999999995"/>
    <n v="76870.39"/>
    <m/>
    <n v="93"/>
    <n v="7439.07"/>
    <n v="434"/>
    <n v="34715.659999999996"/>
    <n v="434"/>
    <n v="34715.659999999996"/>
    <n v="961"/>
    <n v="76870.389999999985"/>
    <n v="4494"/>
    <n v="397104.05999999994"/>
    <n v="18.299726267281102"/>
  </r>
  <r>
    <x v="63"/>
    <s v="Completed"/>
    <m/>
    <n v="510436"/>
    <d v="2015-11-30T00:00:00"/>
    <d v="2016-04-18T00:00:00"/>
    <s v="03"/>
    <x v="1"/>
    <x v="0"/>
    <x v="11"/>
    <n v="10800"/>
    <m/>
    <x v="59"/>
    <x v="59"/>
    <s v="Principles of Information Technology Management"/>
    <s v="MISM 3115"/>
    <s v="Health Informatics"/>
    <s v="N"/>
    <s v="N"/>
    <s v="N"/>
    <s v="Getting the Most out of Information Systems"/>
    <x v="2"/>
    <s v="Neutral"/>
    <s v="Negative"/>
    <n v="84000"/>
    <n v="300"/>
    <n v="280"/>
    <n v="100"/>
    <n v="100"/>
    <n v="100"/>
    <s v="Fall 2015"/>
    <s v="N"/>
    <m/>
    <m/>
    <s v="Continued"/>
    <n v="0"/>
    <n v="0"/>
    <n v="0"/>
    <n v="0"/>
    <n v="0"/>
    <n v="0"/>
    <n v="100"/>
    <n v="28000"/>
    <n v="100"/>
    <n v="28000"/>
    <n v="200"/>
    <n v="56000"/>
    <n v="100"/>
    <n v="28000"/>
    <n v="100"/>
    <n v="28000"/>
    <n v="100"/>
    <n v="28000"/>
    <n v="300"/>
    <n v="84000"/>
    <n v="100"/>
    <n v="28000"/>
    <n v="100"/>
    <n v="28000"/>
    <n v="100"/>
    <n v="28000"/>
    <n v="300"/>
    <n v="84000"/>
    <x v="0"/>
    <n v="20"/>
    <n v="120"/>
    <n v="120"/>
    <n v="260"/>
    <n v="303.93"/>
    <n v="79021.8"/>
    <n v="20"/>
    <n v="6078.6"/>
    <n v="120"/>
    <n v="36471.599999999999"/>
    <n v="120"/>
    <n v="36471.599999999999"/>
    <n v="260"/>
    <n v="79021.799999999988"/>
    <s v="Continued"/>
    <n v="32"/>
    <n v="120"/>
    <n v="120"/>
    <n v="272"/>
    <n v="229"/>
    <n v="62288"/>
    <s v="Fall 2015"/>
    <n v="32"/>
    <n v="7328"/>
    <n v="120"/>
    <n v="27480"/>
    <n v="120"/>
    <n v="27480"/>
    <n v="272"/>
    <n v="62288"/>
    <s v="Discontinued"/>
    <n v="32"/>
    <n v="120"/>
    <n v="120"/>
    <n v="0"/>
    <n v="0"/>
    <n v="0"/>
    <m/>
    <n v="0"/>
    <n v="0"/>
    <n v="0"/>
    <n v="0"/>
    <n v="0"/>
    <n v="0"/>
    <n v="0"/>
    <n v="0"/>
    <n v="1332"/>
    <n v="365309.8"/>
    <n v="33.82498148148148"/>
  </r>
  <r>
    <x v="64"/>
    <s v="Completed"/>
    <m/>
    <n v="510479"/>
    <d v="2015-10-22T00:00:00"/>
    <d v="2016-04-18T00:00:00"/>
    <s v="03"/>
    <x v="1"/>
    <x v="0"/>
    <x v="12"/>
    <n v="10800"/>
    <m/>
    <x v="60"/>
    <x v="60"/>
    <s v="Theatre Appreciation"/>
    <s v="THEA 1100"/>
    <s v="Fine and Applied Arts"/>
    <s v="Theatre Appreciation"/>
    <s v="Created Materials"/>
    <s v="N"/>
    <s v="Theatrical Worlds"/>
    <x v="2"/>
    <s v="Positive"/>
    <s v="Positive"/>
    <n v="16020"/>
    <n v="90"/>
    <n v="178"/>
    <n v="30"/>
    <n v="30"/>
    <n v="30"/>
    <s v="Fall 2015"/>
    <s v="N"/>
    <m/>
    <m/>
    <s v="Unknown"/>
    <n v="0"/>
    <n v="0"/>
    <n v="0"/>
    <n v="0"/>
    <n v="0"/>
    <n v="0"/>
    <n v="30"/>
    <n v="5340"/>
    <n v="0"/>
    <n v="0"/>
    <n v="30"/>
    <n v="5340"/>
    <n v="0"/>
    <n v="0"/>
    <n v="0"/>
    <n v="0"/>
    <n v="0"/>
    <n v="0"/>
    <n v="0"/>
    <n v="0"/>
    <n v="0"/>
    <n v="0"/>
    <n v="0"/>
    <n v="0"/>
    <n v="0"/>
    <n v="0"/>
    <n v="0"/>
    <n v="0"/>
    <x v="3"/>
    <n v="0"/>
    <n v="0"/>
    <n v="0"/>
    <n v="0"/>
    <n v="134.19999999999999"/>
    <n v="0"/>
    <n v="0"/>
    <n v="0"/>
    <n v="0"/>
    <n v="0"/>
    <n v="0"/>
    <n v="0"/>
    <n v="0"/>
    <n v="0"/>
    <s v="Discontinued"/>
    <n v="0"/>
    <n v="0"/>
    <n v="0"/>
    <n v="0"/>
    <n v="0"/>
    <n v="0"/>
    <s v="Fall 2015"/>
    <n v="0"/>
    <n v="0"/>
    <n v="0"/>
    <n v="0"/>
    <n v="0"/>
    <n v="0"/>
    <n v="0"/>
    <n v="0"/>
    <s v="Discontinued"/>
    <n v="0"/>
    <n v="0"/>
    <n v="0"/>
    <n v="0"/>
    <n v="0"/>
    <n v="0"/>
    <m/>
    <n v="0"/>
    <n v="0"/>
    <n v="0"/>
    <n v="0"/>
    <n v="0"/>
    <n v="0"/>
    <n v="0"/>
    <n v="0"/>
    <n v="30"/>
    <n v="5340"/>
    <n v="0.49444444444444446"/>
  </r>
  <r>
    <x v="65"/>
    <s v="Completed"/>
    <m/>
    <n v="510437"/>
    <d v="2015-10-15T00:00:00"/>
    <d v="2017-05-31T00:00:00"/>
    <s v="03"/>
    <x v="1"/>
    <x v="0"/>
    <x v="1"/>
    <n v="16450"/>
    <m/>
    <x v="61"/>
    <x v="61"/>
    <s v="Introduction to Asian Cultures"/>
    <s v="ASIA 1102"/>
    <s v="Arts and Sciences"/>
    <s v="N"/>
    <s v="N"/>
    <s v="N"/>
    <s v="Various OER"/>
    <x v="2"/>
    <s v="Positive"/>
    <s v="Positive"/>
    <n v="112492.8"/>
    <n v="640"/>
    <n v="175.77"/>
    <n v="213.33333333333334"/>
    <n v="213.33333333333334"/>
    <n v="213.33333333333334"/>
    <s v="Spring 2016"/>
    <s v="N"/>
    <m/>
    <m/>
    <s v="Continued"/>
    <n v="0"/>
    <n v="0"/>
    <n v="0"/>
    <n v="0"/>
    <n v="0"/>
    <n v="0"/>
    <n v="0"/>
    <n v="0"/>
    <n v="213.33333333333334"/>
    <n v="37497.600000000006"/>
    <n v="213.33333333333334"/>
    <n v="37497.600000000006"/>
    <n v="213.33333333333334"/>
    <n v="37497.600000000006"/>
    <n v="213.33333333333334"/>
    <n v="37497.600000000006"/>
    <n v="213.33333333333334"/>
    <n v="37497.600000000006"/>
    <n v="640"/>
    <n v="112492.80000000002"/>
    <n v="213.33333333333334"/>
    <n v="37497.600000000006"/>
    <n v="213.33333333333334"/>
    <n v="37497.600000000006"/>
    <n v="213.33333333333334"/>
    <n v="37497.600000000006"/>
    <n v="640"/>
    <n v="112492.80000000002"/>
    <x v="1"/>
    <n v="0"/>
    <n v="0"/>
    <n v="0"/>
    <n v="0"/>
    <n v="204.43"/>
    <n v="0"/>
    <n v="0"/>
    <n v="0"/>
    <n v="0"/>
    <n v="0"/>
    <n v="0"/>
    <n v="0"/>
    <n v="0"/>
    <n v="0"/>
    <s v="Discontinued"/>
    <n v="0"/>
    <n v="0"/>
    <n v="0"/>
    <n v="0"/>
    <n v="0"/>
    <n v="0"/>
    <s v="Spring 2016"/>
    <n v="0"/>
    <n v="0"/>
    <n v="0"/>
    <n v="0"/>
    <n v="0"/>
    <n v="0"/>
    <n v="0"/>
    <n v="0"/>
    <s v="Discontinued"/>
    <n v="0"/>
    <n v="0"/>
    <n v="0"/>
    <n v="0"/>
    <n v="0"/>
    <n v="0"/>
    <m/>
    <n v="0"/>
    <n v="0"/>
    <n v="0"/>
    <n v="0"/>
    <n v="0"/>
    <n v="0"/>
    <n v="0"/>
    <n v="0"/>
    <n v="1493.3333333333335"/>
    <n v="262483.20000000007"/>
    <n v="15.956425531914897"/>
  </r>
  <r>
    <x v="66"/>
    <s v="Completed"/>
    <m/>
    <n v="510438"/>
    <d v="2015-10-13T00:00:00"/>
    <d v="2017-05-31T00:00:00"/>
    <s v="03"/>
    <x v="1"/>
    <x v="0"/>
    <x v="1"/>
    <n v="30000"/>
    <m/>
    <x v="62"/>
    <x v="62"/>
    <s v="Technical Writing, Workplace Writing"/>
    <s v="TCOM 2010, WRIT 3140"/>
    <s v="Communication"/>
    <s v="N"/>
    <s v="Created Materials"/>
    <s v="N"/>
    <s v="Original "/>
    <x v="2"/>
    <s v="Neutral"/>
    <s v="Neutral"/>
    <n v="60894.75"/>
    <n v="525"/>
    <n v="115.99"/>
    <n v="175"/>
    <n v="175"/>
    <n v="175"/>
    <s v="Summer 2016"/>
    <s v="Y"/>
    <n v="486"/>
    <s v="Fall 2020"/>
    <s v="Continued"/>
    <n v="0"/>
    <n v="0"/>
    <n v="0"/>
    <n v="0"/>
    <n v="0"/>
    <n v="0"/>
    <n v="0"/>
    <n v="0"/>
    <n v="0"/>
    <n v="0"/>
    <n v="0"/>
    <n v="0"/>
    <n v="175"/>
    <n v="20298.25"/>
    <n v="175"/>
    <n v="20298.25"/>
    <n v="175"/>
    <n v="20298.25"/>
    <n v="525"/>
    <n v="60894.75"/>
    <n v="175"/>
    <n v="20298.25"/>
    <n v="175"/>
    <n v="20298.25"/>
    <n v="175"/>
    <n v="20298.25"/>
    <n v="525"/>
    <n v="60894.75"/>
    <x v="0"/>
    <n v="125"/>
    <n v="250"/>
    <n v="250"/>
    <n v="625"/>
    <n v="125.99"/>
    <n v="78743.75"/>
    <n v="125"/>
    <n v="15748.75"/>
    <n v="250"/>
    <n v="31497.5"/>
    <n v="250"/>
    <n v="31497.5"/>
    <n v="625"/>
    <n v="78743.75"/>
    <s v="Continued"/>
    <n v="125"/>
    <n v="250"/>
    <n v="250"/>
    <n v="625"/>
    <n v="115.99"/>
    <n v="72493.75"/>
    <s v="Summer 2016"/>
    <n v="125"/>
    <n v="14498.75"/>
    <n v="250"/>
    <n v="28997.5"/>
    <n v="250"/>
    <n v="28997.5"/>
    <n v="625"/>
    <n v="72493.75"/>
    <s v="Continued"/>
    <n v="220"/>
    <n v="594"/>
    <n v="528"/>
    <n v="1342"/>
    <n v="82.97"/>
    <n v="111345.74"/>
    <m/>
    <n v="220"/>
    <n v="18253.400000000001"/>
    <n v="0"/>
    <n v="0"/>
    <n v="0"/>
    <n v="0"/>
    <n v="220"/>
    <n v="18253.400000000001"/>
    <n v="2520"/>
    <n v="291280.40000000002"/>
    <n v="9.7093466666666668"/>
  </r>
  <r>
    <x v="67"/>
    <s v="Completed"/>
    <m/>
    <n v="510439"/>
    <d v="2015-10-02T00:00:00"/>
    <d v="2016-05-25T00:00:00"/>
    <s v="03"/>
    <x v="1"/>
    <x v="0"/>
    <x v="21"/>
    <n v="10800"/>
    <m/>
    <x v="63"/>
    <x v="63"/>
    <s v="Digital Media"/>
    <s v="ITEC 2110"/>
    <s v="Computing Disciplines"/>
    <s v="N"/>
    <s v="Created Materials"/>
    <s v="N"/>
    <s v="Various OER"/>
    <x v="2"/>
    <s v="Positive"/>
    <s v="Positive"/>
    <n v="221424"/>
    <n v="1680"/>
    <n v="131.80000000000001"/>
    <n v="560"/>
    <n v="560"/>
    <n v="560"/>
    <s v="Spring 2016"/>
    <s v="N"/>
    <m/>
    <m/>
    <s v="Continued"/>
    <n v="0"/>
    <n v="0"/>
    <n v="0"/>
    <n v="0"/>
    <n v="0"/>
    <n v="0"/>
    <n v="0"/>
    <n v="0"/>
    <n v="560"/>
    <n v="73808"/>
    <n v="560"/>
    <n v="73808"/>
    <n v="560"/>
    <n v="73808"/>
    <n v="560"/>
    <n v="73808"/>
    <n v="560"/>
    <n v="73808"/>
    <n v="1680"/>
    <n v="221424"/>
    <n v="560"/>
    <n v="73808"/>
    <n v="560"/>
    <n v="73808"/>
    <n v="560"/>
    <n v="73808"/>
    <n v="1680"/>
    <n v="221424"/>
    <x v="0"/>
    <n v="288"/>
    <n v="768"/>
    <n v="768"/>
    <n v="1824"/>
    <n v="140"/>
    <n v="255360"/>
    <n v="288"/>
    <n v="40320"/>
    <n v="768"/>
    <n v="107520"/>
    <n v="768"/>
    <n v="107520"/>
    <n v="1824"/>
    <n v="255360"/>
    <s v="Continued"/>
    <n v="225"/>
    <n v="704"/>
    <n v="768"/>
    <n v="1697"/>
    <n v="131.80000000000001"/>
    <n v="223664.6"/>
    <s v="Spring 2016"/>
    <n v="225"/>
    <n v="29655.000000000004"/>
    <n v="704"/>
    <n v="92787.200000000012"/>
    <n v="768"/>
    <n v="101222.40000000001"/>
    <n v="1697"/>
    <n v="223664.60000000003"/>
    <s v="Continued"/>
    <n v="225"/>
    <n v="704"/>
    <n v="768"/>
    <n v="1697"/>
    <n v="131.80000000000001"/>
    <n v="223664.6"/>
    <m/>
    <n v="225"/>
    <n v="29655.000000000004"/>
    <n v="704"/>
    <n v="92787.200000000012"/>
    <n v="768"/>
    <n v="101222.40000000001"/>
    <n v="1697"/>
    <n v="223664.60000000003"/>
    <n v="9138"/>
    <n v="1219345.2000000002"/>
    <n v="112.90233333333335"/>
  </r>
  <r>
    <x v="68"/>
    <s v="Completed"/>
    <m/>
    <n v="510480"/>
    <d v="2015-10-22T00:00:00"/>
    <d v="2016-05-25T00:00:00"/>
    <s v="03"/>
    <x v="1"/>
    <x v="0"/>
    <x v="1"/>
    <n v="10800"/>
    <m/>
    <x v="64"/>
    <x v="64"/>
    <s v="First-Year Experience"/>
    <s v="KSU 1111"/>
    <s v="Arts and Sciences"/>
    <s v="N"/>
    <s v="N"/>
    <s v="N"/>
    <s v="Various OER"/>
    <x v="2"/>
    <s v="Positive"/>
    <s v="Negative"/>
    <n v="66250"/>
    <n v="250"/>
    <n v="265"/>
    <n v="83.333333333333329"/>
    <n v="83.333333333333329"/>
    <n v="83.333333333333329"/>
    <s v="Fall 2015"/>
    <s v="N"/>
    <m/>
    <m/>
    <s v="Continued"/>
    <n v="0"/>
    <n v="0"/>
    <n v="0"/>
    <n v="0"/>
    <n v="0"/>
    <n v="0"/>
    <n v="83.333333333333329"/>
    <n v="22083.333333333332"/>
    <n v="83.333333333333329"/>
    <n v="22083.333333333332"/>
    <n v="166.66666666666666"/>
    <n v="44166.666666666664"/>
    <n v="83.333333333333329"/>
    <n v="22083.333333333332"/>
    <n v="83.333333333333329"/>
    <n v="22083.333333333332"/>
    <n v="83.333333333333329"/>
    <n v="22083.333333333332"/>
    <n v="250"/>
    <n v="66250"/>
    <n v="83.333333333333329"/>
    <n v="22083.333333333332"/>
    <n v="83.333333333333329"/>
    <n v="22083.333333333332"/>
    <n v="83.333333333333329"/>
    <n v="22083.333333333332"/>
    <n v="250"/>
    <n v="66250"/>
    <x v="0"/>
    <n v="0"/>
    <n v="100"/>
    <n v="25"/>
    <n v="125"/>
    <n v="200"/>
    <n v="25000"/>
    <n v="0"/>
    <n v="0"/>
    <n v="100"/>
    <n v="20000"/>
    <n v="25"/>
    <n v="5000"/>
    <n v="125"/>
    <n v="25000"/>
    <s v="Continued"/>
    <n v="0"/>
    <n v="70"/>
    <n v="50"/>
    <n v="120"/>
    <n v="200"/>
    <n v="24000"/>
    <s v="Fall 2015"/>
    <n v="0"/>
    <n v="0"/>
    <n v="70"/>
    <n v="14000"/>
    <n v="50"/>
    <n v="10000"/>
    <n v="120"/>
    <n v="24000"/>
    <s v="Continued"/>
    <n v="0"/>
    <n v="70"/>
    <n v="50"/>
    <n v="120"/>
    <n v="200"/>
    <n v="24000"/>
    <m/>
    <n v="0"/>
    <n v="0"/>
    <n v="70"/>
    <n v="14000"/>
    <n v="50"/>
    <n v="10000"/>
    <n v="120"/>
    <n v="24000"/>
    <n v="1031.6666666666665"/>
    <n v="249666.66666666666"/>
    <n v="23.117283950617281"/>
  </r>
  <r>
    <x v="69"/>
    <s v="Completed"/>
    <m/>
    <n v="510481"/>
    <d v="2015-10-29T00:00:00"/>
    <d v="2016-12-30T00:00:00"/>
    <s v="03"/>
    <x v="1"/>
    <x v="0"/>
    <x v="18"/>
    <n v="30000"/>
    <m/>
    <x v="65"/>
    <x v="65"/>
    <s v="Principles of Physics I, Principles of Physics II, Introductory Physics I, Introductory Physics II, Principles of Chemistry I, Principles of Chemistry II, Organic Chemistry I, Organic Chemistry II"/>
    <s v="PHYS 2211, PHYS 2212, PHYS 1111, PHYS 1112, CHEM 1211, CHEM 1212, CHEM 2411, CHEM 2412"/>
    <s v="Physics and Astronomy"/>
    <s v="Principles of Physics I, Principles of Physics II, Introductory Physics I, Introductory Physics II, Principles of Chemistry I, Principles of Chemistry II"/>
    <s v="Created Materials"/>
    <s v="N"/>
    <s v="Various OER"/>
    <x v="2"/>
    <s v="Positive"/>
    <s v="Neutral"/>
    <n v="16800"/>
    <n v="600"/>
    <n v="28"/>
    <n v="200"/>
    <n v="200"/>
    <n v="200"/>
    <s v="Spring 2016"/>
    <s v="N"/>
    <m/>
    <m/>
    <s v="Continued"/>
    <n v="0"/>
    <n v="0"/>
    <n v="0"/>
    <n v="0"/>
    <n v="0"/>
    <n v="0"/>
    <n v="0"/>
    <n v="0"/>
    <n v="200"/>
    <n v="5600"/>
    <n v="200"/>
    <n v="5600"/>
    <n v="200"/>
    <n v="5600"/>
    <n v="200"/>
    <n v="5600"/>
    <n v="200"/>
    <n v="5600"/>
    <n v="600"/>
    <n v="16800"/>
    <n v="200"/>
    <n v="5600"/>
    <n v="200"/>
    <n v="5600"/>
    <n v="200"/>
    <n v="5600"/>
    <n v="600"/>
    <n v="16800"/>
    <x v="0"/>
    <n v="10"/>
    <n v="50"/>
    <n v="50"/>
    <n v="110"/>
    <n v="17.7"/>
    <n v="1947"/>
    <n v="10"/>
    <n v="177"/>
    <n v="50"/>
    <n v="885"/>
    <n v="50"/>
    <n v="885"/>
    <n v="110"/>
    <n v="1947"/>
    <s v="Continued"/>
    <n v="10"/>
    <n v="50"/>
    <n v="50"/>
    <n v="110"/>
    <n v="28"/>
    <n v="3080"/>
    <s v="Spring 2016"/>
    <n v="10"/>
    <n v="280"/>
    <n v="50"/>
    <n v="1400"/>
    <n v="50"/>
    <n v="1400"/>
    <n v="110"/>
    <n v="3080"/>
    <s v="Continued"/>
    <n v="10"/>
    <n v="50"/>
    <n v="50"/>
    <n v="110"/>
    <n v="28"/>
    <n v="3080"/>
    <m/>
    <n v="10"/>
    <n v="280"/>
    <n v="50"/>
    <n v="1400"/>
    <n v="50"/>
    <n v="1400"/>
    <n v="110"/>
    <n v="3080"/>
    <n v="1730"/>
    <n v="47307"/>
    <n v="1.5769"/>
  </r>
  <r>
    <x v="70"/>
    <s v="Completed"/>
    <m/>
    <n v="510440"/>
    <d v="2015-12-02T00:00:00"/>
    <d v="2016-08-16T00:00:00"/>
    <s v="03"/>
    <x v="1"/>
    <x v="0"/>
    <x v="14"/>
    <n v="10800"/>
    <m/>
    <x v="66"/>
    <x v="66"/>
    <s v="Introduction to General Psychology"/>
    <s v="PSYC 1101"/>
    <s v="Psychology"/>
    <s v="Introduction to General Psychology"/>
    <s v="N"/>
    <s v="Y"/>
    <s v="OpenStax Psychology"/>
    <x v="2"/>
    <s v="Positive"/>
    <s v="Positive"/>
    <n v="54086.32"/>
    <n v="248"/>
    <n v="218.09"/>
    <n v="82.666666666666671"/>
    <n v="82.666666666666671"/>
    <n v="82.666666666666671"/>
    <s v="Fall 2015"/>
    <s v="N"/>
    <m/>
    <m/>
    <s v="Continued"/>
    <n v="0"/>
    <n v="0"/>
    <n v="0"/>
    <n v="0"/>
    <n v="0"/>
    <n v="0"/>
    <n v="82.666666666666671"/>
    <n v="18028.773333333334"/>
    <n v="82.666666666666671"/>
    <n v="18028.773333333334"/>
    <n v="165.33333333333334"/>
    <n v="36057.546666666669"/>
    <n v="82.666666666666671"/>
    <n v="18028.773333333334"/>
    <n v="82.666666666666671"/>
    <n v="18028.773333333334"/>
    <n v="82.666666666666671"/>
    <n v="18028.773333333334"/>
    <n v="248"/>
    <n v="54086.320000000007"/>
    <n v="82.666666666666671"/>
    <n v="18028.773333333334"/>
    <n v="82.666666666666671"/>
    <n v="18028.773333333334"/>
    <n v="82.666666666666671"/>
    <n v="18028.773333333334"/>
    <n v="248"/>
    <n v="54086.320000000007"/>
    <x v="0"/>
    <n v="45"/>
    <n v="120"/>
    <n v="120"/>
    <n v="285"/>
    <n v="255.67"/>
    <n v="72865.95"/>
    <n v="45"/>
    <n v="11505.15"/>
    <n v="120"/>
    <n v="30680.399999999998"/>
    <n v="120"/>
    <n v="30680.399999999998"/>
    <n v="285"/>
    <n v="72865.95"/>
    <s v="Continued"/>
    <n v="45"/>
    <n v="120"/>
    <n v="120"/>
    <n v="285"/>
    <n v="238.75"/>
    <n v="68043.75"/>
    <s v="Fall 2015"/>
    <n v="45"/>
    <n v="10743.75"/>
    <n v="120"/>
    <n v="28650"/>
    <n v="120"/>
    <n v="28650"/>
    <n v="285"/>
    <n v="68043.75"/>
    <s v="Continued"/>
    <n v="45"/>
    <n v="120"/>
    <n v="120"/>
    <n v="285"/>
    <n v="238.75"/>
    <n v="68043.75"/>
    <m/>
    <n v="45"/>
    <n v="10743.75"/>
    <n v="120"/>
    <n v="28650"/>
    <n v="120"/>
    <n v="28650"/>
    <n v="285"/>
    <n v="68043.75"/>
    <n v="1516.3333333333335"/>
    <n v="353183.63666666666"/>
    <n v="32.702188580246911"/>
  </r>
  <r>
    <x v="71"/>
    <s v="Completed"/>
    <m/>
    <n v="510485"/>
    <d v="2015-12-16T00:00:00"/>
    <d v="2016-05-25T00:00:00"/>
    <s v="03"/>
    <x v="1"/>
    <x v="0"/>
    <x v="12"/>
    <n v="10800"/>
    <m/>
    <x v="67"/>
    <x v="67"/>
    <s v="Introduction to Biology"/>
    <s v="BIOL 1111"/>
    <s v="Biological Sciences"/>
    <s v="Introductory Biology I"/>
    <s v="N"/>
    <s v="Y"/>
    <s v="OpenStax Concepts of Biology"/>
    <x v="0"/>
    <s v="Positive"/>
    <s v="Neutral"/>
    <n v="26000"/>
    <n v="200"/>
    <n v="130"/>
    <n v="66.666666666666671"/>
    <n v="66.666666666666671"/>
    <n v="66.666666666666671"/>
    <s v="Fall 2015"/>
    <s v="N"/>
    <m/>
    <m/>
    <s v="Continued"/>
    <n v="0"/>
    <n v="0"/>
    <n v="0"/>
    <n v="0"/>
    <n v="0"/>
    <n v="0"/>
    <n v="66.666666666666671"/>
    <n v="8666.6666666666679"/>
    <n v="66.666666666666671"/>
    <n v="8666.6666666666679"/>
    <n v="133.33333333333334"/>
    <n v="17333.333333333336"/>
    <n v="66.666666666666671"/>
    <n v="8666.6666666666679"/>
    <n v="66.666666666666671"/>
    <n v="8666.6666666666679"/>
    <n v="66.666666666666671"/>
    <n v="8666.6666666666679"/>
    <n v="200"/>
    <n v="26000.000000000004"/>
    <n v="66.666666666666671"/>
    <n v="8666.6666666666679"/>
    <n v="66.666666666666671"/>
    <n v="8666.6666666666679"/>
    <n v="66.666666666666671"/>
    <n v="8666.6666666666679"/>
    <n v="200"/>
    <n v="26000.000000000004"/>
    <x v="0"/>
    <n v="25"/>
    <n v="125"/>
    <n v="100"/>
    <n v="250"/>
    <n v="209"/>
    <n v="52250"/>
    <n v="25"/>
    <n v="5225"/>
    <n v="125"/>
    <n v="26125"/>
    <n v="100"/>
    <n v="20900"/>
    <n v="250"/>
    <n v="52250"/>
    <s v="Timed Out"/>
    <m/>
    <m/>
    <m/>
    <n v="0"/>
    <m/>
    <n v="0"/>
    <s v="Fall 2015"/>
    <n v="0"/>
    <n v="0"/>
    <n v="0"/>
    <n v="0"/>
    <n v="0"/>
    <n v="0"/>
    <n v="0"/>
    <n v="0"/>
    <s v="Timed Out"/>
    <m/>
    <m/>
    <m/>
    <n v="0"/>
    <n v="0"/>
    <n v="0"/>
    <m/>
    <n v="0"/>
    <n v="0"/>
    <n v="0"/>
    <n v="0"/>
    <n v="0"/>
    <n v="0"/>
    <n v="0"/>
    <n v="0"/>
    <n v="783.33333333333337"/>
    <n v="121583.33333333334"/>
    <n v="11.257716049382717"/>
  </r>
  <r>
    <x v="72"/>
    <s v="Completed"/>
    <m/>
    <n v="510487"/>
    <d v="2015-10-22T00:00:00"/>
    <d v="2016-12-30T00:00:00"/>
    <s v="03"/>
    <x v="1"/>
    <x v="0"/>
    <x v="1"/>
    <n v="10800"/>
    <m/>
    <x v="68"/>
    <x v="68"/>
    <s v="Introduction to Sociology"/>
    <s v="SOCI 1101"/>
    <s v="Sociology"/>
    <s v="Introduction to Sociology"/>
    <s v="N"/>
    <s v="Y"/>
    <s v="OpenStax Sociology "/>
    <x v="2"/>
    <s v="Positive"/>
    <s v="Positive"/>
    <n v="20945.7"/>
    <n v="90"/>
    <n v="232.73000000000002"/>
    <n v="30"/>
    <n v="30"/>
    <n v="30"/>
    <s v="Summer 2016"/>
    <s v="N"/>
    <m/>
    <m/>
    <s v="Continued"/>
    <n v="0"/>
    <n v="0"/>
    <n v="0"/>
    <n v="0"/>
    <n v="0"/>
    <n v="0"/>
    <n v="0"/>
    <n v="0"/>
    <n v="0"/>
    <n v="0"/>
    <n v="0"/>
    <n v="0"/>
    <n v="30"/>
    <n v="6981.9000000000005"/>
    <n v="30"/>
    <n v="6981.9000000000005"/>
    <n v="30"/>
    <n v="6981.9000000000005"/>
    <n v="90"/>
    <n v="20945.7"/>
    <n v="30"/>
    <n v="6981.9000000000005"/>
    <n v="30"/>
    <n v="6981.9000000000005"/>
    <n v="30"/>
    <n v="6981.9000000000005"/>
    <n v="90"/>
    <n v="20945.7"/>
    <x v="0"/>
    <n v="30"/>
    <n v="120"/>
    <n v="120"/>
    <n v="270"/>
    <n v="244.6"/>
    <n v="66042"/>
    <n v="30"/>
    <n v="7338"/>
    <n v="120"/>
    <n v="29352"/>
    <n v="120"/>
    <n v="29352"/>
    <n v="270"/>
    <n v="66042"/>
    <s v="Continued"/>
    <n v="47"/>
    <n v="90"/>
    <n v="190"/>
    <n v="327"/>
    <n v="193"/>
    <n v="63111"/>
    <s v="Summer 2016"/>
    <n v="47"/>
    <n v="9071"/>
    <n v="90"/>
    <n v="17370"/>
    <n v="190"/>
    <n v="36670"/>
    <n v="327"/>
    <n v="63111"/>
    <s v="Continued"/>
    <n v="47"/>
    <n v="90"/>
    <n v="190"/>
    <n v="327"/>
    <n v="193"/>
    <n v="63111"/>
    <m/>
    <n v="47"/>
    <n v="9071"/>
    <n v="90"/>
    <n v="17370"/>
    <n v="0"/>
    <n v="0"/>
    <n v="137"/>
    <n v="26441"/>
    <n v="914"/>
    <n v="197485.4"/>
    <n v="18.285685185185184"/>
  </r>
  <r>
    <x v="73"/>
    <s v="Completed"/>
    <m/>
    <n v="510595"/>
    <d v="2016-02-10T00:00:00"/>
    <d v="2017-05-31T00:00:00"/>
    <s v="04"/>
    <x v="1"/>
    <x v="0"/>
    <x v="6"/>
    <n v="30000"/>
    <m/>
    <x v="69"/>
    <x v="69"/>
    <s v="Essentials of Biology I, Essentials of Biology II"/>
    <s v="BIOL 1107, BIOL 1108"/>
    <s v="Biological Sciences"/>
    <s v="Principles of Biology I &amp; II "/>
    <s v="N"/>
    <s v="Y"/>
    <s v="OpenStax Concepts of Biology"/>
    <x v="0"/>
    <s v="Neutral"/>
    <s v="Neutral"/>
    <n v="172920"/>
    <n v="786"/>
    <n v="220"/>
    <n v="262"/>
    <n v="262"/>
    <n v="262"/>
    <s v="Summer 2016"/>
    <s v="N"/>
    <m/>
    <m/>
    <s v="Continued"/>
    <n v="0"/>
    <n v="0"/>
    <n v="0"/>
    <n v="0"/>
    <n v="0"/>
    <n v="0"/>
    <n v="0"/>
    <n v="0"/>
    <n v="0"/>
    <n v="0"/>
    <n v="0"/>
    <n v="0"/>
    <n v="262"/>
    <n v="57640"/>
    <n v="262"/>
    <n v="57640"/>
    <n v="262"/>
    <n v="57640"/>
    <n v="786"/>
    <n v="172920"/>
    <n v="262"/>
    <n v="57640"/>
    <n v="262"/>
    <n v="57640"/>
    <n v="262"/>
    <n v="57640"/>
    <n v="786"/>
    <n v="172920"/>
    <x v="1"/>
    <n v="0"/>
    <n v="0"/>
    <n v="0"/>
    <n v="0"/>
    <n v="259.60000000000002"/>
    <n v="0"/>
    <n v="0"/>
    <n v="0"/>
    <n v="0"/>
    <n v="0"/>
    <n v="0"/>
    <n v="0"/>
    <n v="0"/>
    <n v="0"/>
    <s v="Discontinued"/>
    <n v="0"/>
    <n v="0"/>
    <n v="0"/>
    <n v="0"/>
    <n v="0"/>
    <n v="0"/>
    <s v="Summer 2016"/>
    <n v="0"/>
    <n v="0"/>
    <n v="0"/>
    <n v="0"/>
    <n v="0"/>
    <n v="0"/>
    <n v="0"/>
    <n v="0"/>
    <s v="Discontinued"/>
    <n v="0"/>
    <n v="0"/>
    <n v="0"/>
    <n v="0"/>
    <n v="0"/>
    <n v="0"/>
    <m/>
    <n v="0"/>
    <n v="0"/>
    <n v="0"/>
    <n v="0"/>
    <n v="0"/>
    <n v="0"/>
    <n v="0"/>
    <n v="0"/>
    <n v="1572"/>
    <n v="345840"/>
    <n v="11.528"/>
  </r>
  <r>
    <x v="74"/>
    <s v="Completed"/>
    <m/>
    <n v="510612"/>
    <d v="2016-04-26T00:00:00"/>
    <d v="2017-05-31T00:00:00"/>
    <s v="04"/>
    <x v="1"/>
    <x v="0"/>
    <x v="10"/>
    <n v="10800"/>
    <m/>
    <x v="70"/>
    <x v="70"/>
    <s v="Elementary French I, Elementary French II"/>
    <s v="FREN 1001, FREN 1002"/>
    <s v="Foreign Languages"/>
    <s v="Elementary French I &amp; II"/>
    <s v="Created Materials"/>
    <s v="N"/>
    <s v="Various OER"/>
    <x v="2"/>
    <s v="Positive"/>
    <s v="Positive"/>
    <n v="175140"/>
    <n v="630"/>
    <n v="278"/>
    <n v="210"/>
    <n v="210"/>
    <n v="210"/>
    <s v="Fall 2015"/>
    <s v="N"/>
    <m/>
    <m/>
    <s v="Continued"/>
    <n v="0"/>
    <n v="0"/>
    <n v="0"/>
    <n v="0"/>
    <n v="0"/>
    <n v="0"/>
    <n v="210"/>
    <n v="58380"/>
    <n v="210"/>
    <n v="58380"/>
    <n v="420"/>
    <n v="116760"/>
    <n v="210"/>
    <n v="58380"/>
    <n v="210"/>
    <n v="58380"/>
    <n v="210"/>
    <n v="58380"/>
    <n v="630"/>
    <n v="175140"/>
    <n v="210"/>
    <n v="58380"/>
    <n v="210"/>
    <n v="58380"/>
    <n v="210"/>
    <n v="58380"/>
    <n v="630"/>
    <n v="175140"/>
    <x v="0"/>
    <n v="20"/>
    <n v="120"/>
    <n v="120"/>
    <n v="260"/>
    <n v="321.74"/>
    <n v="83652.400000000009"/>
    <n v="20"/>
    <n v="6434.8"/>
    <n v="120"/>
    <n v="38608.800000000003"/>
    <n v="120"/>
    <n v="38608.800000000003"/>
    <n v="260"/>
    <n v="83652.400000000009"/>
    <s v="Discontinued"/>
    <m/>
    <m/>
    <m/>
    <n v="0"/>
    <m/>
    <n v="0"/>
    <s v="Fall 2015"/>
    <n v="0"/>
    <n v="0"/>
    <n v="0"/>
    <n v="0"/>
    <n v="0"/>
    <n v="0"/>
    <n v="0"/>
    <n v="0"/>
    <s v="Discontinued"/>
    <m/>
    <m/>
    <m/>
    <n v="0"/>
    <n v="0"/>
    <n v="0"/>
    <m/>
    <n v="0"/>
    <n v="0"/>
    <n v="0"/>
    <n v="0"/>
    <n v="0"/>
    <n v="0"/>
    <n v="0"/>
    <n v="0"/>
    <n v="1940"/>
    <n v="550692.4"/>
    <n v="50.990037037037041"/>
  </r>
  <r>
    <x v="75"/>
    <s v="Completed"/>
    <m/>
    <n v="510659"/>
    <d v="2016-03-07T00:00:00"/>
    <d v="2017-05-31T00:00:00"/>
    <s v="04"/>
    <x v="1"/>
    <x v="0"/>
    <x v="18"/>
    <n v="16200"/>
    <m/>
    <x v="71"/>
    <x v="71"/>
    <s v="Music Appreciation"/>
    <s v="MUSC 2101"/>
    <s v="Fine and Applied Arts"/>
    <s v="Music Appreciation"/>
    <s v="N"/>
    <s v="N"/>
    <s v="CUNY Music: Its Language, History, and Culture"/>
    <x v="2"/>
    <s v="Negative"/>
    <s v="Negative"/>
    <n v="53996"/>
    <n v="360"/>
    <n v="149.98888888888888"/>
    <n v="120"/>
    <n v="120"/>
    <n v="120"/>
    <s v="Fall 2016"/>
    <s v="N"/>
    <m/>
    <m/>
    <s v="Continued"/>
    <n v="0"/>
    <n v="0"/>
    <n v="0"/>
    <n v="0"/>
    <n v="0"/>
    <n v="0"/>
    <n v="0"/>
    <n v="0"/>
    <n v="0"/>
    <n v="0"/>
    <n v="0"/>
    <n v="0"/>
    <n v="0"/>
    <n v="0"/>
    <n v="120"/>
    <n v="17998.666666666664"/>
    <n v="120"/>
    <n v="17998.666666666664"/>
    <n v="240"/>
    <n v="35997.333333333328"/>
    <n v="120"/>
    <n v="17998.666666666664"/>
    <n v="120"/>
    <n v="17998.666666666664"/>
    <n v="120"/>
    <n v="17998.666666666664"/>
    <n v="360"/>
    <n v="53995.999999999993"/>
    <x v="0"/>
    <n v="70"/>
    <n v="70"/>
    <n v="70"/>
    <n v="210"/>
    <n v="125"/>
    <n v="26250"/>
    <n v="70"/>
    <n v="8750"/>
    <n v="70"/>
    <n v="8750"/>
    <n v="70"/>
    <n v="8750"/>
    <n v="210"/>
    <n v="26250"/>
    <s v="Continued"/>
    <n v="53"/>
    <n v="80"/>
    <n v="80"/>
    <n v="213"/>
    <n v="149.99"/>
    <n v="31947.870000000003"/>
    <s v="Fall 2016"/>
    <n v="53"/>
    <n v="7949.47"/>
    <n v="80"/>
    <n v="11999.2"/>
    <n v="80"/>
    <n v="11999.2"/>
    <n v="213"/>
    <n v="31947.870000000003"/>
    <s v="Continued"/>
    <n v="53"/>
    <n v="80"/>
    <n v="80"/>
    <n v="213"/>
    <n v="149.99"/>
    <n v="31947.870000000003"/>
    <m/>
    <n v="53"/>
    <n v="7949.47"/>
    <n v="80"/>
    <n v="11999.2"/>
    <n v="80"/>
    <n v="11999.2"/>
    <n v="213"/>
    <n v="31947.870000000003"/>
    <n v="1236"/>
    <n v="180139.0733333333"/>
    <n v="11.119695884773661"/>
  </r>
  <r>
    <x v="76"/>
    <s v="Completed"/>
    <m/>
    <n v="510597"/>
    <d v="2016-03-18T00:00:00"/>
    <d v="2016-12-30T00:00:00"/>
    <s v="04"/>
    <x v="1"/>
    <x v="0"/>
    <x v="18"/>
    <n v="5400"/>
    <m/>
    <x v="72"/>
    <x v="72"/>
    <s v="Research Methods in Criminal Justice"/>
    <s v="SOC 4501, CRJU 4501, CRJU 3020"/>
    <s v="Criminal Justice"/>
    <s v="N"/>
    <s v="N"/>
    <s v="N"/>
    <s v="Social Science Research: Principles, Methods, and Practices"/>
    <x v="2"/>
    <s v="Neutral"/>
    <s v="Negative"/>
    <n v="9690"/>
    <n v="85"/>
    <n v="114"/>
    <n v="28.333333333333332"/>
    <n v="28.333333333333332"/>
    <n v="28.333333333333332"/>
    <s v="Fall 2016"/>
    <s v="N"/>
    <m/>
    <m/>
    <s v="Continued"/>
    <n v="0"/>
    <n v="0"/>
    <n v="0"/>
    <n v="0"/>
    <n v="0"/>
    <n v="0"/>
    <n v="0"/>
    <n v="0"/>
    <n v="0"/>
    <n v="0"/>
    <n v="0"/>
    <n v="0"/>
    <n v="0"/>
    <n v="0"/>
    <n v="28.333333333333332"/>
    <n v="3230"/>
    <n v="28.333333333333332"/>
    <n v="3230"/>
    <n v="56.666666666666664"/>
    <n v="6460"/>
    <n v="28.333333333333332"/>
    <n v="3230"/>
    <n v="28.333333333333332"/>
    <n v="3230"/>
    <n v="28.333333333333332"/>
    <n v="3230"/>
    <n v="85"/>
    <n v="9690"/>
    <x v="0"/>
    <n v="35"/>
    <n v="35"/>
    <n v="35"/>
    <n v="105"/>
    <n v="233.95"/>
    <n v="24564.75"/>
    <n v="35"/>
    <n v="8188.25"/>
    <n v="35"/>
    <n v="8188.25"/>
    <n v="35"/>
    <n v="8188.25"/>
    <n v="105"/>
    <n v="24564.75"/>
    <s v="Continued"/>
    <n v="0"/>
    <n v="0"/>
    <n v="35"/>
    <n v="35"/>
    <n v="233.95"/>
    <n v="8188.25"/>
    <s v="Fall 2016"/>
    <n v="0"/>
    <n v="0"/>
    <n v="0"/>
    <n v="0"/>
    <n v="35"/>
    <n v="8188.25"/>
    <n v="35"/>
    <n v="8188.25"/>
    <s v="Discontinued"/>
    <n v="0"/>
    <n v="0"/>
    <n v="35"/>
    <n v="35"/>
    <n v="233.95"/>
    <n v="8188.25"/>
    <m/>
    <n v="0"/>
    <n v="0"/>
    <n v="0"/>
    <n v="0"/>
    <n v="0"/>
    <n v="0"/>
    <n v="0"/>
    <n v="0"/>
    <n v="281.66666666666663"/>
    <n v="48903"/>
    <n v="9.056111111111111"/>
  </r>
  <r>
    <x v="77"/>
    <s v="Completed"/>
    <m/>
    <n v="510599"/>
    <d v="2016-03-10T00:00:00"/>
    <d v="2016-12-30T00:00:00"/>
    <s v="04"/>
    <x v="1"/>
    <x v="0"/>
    <x v="4"/>
    <n v="5400"/>
    <m/>
    <x v="73"/>
    <x v="73"/>
    <s v="Research Methods in Criminal Justice"/>
    <s v="SOC 4501, CRJU 4501, CRJU 3020"/>
    <s v="Criminal Justice"/>
    <s v="N"/>
    <s v="N"/>
    <s v="N"/>
    <s v="Social Science Research: Principles, Methods, and Practices"/>
    <x v="4"/>
    <s v="Duplicate"/>
    <s v="Duplicate"/>
    <n v="9690"/>
    <n v="85"/>
    <n v="114"/>
    <n v="28.333333333333332"/>
    <n v="28.333333333333332"/>
    <n v="28.333333333333332"/>
    <s v="Fall 2016"/>
    <s v="N"/>
    <m/>
    <m/>
    <s v="Continued"/>
    <n v="0"/>
    <n v="0"/>
    <n v="0"/>
    <n v="0"/>
    <n v="0"/>
    <n v="0"/>
    <n v="0"/>
    <n v="0"/>
    <n v="0"/>
    <n v="0"/>
    <n v="0"/>
    <n v="0"/>
    <n v="0"/>
    <n v="0"/>
    <n v="28.333333333333332"/>
    <n v="3230"/>
    <n v="28.333333333333332"/>
    <n v="3230"/>
    <n v="56.666666666666664"/>
    <n v="6460"/>
    <n v="28.333333333333332"/>
    <n v="3230"/>
    <n v="28.333333333333332"/>
    <n v="3230"/>
    <n v="28.333333333333332"/>
    <n v="3230"/>
    <n v="85"/>
    <n v="9690"/>
    <x v="0"/>
    <n v="0"/>
    <n v="100"/>
    <n v="100"/>
    <n v="200"/>
    <n v="233.95"/>
    <n v="46790"/>
    <n v="0"/>
    <n v="0"/>
    <n v="100"/>
    <n v="23395"/>
    <n v="100"/>
    <n v="23395"/>
    <n v="200"/>
    <n v="46790"/>
    <s v="Continued"/>
    <n v="0"/>
    <n v="0"/>
    <n v="60"/>
    <n v="60"/>
    <n v="99"/>
    <n v="5940"/>
    <s v="Fall 2016"/>
    <n v="0"/>
    <n v="0"/>
    <n v="0"/>
    <n v="0"/>
    <n v="60"/>
    <n v="5940"/>
    <n v="60"/>
    <n v="5940"/>
    <s v="Discontinued"/>
    <n v="0"/>
    <n v="0"/>
    <n v="60"/>
    <n v="60"/>
    <n v="99"/>
    <n v="5940"/>
    <m/>
    <n v="0"/>
    <n v="0"/>
    <n v="0"/>
    <n v="0"/>
    <n v="0"/>
    <n v="0"/>
    <n v="0"/>
    <n v="0"/>
    <n v="401.66666666666663"/>
    <n v="68880"/>
    <n v="12.755555555555556"/>
  </r>
  <r>
    <x v="78"/>
    <s v="Completed"/>
    <m/>
    <n v="510613"/>
    <d v="2016-04-26T00:00:00"/>
    <d v="2017-05-31T00:00:00"/>
    <s v="04"/>
    <x v="1"/>
    <x v="0"/>
    <x v="15"/>
    <n v="20800"/>
    <m/>
    <x v="74"/>
    <x v="74"/>
    <s v="Introduction to Statistics"/>
    <s v="MATH 2210"/>
    <s v="Mathematical Subjects"/>
    <s v="N"/>
    <s v="Created Materials"/>
    <s v="Y"/>
    <s v="OpenStax Introductory Statistics"/>
    <x v="2"/>
    <s v="Neutral"/>
    <s v="Neutral"/>
    <n v="280775"/>
    <n v="1110"/>
    <n v="252.95045045045046"/>
    <n v="370"/>
    <n v="370"/>
    <n v="370"/>
    <s v="Fall 2015"/>
    <s v="N"/>
    <m/>
    <m/>
    <s v="Continued"/>
    <n v="0"/>
    <n v="0"/>
    <n v="0"/>
    <n v="0"/>
    <n v="0"/>
    <n v="0"/>
    <n v="370"/>
    <n v="93591.666666666672"/>
    <n v="370"/>
    <n v="93591.666666666672"/>
    <n v="740"/>
    <n v="187183.33333333334"/>
    <n v="370"/>
    <n v="93591.666666666672"/>
    <n v="370"/>
    <n v="93591.666666666672"/>
    <n v="370"/>
    <n v="93591.666666666672"/>
    <n v="1110"/>
    <n v="280775"/>
    <n v="370"/>
    <n v="93591.666666666672"/>
    <n v="370"/>
    <n v="93591.666666666672"/>
    <n v="370"/>
    <n v="93591.666666666672"/>
    <n v="1110"/>
    <n v="280775"/>
    <x v="0"/>
    <n v="100"/>
    <n v="390"/>
    <n v="390"/>
    <n v="880"/>
    <n v="113"/>
    <n v="99440"/>
    <n v="100"/>
    <n v="11300"/>
    <n v="390"/>
    <n v="44070"/>
    <n v="390"/>
    <n v="44070"/>
    <n v="880"/>
    <n v="99440"/>
    <s v="Continued"/>
    <n v="40"/>
    <n v="320"/>
    <n v="320"/>
    <n v="680"/>
    <n v="104"/>
    <n v="70720"/>
    <s v="Fall 2015"/>
    <n v="40"/>
    <n v="4160"/>
    <n v="320"/>
    <n v="33280"/>
    <n v="320"/>
    <n v="33280"/>
    <n v="680"/>
    <n v="70720"/>
    <s v="Continued"/>
    <n v="60"/>
    <n v="400"/>
    <n v="300"/>
    <n v="760"/>
    <n v="100"/>
    <n v="76000"/>
    <m/>
    <n v="60"/>
    <n v="6000"/>
    <n v="400"/>
    <n v="40000"/>
    <n v="300"/>
    <n v="30000"/>
    <n v="760"/>
    <n v="76000"/>
    <n v="5280"/>
    <n v="994893.33333333337"/>
    <n v="47.831410256410258"/>
  </r>
  <r>
    <x v="79"/>
    <s v="Completed"/>
    <m/>
    <n v="510601"/>
    <d v="2016-02-10T00:00:00"/>
    <d v="2016-12-30T00:00:00"/>
    <s v="04"/>
    <x v="1"/>
    <x v="0"/>
    <x v="7"/>
    <n v="10800"/>
    <m/>
    <x v="75"/>
    <x v="75"/>
    <s v="Cultural Issues"/>
    <s v="ESED 5234"/>
    <s v="Educator Preparation"/>
    <s v="N"/>
    <s v="Created Materials"/>
    <s v="N"/>
    <s v="Various OER"/>
    <x v="2"/>
    <s v="Neutral"/>
    <s v="Neutral"/>
    <n v="32240"/>
    <n v="260"/>
    <n v="124"/>
    <n v="86.666666666666671"/>
    <n v="86.666666666666671"/>
    <n v="86.666666666666671"/>
    <s v="Summer 2016"/>
    <s v="N"/>
    <m/>
    <m/>
    <s v="Continued"/>
    <n v="0"/>
    <n v="0"/>
    <n v="0"/>
    <n v="0"/>
    <n v="0"/>
    <n v="0"/>
    <n v="0"/>
    <n v="0"/>
    <n v="0"/>
    <n v="0"/>
    <n v="0"/>
    <n v="0"/>
    <n v="86.666666666666671"/>
    <n v="10746.666666666668"/>
    <n v="86.666666666666671"/>
    <n v="10746.666666666668"/>
    <n v="86.666666666666671"/>
    <n v="10746.666666666668"/>
    <n v="260"/>
    <n v="32240.000000000004"/>
    <n v="86.666666666666671"/>
    <n v="10746.666666666668"/>
    <n v="86.666666666666671"/>
    <n v="10746.666666666668"/>
    <n v="86.666666666666671"/>
    <n v="10746.666666666668"/>
    <n v="260"/>
    <n v="32240.000000000004"/>
    <x v="0"/>
    <n v="75"/>
    <n v="140"/>
    <n v="86"/>
    <n v="301"/>
    <n v="71.930000000000007"/>
    <n v="21650.93"/>
    <n v="75"/>
    <n v="5394.7500000000009"/>
    <n v="140"/>
    <n v="10070.200000000001"/>
    <n v="86"/>
    <n v="6185.9800000000005"/>
    <n v="301"/>
    <n v="21650.93"/>
    <s v="Continued"/>
    <n v="75"/>
    <n v="140"/>
    <n v="86"/>
    <n v="301"/>
    <n v="124"/>
    <n v="37324"/>
    <s v="Summer 2016"/>
    <n v="75"/>
    <n v="9300"/>
    <n v="140"/>
    <n v="17360"/>
    <n v="86"/>
    <n v="10664"/>
    <n v="301"/>
    <n v="37324"/>
    <s v="Continued"/>
    <n v="75"/>
    <n v="140"/>
    <n v="86"/>
    <n v="301"/>
    <n v="124"/>
    <n v="37324"/>
    <m/>
    <n v="75"/>
    <n v="9300"/>
    <n v="140"/>
    <n v="17360"/>
    <n v="86"/>
    <n v="10664"/>
    <n v="301"/>
    <n v="37324"/>
    <n v="1423"/>
    <n v="160778.93"/>
    <n v="14.886937962962962"/>
  </r>
  <r>
    <x v="80"/>
    <s v="Completed"/>
    <m/>
    <n v="510594"/>
    <d v="2016-02-09T00:00:00"/>
    <d v="2016-12-30T00:00:00"/>
    <s v="04"/>
    <x v="1"/>
    <x v="0"/>
    <x v="11"/>
    <n v="15800"/>
    <m/>
    <x v="76"/>
    <x v="76"/>
    <s v="Curriculum Design for Student Achievement"/>
    <s v="EDUC 6226"/>
    <s v="Educator Preparation"/>
    <s v="N"/>
    <s v="N"/>
    <s v="N"/>
    <s v="OER and Library"/>
    <x v="2"/>
    <s v="Neutral"/>
    <s v="Neutral"/>
    <n v="99072"/>
    <n v="256"/>
    <n v="387"/>
    <n v="85.333333333333329"/>
    <n v="85.333333333333329"/>
    <n v="85.333333333333329"/>
    <s v="Fall 2016"/>
    <s v="N"/>
    <m/>
    <m/>
    <s v="Continued"/>
    <n v="0"/>
    <n v="0"/>
    <n v="0"/>
    <n v="0"/>
    <n v="0"/>
    <n v="0"/>
    <n v="0"/>
    <n v="0"/>
    <n v="0"/>
    <n v="0"/>
    <n v="0"/>
    <n v="0"/>
    <n v="0"/>
    <n v="0"/>
    <n v="85.333333333333329"/>
    <n v="33024"/>
    <n v="85.333333333333329"/>
    <n v="33024"/>
    <n v="170.66666666666666"/>
    <n v="66048"/>
    <n v="85.333333333333329"/>
    <n v="33024"/>
    <n v="85.333333333333329"/>
    <n v="33024"/>
    <n v="85.333333333333329"/>
    <n v="33024"/>
    <n v="256"/>
    <n v="99072"/>
    <x v="0"/>
    <n v="0"/>
    <n v="330"/>
    <n v="0"/>
    <n v="330"/>
    <n v="376.43"/>
    <n v="124221.90000000001"/>
    <n v="0"/>
    <n v="0"/>
    <n v="330"/>
    <n v="124221.90000000001"/>
    <n v="0"/>
    <n v="0"/>
    <n v="330"/>
    <n v="124221.90000000001"/>
    <s v="Continued"/>
    <n v="0"/>
    <n v="320"/>
    <n v="0"/>
    <n v="320"/>
    <n v="387"/>
    <n v="123840"/>
    <s v="Fall 2016"/>
    <n v="0"/>
    <n v="0"/>
    <n v="320"/>
    <n v="123840"/>
    <n v="0"/>
    <n v="0"/>
    <n v="320"/>
    <n v="123840"/>
    <s v="Continued"/>
    <n v="0"/>
    <n v="320"/>
    <n v="0"/>
    <n v="320"/>
    <n v="387"/>
    <n v="123840"/>
    <m/>
    <n v="0"/>
    <n v="0"/>
    <n v="320"/>
    <n v="123840"/>
    <n v="0"/>
    <n v="0"/>
    <n v="320"/>
    <n v="123840"/>
    <n v="1396.6666666666665"/>
    <n v="537021.9"/>
    <n v="33.98872784810127"/>
  </r>
  <r>
    <x v="81"/>
    <s v="Completed"/>
    <m/>
    <n v="510629"/>
    <d v="2016-02-10T00:00:00"/>
    <d v="2016-12-31T00:00:00"/>
    <s v="04"/>
    <x v="1"/>
    <x v="0"/>
    <x v="18"/>
    <n v="15800"/>
    <m/>
    <x v="77"/>
    <x v="77"/>
    <s v="Health Care Economics, Health Care Finance, Health Care Econometrics, Health Care Accounting, Ethical Issues in Health Care"/>
    <s v="HCMG 3320, HCMG 4560, HCMG 5020, HCMG 5030, HSCI 3550"/>
    <s v="Business Administration, Management, and Economics"/>
    <s v="N"/>
    <s v="N"/>
    <s v="N"/>
    <s v="CUNY Medical Ethics"/>
    <x v="2"/>
    <s v="Positive"/>
    <s v="Positive"/>
    <n v="62576.639999999999"/>
    <n v="458"/>
    <n v="136.63021834061135"/>
    <n v="152.66666666666666"/>
    <n v="152.66666666666666"/>
    <n v="152.66666666666666"/>
    <s v="Summer 2016"/>
    <s v="N"/>
    <m/>
    <m/>
    <s v="Unknown"/>
    <n v="0"/>
    <n v="0"/>
    <n v="0"/>
    <n v="0"/>
    <n v="0"/>
    <n v="0"/>
    <n v="0"/>
    <n v="0"/>
    <n v="0"/>
    <n v="0"/>
    <n v="0"/>
    <n v="0"/>
    <n v="0"/>
    <n v="0"/>
    <n v="0"/>
    <n v="0"/>
    <n v="0"/>
    <n v="0"/>
    <n v="0"/>
    <n v="0"/>
    <n v="0"/>
    <n v="0"/>
    <n v="0"/>
    <n v="0"/>
    <n v="0"/>
    <n v="0"/>
    <n v="0"/>
    <n v="0"/>
    <x v="0"/>
    <n v="5"/>
    <n v="4"/>
    <n v="4"/>
    <n v="13"/>
    <n v="113.88"/>
    <n v="1480.44"/>
    <n v="5"/>
    <n v="569.4"/>
    <n v="4"/>
    <n v="455.52"/>
    <n v="4"/>
    <n v="455.52"/>
    <n v="13"/>
    <n v="1480.44"/>
    <s v="Continued"/>
    <n v="5"/>
    <n v="4"/>
    <n v="4"/>
    <n v="13"/>
    <n v="199.95"/>
    <n v="2599.35"/>
    <s v="Summer 2016"/>
    <n v="5"/>
    <n v="999.75"/>
    <n v="4"/>
    <n v="799.8"/>
    <n v="4"/>
    <n v="799.8"/>
    <n v="13"/>
    <n v="2599.35"/>
    <s v="Continued"/>
    <n v="5"/>
    <n v="4"/>
    <n v="4"/>
    <n v="13"/>
    <n v="199.95"/>
    <n v="2599.35"/>
    <m/>
    <n v="5"/>
    <n v="999.75"/>
    <n v="4"/>
    <n v="799.8"/>
    <n v="4"/>
    <n v="799.8"/>
    <n v="13"/>
    <n v="2599.35"/>
    <n v="39"/>
    <n v="6679.1399999999994"/>
    <n v="0.42273037974683542"/>
  </r>
  <r>
    <x v="82"/>
    <s v="Completed"/>
    <m/>
    <n v="510592"/>
    <d v="2016-02-12T00:00:00"/>
    <d v="2016-08-16T00:00:00"/>
    <s v="04"/>
    <x v="1"/>
    <x v="0"/>
    <x v="12"/>
    <n v="10800"/>
    <m/>
    <x v="78"/>
    <x v="78"/>
    <s v="Introduction to Statistics"/>
    <s v="MATH 2411"/>
    <s v="Mathematical Subjects"/>
    <s v="N"/>
    <s v="N"/>
    <s v="Y"/>
    <s v="OpenStax Introductory Statistics"/>
    <x v="2"/>
    <s v="Positive"/>
    <s v="Positive"/>
    <n v="98540"/>
    <n v="260"/>
    <n v="379"/>
    <n v="86.666666666666671"/>
    <n v="86.666666666666671"/>
    <n v="86.666666666666671"/>
    <s v="Spring 2016"/>
    <s v="N"/>
    <m/>
    <m/>
    <s v="Continued"/>
    <n v="0"/>
    <n v="0"/>
    <n v="0"/>
    <n v="0"/>
    <n v="0"/>
    <n v="0"/>
    <n v="0"/>
    <n v="0"/>
    <n v="86.666666666666671"/>
    <n v="32846.666666666672"/>
    <n v="86.666666666666671"/>
    <n v="32846.666666666672"/>
    <n v="86.666666666666671"/>
    <n v="32846.666666666672"/>
    <n v="86.666666666666671"/>
    <n v="32846.666666666672"/>
    <n v="86.666666666666671"/>
    <n v="32846.666666666672"/>
    <n v="260"/>
    <n v="98540.000000000015"/>
    <n v="86.666666666666671"/>
    <n v="32846.666666666672"/>
    <n v="86.666666666666671"/>
    <n v="32846.666666666672"/>
    <n v="86.666666666666671"/>
    <n v="32846.666666666672"/>
    <n v="260"/>
    <n v="98540.000000000015"/>
    <x v="0"/>
    <n v="60"/>
    <n v="35"/>
    <n v="35"/>
    <n v="130"/>
    <n v="321.3"/>
    <n v="41769"/>
    <n v="60"/>
    <n v="19278"/>
    <n v="35"/>
    <n v="11245.5"/>
    <n v="35"/>
    <n v="11245.5"/>
    <n v="130"/>
    <n v="41769"/>
    <s v="Continued"/>
    <n v="60"/>
    <n v="35"/>
    <n v="35"/>
    <n v="130"/>
    <n v="379"/>
    <n v="49270"/>
    <s v="Spring 2016"/>
    <n v="60"/>
    <n v="22740"/>
    <n v="35"/>
    <n v="13265"/>
    <n v="35"/>
    <n v="13265"/>
    <n v="130"/>
    <n v="49270"/>
    <s v="Continued"/>
    <n v="60"/>
    <n v="35"/>
    <n v="35"/>
    <n v="130"/>
    <n v="379"/>
    <n v="49270"/>
    <m/>
    <n v="60"/>
    <n v="22740"/>
    <n v="35"/>
    <n v="13265"/>
    <n v="0"/>
    <n v="0"/>
    <n v="95"/>
    <n v="36005"/>
    <n v="961.66666666666674"/>
    <n v="356970.66666666669"/>
    <n v="33.052839506172845"/>
  </r>
  <r>
    <x v="83"/>
    <s v="Completed"/>
    <m/>
    <n v="510598"/>
    <d v="2016-04-28T00:00:00"/>
    <d v="2016-05-25T00:00:00"/>
    <s v="04"/>
    <x v="1"/>
    <x v="0"/>
    <x v="6"/>
    <n v="15200"/>
    <m/>
    <x v="79"/>
    <x v="79"/>
    <s v="Human Growth and Development"/>
    <s v="PSYC 2103"/>
    <s v="Psychology"/>
    <s v="Introduction to Human Development"/>
    <s v="N"/>
    <s v="N"/>
    <s v="Boundless Psychology: Human Development"/>
    <x v="2"/>
    <s v="Positive"/>
    <s v="Positive"/>
    <n v="40460"/>
    <n v="280"/>
    <n v="144.5"/>
    <n v="93.333333333333329"/>
    <n v="93.333333333333329"/>
    <n v="93.333333333333329"/>
    <s v="Spring 2016"/>
    <s v="N"/>
    <m/>
    <m/>
    <s v="Continued"/>
    <n v="0"/>
    <n v="0"/>
    <n v="0"/>
    <n v="0"/>
    <n v="0"/>
    <n v="0"/>
    <n v="0"/>
    <n v="0"/>
    <n v="93.333333333333329"/>
    <n v="13486.666666666666"/>
    <n v="93.333333333333329"/>
    <n v="13486.666666666666"/>
    <n v="93.333333333333329"/>
    <n v="13486.666666666666"/>
    <n v="93.333333333333329"/>
    <n v="13486.666666666666"/>
    <n v="93.333333333333329"/>
    <n v="13486.666666666666"/>
    <n v="280"/>
    <n v="40460"/>
    <n v="93.333333333333329"/>
    <n v="13486.666666666666"/>
    <n v="93.333333333333329"/>
    <n v="13486.666666666666"/>
    <n v="93.333333333333329"/>
    <n v="13486.666666666666"/>
    <n v="280"/>
    <n v="40460"/>
    <x v="0"/>
    <n v="0"/>
    <n v="160"/>
    <n v="160"/>
    <n v="320"/>
    <n v="141.47"/>
    <n v="45270.400000000001"/>
    <n v="0"/>
    <n v="0"/>
    <n v="160"/>
    <n v="22635.200000000001"/>
    <n v="160"/>
    <n v="22635.200000000001"/>
    <n v="320"/>
    <n v="45270.400000000001"/>
    <s v="Continued"/>
    <n v="20"/>
    <n v="160"/>
    <n v="160"/>
    <n v="340"/>
    <n v="177.99"/>
    <n v="60516.600000000006"/>
    <s v="Spring 2016"/>
    <n v="20"/>
    <n v="3559.8"/>
    <n v="160"/>
    <n v="28478.400000000001"/>
    <n v="160"/>
    <n v="28478.400000000001"/>
    <n v="340"/>
    <n v="60516.600000000006"/>
    <s v="Continued"/>
    <n v="20"/>
    <n v="160"/>
    <n v="160"/>
    <n v="340"/>
    <n v="177.99"/>
    <n v="60516.600000000006"/>
    <m/>
    <n v="20"/>
    <n v="3559.8"/>
    <n v="160"/>
    <n v="28478.400000000001"/>
    <n v="160"/>
    <n v="28478.400000000001"/>
    <n v="340"/>
    <n v="60516.600000000006"/>
    <n v="1653.3333333333333"/>
    <n v="260710.26666666666"/>
    <n v="17.151991228070177"/>
  </r>
  <r>
    <x v="84"/>
    <s v="Completed"/>
    <m/>
    <n v="510610"/>
    <d v="2016-09-07T00:00:00"/>
    <d v="2018-03-23T00:00:00"/>
    <s v="04"/>
    <x v="1"/>
    <x v="0"/>
    <x v="22"/>
    <n v="10800"/>
    <m/>
    <x v="80"/>
    <x v="80"/>
    <s v="Principles of Chemistry I, Principles of Chemistry II"/>
    <s v="CHEM 1211, CHEM 1212"/>
    <s v="Chemistry"/>
    <s v="Principles of Chemistry I &amp; II"/>
    <s v="N"/>
    <s v="Y"/>
    <s v="OpenStax Chemistry"/>
    <x v="2"/>
    <s v="Positive"/>
    <s v="Positive"/>
    <n v="179710"/>
    <n v="648"/>
    <n v="277.33024691358025"/>
    <n v="216"/>
    <n v="216"/>
    <n v="216"/>
    <s v="Spring 2016"/>
    <s v="N"/>
    <m/>
    <m/>
    <s v="Continued"/>
    <n v="0"/>
    <n v="0"/>
    <n v="0"/>
    <n v="0"/>
    <n v="0"/>
    <n v="0"/>
    <n v="0"/>
    <n v="0"/>
    <n v="216"/>
    <n v="59903.333333333336"/>
    <n v="216"/>
    <n v="59903.333333333336"/>
    <n v="216"/>
    <n v="59903.333333333336"/>
    <n v="216"/>
    <n v="59903.333333333336"/>
    <n v="216"/>
    <n v="59903.333333333336"/>
    <n v="648"/>
    <n v="179710"/>
    <n v="216"/>
    <n v="59903.333333333336"/>
    <n v="216"/>
    <n v="59903.333333333336"/>
    <n v="216"/>
    <n v="59903.333333333336"/>
    <n v="648"/>
    <n v="179710"/>
    <x v="0"/>
    <n v="32"/>
    <n v="265"/>
    <n v="228"/>
    <n v="525"/>
    <n v="203.6"/>
    <n v="106890"/>
    <n v="32"/>
    <n v="6515.2"/>
    <n v="265"/>
    <n v="53954"/>
    <n v="228"/>
    <n v="46420.799999999996"/>
    <n v="525"/>
    <n v="106890"/>
    <s v="Continued"/>
    <n v="29"/>
    <n v="356"/>
    <n v="350"/>
    <n v="735"/>
    <n v="277.33"/>
    <n v="203837.55"/>
    <s v="Spring 2016"/>
    <n v="29"/>
    <n v="8042.57"/>
    <n v="356"/>
    <n v="98729.48"/>
    <n v="350"/>
    <n v="97065.5"/>
    <n v="735"/>
    <n v="203837.55"/>
    <s v="Continued"/>
    <n v="29"/>
    <n v="356"/>
    <n v="350"/>
    <n v="735"/>
    <n v="277.33"/>
    <n v="203837.55"/>
    <m/>
    <n v="29"/>
    <n v="8042.57"/>
    <n v="356"/>
    <n v="98729.48"/>
    <n v="350"/>
    <n v="97065.5"/>
    <n v="735"/>
    <n v="203837.55"/>
    <n v="3507"/>
    <n v="933888.43333333335"/>
    <n v="86.471151234567898"/>
  </r>
  <r>
    <x v="85"/>
    <s v="Completed"/>
    <m/>
    <n v="510603"/>
    <d v="2016-02-12T00:00:00"/>
    <d v="2017-12-30T00:00:00"/>
    <s v="04"/>
    <x v="1"/>
    <x v="0"/>
    <x v="5"/>
    <n v="24800"/>
    <m/>
    <x v="51"/>
    <x v="51"/>
    <s v="Principles of Biology II"/>
    <s v="BIOL 1108"/>
    <s v="Biological Sciences"/>
    <s v="Principles of Biology II"/>
    <s v="N"/>
    <s v="Y"/>
    <s v="OpenStax Biology"/>
    <x v="3"/>
    <s v="Not Measured"/>
    <s v="Not Measured"/>
    <n v="33000"/>
    <n v="300"/>
    <n v="110"/>
    <n v="100"/>
    <n v="100"/>
    <n v="100"/>
    <s v="Fall 2016"/>
    <s v="N"/>
    <m/>
    <m/>
    <s v="Discontinued"/>
    <n v="0"/>
    <n v="0"/>
    <n v="0"/>
    <n v="0"/>
    <n v="0"/>
    <n v="0"/>
    <n v="0"/>
    <n v="0"/>
    <n v="0"/>
    <n v="0"/>
    <n v="0"/>
    <n v="0"/>
    <n v="0"/>
    <n v="0"/>
    <n v="100"/>
    <n v="11000"/>
    <n v="0"/>
    <n v="0"/>
    <n v="100"/>
    <n v="11000"/>
    <n v="0"/>
    <n v="0"/>
    <n v="0"/>
    <n v="0"/>
    <n v="0"/>
    <n v="0"/>
    <n v="0"/>
    <n v="0"/>
    <x v="1"/>
    <n v="0"/>
    <n v="0"/>
    <n v="0"/>
    <n v="0"/>
    <n v="208.98"/>
    <n v="0"/>
    <n v="0"/>
    <n v="0"/>
    <n v="0"/>
    <n v="0"/>
    <n v="0"/>
    <n v="0"/>
    <n v="0"/>
    <n v="0"/>
    <s v="Discontinued"/>
    <n v="0"/>
    <n v="0"/>
    <n v="0"/>
    <n v="0"/>
    <n v="0"/>
    <n v="0"/>
    <s v="Fall 2016"/>
    <n v="0"/>
    <n v="0"/>
    <n v="0"/>
    <n v="0"/>
    <n v="0"/>
    <n v="0"/>
    <n v="0"/>
    <n v="0"/>
    <s v="Discontinued"/>
    <n v="0"/>
    <n v="0"/>
    <n v="0"/>
    <n v="0"/>
    <n v="0"/>
    <n v="0"/>
    <m/>
    <n v="0"/>
    <n v="0"/>
    <n v="0"/>
    <n v="0"/>
    <n v="0"/>
    <n v="0"/>
    <n v="0"/>
    <n v="0"/>
    <n v="100"/>
    <n v="11000"/>
    <n v="0.44354838709677419"/>
  </r>
  <r>
    <x v="86"/>
    <s v="Completed"/>
    <m/>
    <n v="510593"/>
    <d v="2016-03-10T00:00:00"/>
    <d v="2017-05-31T00:00:00"/>
    <s v="04"/>
    <x v="1"/>
    <x v="0"/>
    <x v="6"/>
    <n v="30000"/>
    <m/>
    <x v="81"/>
    <x v="81"/>
    <s v="Music Appreciation"/>
    <s v="MUSC 1100"/>
    <s v="Fine and Applied Arts"/>
    <s v="Music Appreciation"/>
    <s v="Created Materials"/>
    <s v="N"/>
    <s v="UNG Understanding Music: Past and Present"/>
    <x v="2"/>
    <s v="Positive"/>
    <s v="Positive"/>
    <n v="64862"/>
    <n v="315"/>
    <n v="205.9111111111111"/>
    <n v="105"/>
    <n v="105"/>
    <n v="105"/>
    <s v="Summer 2016"/>
    <s v="N"/>
    <m/>
    <m/>
    <s v="Continued"/>
    <n v="0"/>
    <n v="0"/>
    <n v="0"/>
    <n v="0"/>
    <n v="0"/>
    <n v="0"/>
    <n v="0"/>
    <n v="0"/>
    <n v="0"/>
    <n v="0"/>
    <n v="0"/>
    <n v="0"/>
    <n v="105"/>
    <n v="21620.666666666664"/>
    <n v="105"/>
    <n v="21620.666666666664"/>
    <n v="105"/>
    <n v="21620.666666666664"/>
    <n v="315"/>
    <n v="64861.999999999993"/>
    <n v="105"/>
    <n v="21620.666666666664"/>
    <n v="105"/>
    <n v="21620.666666666664"/>
    <n v="105"/>
    <n v="21620.666666666664"/>
    <n v="315"/>
    <n v="64861.999999999993"/>
    <x v="0"/>
    <n v="38"/>
    <n v="75"/>
    <n v="75"/>
    <n v="188"/>
    <n v="171.25"/>
    <n v="32195"/>
    <n v="38"/>
    <n v="6507.5"/>
    <n v="75"/>
    <n v="12843.75"/>
    <n v="75"/>
    <n v="12843.75"/>
    <n v="188"/>
    <n v="32195"/>
    <s v="Continued"/>
    <n v="38"/>
    <n v="75"/>
    <n v="75"/>
    <n v="188"/>
    <n v="213.5"/>
    <n v="40138"/>
    <s v="Summer 2016"/>
    <n v="38"/>
    <n v="8113"/>
    <n v="75"/>
    <n v="16012.5"/>
    <n v="75"/>
    <n v="16012.5"/>
    <n v="188"/>
    <n v="40138"/>
    <s v="Continued"/>
    <n v="38"/>
    <n v="75"/>
    <n v="75"/>
    <n v="188"/>
    <n v="213.5"/>
    <n v="40138"/>
    <m/>
    <n v="38"/>
    <n v="8113"/>
    <n v="75"/>
    <n v="16012.5"/>
    <n v="75"/>
    <n v="16012.5"/>
    <n v="188"/>
    <n v="40138"/>
    <n v="1194"/>
    <n v="242195"/>
    <n v="8.0731666666666673"/>
  </r>
  <r>
    <x v="87"/>
    <s v="Completed"/>
    <m/>
    <n v="510602"/>
    <d v="2016-02-09T00:00:00"/>
    <d v="2016-12-30T00:00:00"/>
    <s v="04"/>
    <x v="1"/>
    <x v="0"/>
    <x v="3"/>
    <n v="10800"/>
    <m/>
    <x v="82"/>
    <x v="82"/>
    <s v="Introduction to General Psychology"/>
    <s v="PSYC 1101"/>
    <s v="Psychology"/>
    <s v="Introduction to General Psychology"/>
    <s v="N"/>
    <s v="Y"/>
    <s v="OpenStax Psychology"/>
    <x v="2"/>
    <s v="Positive"/>
    <s v="Positive"/>
    <n v="153250"/>
    <n v="1000"/>
    <n v="153.25"/>
    <n v="333.33333333333331"/>
    <n v="333.33333333333331"/>
    <n v="333.33333333333331"/>
    <s v="Fall 2016"/>
    <s v="N"/>
    <m/>
    <m/>
    <s v="Continued"/>
    <n v="0"/>
    <n v="0"/>
    <n v="0"/>
    <n v="0"/>
    <n v="0"/>
    <n v="0"/>
    <n v="0"/>
    <n v="0"/>
    <n v="0"/>
    <n v="0"/>
    <n v="0"/>
    <n v="0"/>
    <n v="0"/>
    <n v="0"/>
    <n v="333.33333333333331"/>
    <n v="51083.333333333328"/>
    <n v="333.33333333333331"/>
    <n v="51083.333333333328"/>
    <n v="666.66666666666663"/>
    <n v="102166.66666666666"/>
    <n v="333.33333333333331"/>
    <n v="51083.333333333328"/>
    <n v="333.33333333333331"/>
    <n v="51083.333333333328"/>
    <n v="333.33333333333331"/>
    <n v="51083.333333333328"/>
    <n v="1000"/>
    <n v="153250"/>
    <x v="0"/>
    <n v="20"/>
    <n v="160"/>
    <n v="160"/>
    <n v="340"/>
    <n v="142.97999999999999"/>
    <n v="48613.2"/>
    <n v="20"/>
    <n v="2859.6"/>
    <n v="160"/>
    <n v="22876.799999999999"/>
    <n v="160"/>
    <n v="22876.799999999999"/>
    <n v="340"/>
    <n v="48613.2"/>
    <s v="Continued"/>
    <n v="20"/>
    <n v="160"/>
    <n v="160"/>
    <n v="340"/>
    <n v="158.25"/>
    <n v="53805"/>
    <s v="Fall 2016"/>
    <n v="20"/>
    <n v="3165"/>
    <n v="160"/>
    <n v="25320"/>
    <n v="160"/>
    <n v="25320"/>
    <n v="340"/>
    <n v="53805"/>
    <s v="Continued"/>
    <n v="20"/>
    <n v="160"/>
    <n v="160"/>
    <n v="340"/>
    <n v="158.25"/>
    <n v="53805"/>
    <m/>
    <n v="20"/>
    <n v="3165"/>
    <n v="160"/>
    <n v="25320"/>
    <n v="160"/>
    <n v="25320"/>
    <n v="340"/>
    <n v="53805"/>
    <n v="2686.6666666666665"/>
    <n v="411639.86666666664"/>
    <n v="38.114802469135803"/>
  </r>
  <r>
    <x v="88"/>
    <s v="Completed"/>
    <m/>
    <n v="510660"/>
    <d v="2016-03-07T00:00:00"/>
    <d v="2016-12-30T00:00:00"/>
    <s v="04"/>
    <x v="1"/>
    <x v="0"/>
    <x v="23"/>
    <n v="10800"/>
    <m/>
    <x v="83"/>
    <x v="83"/>
    <s v="Introduction to General Psychology"/>
    <s v="PSYC 1101"/>
    <s v="Psychology"/>
    <s v="Introduction to General Psychology"/>
    <s v="Created Materials"/>
    <s v="N"/>
    <s v="Original "/>
    <x v="2"/>
    <s v="Positive"/>
    <s v="Positive"/>
    <n v="92000"/>
    <n v="460"/>
    <n v="200"/>
    <n v="153.33333333333334"/>
    <n v="153.33333333333334"/>
    <n v="153.33333333333334"/>
    <s v="Fall 2016"/>
    <s v="Y"/>
    <n v="291"/>
    <s v="Fall 2017"/>
    <s v="Continued"/>
    <n v="0"/>
    <n v="0"/>
    <n v="0"/>
    <n v="0"/>
    <n v="0"/>
    <n v="0"/>
    <n v="0"/>
    <n v="0"/>
    <n v="0"/>
    <n v="0"/>
    <n v="0"/>
    <n v="0"/>
    <n v="0"/>
    <n v="0"/>
    <n v="153.33333333333334"/>
    <n v="30666.666666666668"/>
    <n v="153.33333333333334"/>
    <n v="30666.666666666668"/>
    <n v="306.66666666666669"/>
    <n v="61333.333333333336"/>
    <n v="153.33333333333334"/>
    <n v="30666.666666666668"/>
    <n v="0"/>
    <n v="0"/>
    <n v="0"/>
    <n v="0"/>
    <n v="153.33333333333334"/>
    <n v="30666.666666666668"/>
    <x v="2"/>
    <n v="0"/>
    <n v="0"/>
    <n v="0"/>
    <n v="0"/>
    <n v="242.2"/>
    <n v="0"/>
    <n v="0"/>
    <n v="0"/>
    <n v="0"/>
    <n v="0"/>
    <n v="0"/>
    <n v="0"/>
    <n v="0"/>
    <n v="0"/>
    <s v="Scaled"/>
    <n v="0"/>
    <n v="0"/>
    <n v="0"/>
    <n v="0"/>
    <n v="0"/>
    <n v="0"/>
    <s v="Fall 2016"/>
    <n v="0"/>
    <n v="0"/>
    <n v="0"/>
    <n v="0"/>
    <n v="0"/>
    <n v="0"/>
    <n v="0"/>
    <n v="0"/>
    <s v="Scaled"/>
    <n v="0"/>
    <n v="0"/>
    <n v="0"/>
    <n v="0"/>
    <n v="0"/>
    <n v="0"/>
    <m/>
    <n v="0"/>
    <n v="0"/>
    <n v="0"/>
    <n v="0"/>
    <n v="0"/>
    <n v="0"/>
    <n v="0"/>
    <n v="0"/>
    <n v="460"/>
    <n v="92000"/>
    <n v="8.518518518518519"/>
  </r>
  <r>
    <x v="89"/>
    <s v="Completed"/>
    <m/>
    <n v="510591"/>
    <d v="2016-03-07T00:00:00"/>
    <d v="2017-05-31T00:00:00"/>
    <s v="04"/>
    <x v="1"/>
    <x v="0"/>
    <x v="23"/>
    <n v="10000"/>
    <m/>
    <x v="84"/>
    <x v="84"/>
    <s v="American Government"/>
    <s v="POLS 1101"/>
    <s v="Political Science"/>
    <s v="American Government"/>
    <s v="N"/>
    <s v="N"/>
    <s v="Various OER"/>
    <x v="2"/>
    <s v="Neutral"/>
    <s v="Neutral"/>
    <n v="106320"/>
    <n v="600"/>
    <n v="177.2"/>
    <n v="200"/>
    <n v="200"/>
    <n v="200"/>
    <s v="Fall 2016"/>
    <s v="N"/>
    <m/>
    <m/>
    <s v="Continued"/>
    <n v="0"/>
    <n v="0"/>
    <n v="0"/>
    <n v="0"/>
    <n v="0"/>
    <n v="0"/>
    <n v="0"/>
    <n v="0"/>
    <n v="0"/>
    <n v="0"/>
    <n v="0"/>
    <n v="0"/>
    <n v="0"/>
    <n v="0"/>
    <n v="200"/>
    <n v="35440"/>
    <n v="200"/>
    <n v="35440"/>
    <n v="400"/>
    <n v="70880"/>
    <n v="200"/>
    <n v="35440"/>
    <n v="200"/>
    <n v="35440"/>
    <n v="200"/>
    <n v="35440"/>
    <n v="600"/>
    <n v="106320"/>
    <x v="0"/>
    <n v="0"/>
    <n v="100"/>
    <n v="40"/>
    <n v="140"/>
    <n v="199.95"/>
    <n v="27993"/>
    <n v="0"/>
    <n v="0"/>
    <n v="100"/>
    <n v="19995"/>
    <n v="40"/>
    <n v="7998"/>
    <n v="140"/>
    <n v="27993"/>
    <s v="Continued"/>
    <n v="0"/>
    <n v="40"/>
    <n v="40"/>
    <n v="80"/>
    <n v="100"/>
    <n v="8000"/>
    <s v="Fall 2016"/>
    <n v="0"/>
    <n v="0"/>
    <n v="40"/>
    <n v="4000"/>
    <n v="40"/>
    <n v="4000"/>
    <n v="80"/>
    <n v="8000"/>
    <s v="Continued"/>
    <n v="0"/>
    <n v="40"/>
    <n v="0"/>
    <n v="40"/>
    <n v="100"/>
    <n v="4000"/>
    <m/>
    <n v="0"/>
    <n v="0"/>
    <n v="40"/>
    <n v="4000"/>
    <n v="0"/>
    <n v="0"/>
    <n v="40"/>
    <n v="4000"/>
    <n v="1260"/>
    <n v="217193"/>
    <n v="21.7193"/>
  </r>
  <r>
    <x v="90"/>
    <s v="Completed"/>
    <m/>
    <n v="510611"/>
    <d v="2016-07-27T00:00:00"/>
    <d v="2016-12-30T00:00:00"/>
    <s v="04"/>
    <x v="2"/>
    <x v="0"/>
    <x v="2"/>
    <n v="30000"/>
    <m/>
    <x v="85"/>
    <x v="85"/>
    <s v="Human Anatomy and Physiology"/>
    <s v="CBIO 2200, CBIO 2210"/>
    <s v="Biological Sciences"/>
    <s v="N"/>
    <s v="Created Materials"/>
    <s v="Y"/>
    <s v="OpenStax Anatomy and Physiology"/>
    <x v="0"/>
    <s v="Neutral"/>
    <s v="Neutral"/>
    <n v="728163"/>
    <n v="1603"/>
    <n v="454.25015595757952"/>
    <n v="534.33333333333337"/>
    <n v="534.33333333333337"/>
    <n v="534.33333333333337"/>
    <s v="Fall 2016"/>
    <s v="Y"/>
    <s v="374.e"/>
    <s v="Spring 2019"/>
    <s v="Continued"/>
    <n v="0"/>
    <n v="0"/>
    <n v="0"/>
    <n v="0"/>
    <n v="0"/>
    <n v="0"/>
    <n v="0"/>
    <n v="0"/>
    <n v="0"/>
    <n v="0"/>
    <n v="0"/>
    <n v="0"/>
    <n v="0"/>
    <n v="0"/>
    <n v="534.33333333333337"/>
    <n v="242721"/>
    <n v="534.33333333333337"/>
    <n v="242721"/>
    <n v="1068.6666666666667"/>
    <n v="485442"/>
    <n v="534.33333333333337"/>
    <n v="242721"/>
    <n v="534.33333333333337"/>
    <n v="242721"/>
    <n v="534.33333333333337"/>
    <n v="242721"/>
    <n v="1603"/>
    <n v="728163"/>
    <x v="0"/>
    <n v="534"/>
    <n v="534"/>
    <n v="534"/>
    <n v="1602"/>
    <n v="414.58"/>
    <n v="664157.16"/>
    <n v="534"/>
    <n v="221385.72"/>
    <n v="534"/>
    <n v="221385.72"/>
    <n v="0"/>
    <n v="0"/>
    <n v="1068"/>
    <n v="442771.44"/>
    <s v="Scaled"/>
    <n v="0"/>
    <n v="0"/>
    <n v="0"/>
    <n v="0"/>
    <n v="0"/>
    <n v="0"/>
    <s v="Fall 2016"/>
    <n v="0"/>
    <n v="0"/>
    <n v="0"/>
    <n v="0"/>
    <n v="0"/>
    <n v="0"/>
    <n v="0"/>
    <n v="0"/>
    <s v="Scaled"/>
    <n v="0"/>
    <n v="0"/>
    <n v="0"/>
    <n v="0"/>
    <n v="0"/>
    <n v="0"/>
    <m/>
    <n v="0"/>
    <n v="0"/>
    <n v="0"/>
    <n v="0"/>
    <n v="0"/>
    <n v="0"/>
    <n v="0"/>
    <n v="0"/>
    <n v="3739.666666666667"/>
    <n v="1656376.44"/>
    <n v="55.212547999999998"/>
  </r>
  <r>
    <x v="91"/>
    <s v="Completed"/>
    <m/>
    <n v="510596"/>
    <d v="2016-02-15T00:00:00"/>
    <d v="2017-05-31T00:00:00"/>
    <s v="04"/>
    <x v="1"/>
    <x v="0"/>
    <x v="0"/>
    <n v="10800"/>
    <m/>
    <x v="86"/>
    <x v="86"/>
    <s v="Principles of Physics I, Principles of Physics II"/>
    <s v="PHYS 1111, PHYS 1112"/>
    <s v="Physics and Astronomy"/>
    <s v="Principles of Physics I &amp; II"/>
    <s v="N"/>
    <s v="Y"/>
    <s v="OpenStax College Physics"/>
    <x v="3"/>
    <s v="Negative"/>
    <s v="Positive"/>
    <n v="104879"/>
    <n v="216"/>
    <n v="485.55092592592592"/>
    <n v="72"/>
    <n v="72"/>
    <n v="72"/>
    <s v="Spring 2016"/>
    <s v="N"/>
    <m/>
    <m/>
    <s v="Discontinued"/>
    <n v="0"/>
    <n v="0"/>
    <n v="0"/>
    <n v="0"/>
    <n v="0"/>
    <n v="0"/>
    <n v="0"/>
    <n v="0"/>
    <n v="72"/>
    <n v="34959.666666666664"/>
    <n v="72"/>
    <n v="34959.666666666664"/>
    <n v="0"/>
    <n v="0"/>
    <n v="0"/>
    <n v="0"/>
    <n v="0"/>
    <n v="0"/>
    <n v="0"/>
    <n v="0"/>
    <n v="0"/>
    <n v="0"/>
    <n v="0"/>
    <n v="0"/>
    <n v="0"/>
    <n v="0"/>
    <n v="0"/>
    <n v="0"/>
    <x v="1"/>
    <n v="0"/>
    <n v="0"/>
    <n v="0"/>
    <n v="0"/>
    <n v="482.55"/>
    <n v="0"/>
    <n v="0"/>
    <n v="0"/>
    <n v="0"/>
    <n v="0"/>
    <n v="0"/>
    <n v="0"/>
    <n v="0"/>
    <n v="0"/>
    <s v="Discontinued"/>
    <n v="0"/>
    <n v="0"/>
    <n v="0"/>
    <n v="0"/>
    <n v="0"/>
    <n v="0"/>
    <s v="Spring 2016"/>
    <n v="0"/>
    <n v="0"/>
    <n v="0"/>
    <n v="0"/>
    <n v="0"/>
    <n v="0"/>
    <n v="0"/>
    <n v="0"/>
    <s v="Discontinued"/>
    <n v="0"/>
    <n v="0"/>
    <n v="0"/>
    <n v="0"/>
    <n v="0"/>
    <n v="0"/>
    <m/>
    <n v="0"/>
    <n v="0"/>
    <n v="0"/>
    <n v="0"/>
    <n v="0"/>
    <n v="0"/>
    <n v="0"/>
    <n v="0"/>
    <n v="72"/>
    <n v="34959.666666666664"/>
    <n v="3.2370061728395059"/>
  </r>
  <r>
    <x v="92"/>
    <s v="Completed"/>
    <m/>
    <n v="510605"/>
    <d v="2016-02-10T00:00:00"/>
    <d v="2016-12-30T00:00:00"/>
    <s v="04"/>
    <x v="1"/>
    <x v="0"/>
    <x v="6"/>
    <n v="16800"/>
    <m/>
    <x v="87"/>
    <x v="87"/>
    <s v="Contemporary Social Problems, Social Research Methods, Experimental Psychology"/>
    <s v="SOCI 1160, SOCI 4440 PSYC 4431"/>
    <s v="Sociology"/>
    <s v="N"/>
    <s v="N"/>
    <s v="N"/>
    <s v="Saylor Social Problems: Continuity and Change"/>
    <x v="2"/>
    <s v="Positive"/>
    <s v="Positive"/>
    <n v="44075"/>
    <n v="215"/>
    <n v="205"/>
    <n v="71.666666666666671"/>
    <n v="71.666666666666671"/>
    <n v="71.666666666666671"/>
    <s v="Spring 2016"/>
    <s v="N"/>
    <m/>
    <m/>
    <s v="Continued"/>
    <n v="0"/>
    <n v="0"/>
    <n v="0"/>
    <n v="0"/>
    <n v="0"/>
    <n v="0"/>
    <n v="0"/>
    <n v="0"/>
    <n v="71.666666666666671"/>
    <n v="14691.666666666668"/>
    <n v="71.666666666666671"/>
    <n v="14691.666666666668"/>
    <n v="71.666666666666671"/>
    <n v="14691.666666666668"/>
    <n v="71.666666666666671"/>
    <n v="14691.666666666668"/>
    <n v="71.666666666666671"/>
    <n v="14691.666666666668"/>
    <n v="215"/>
    <n v="44075"/>
    <n v="71.666666666666671"/>
    <n v="14691.666666666668"/>
    <n v="71.666666666666671"/>
    <n v="14691.666666666668"/>
    <n v="71.666666666666671"/>
    <n v="14691.666666666668"/>
    <n v="215"/>
    <n v="44075"/>
    <x v="0"/>
    <n v="20"/>
    <n v="50"/>
    <n v="60"/>
    <n v="130"/>
    <n v="157.69999999999999"/>
    <n v="20501"/>
    <n v="20"/>
    <n v="3154"/>
    <n v="50"/>
    <n v="7884.9999999999991"/>
    <n v="60"/>
    <n v="9462"/>
    <n v="130"/>
    <n v="20501"/>
    <s v="Continued"/>
    <n v="15"/>
    <n v="30"/>
    <n v="30"/>
    <n v="75"/>
    <n v="172"/>
    <n v="12900"/>
    <s v="Spring 2016"/>
    <n v="15"/>
    <n v="2580"/>
    <n v="30"/>
    <n v="5160"/>
    <n v="30"/>
    <n v="5160"/>
    <n v="75"/>
    <n v="12900"/>
    <s v="Discontinued"/>
    <n v="15"/>
    <n v="30"/>
    <n v="30"/>
    <n v="0"/>
    <n v="0"/>
    <n v="0"/>
    <m/>
    <n v="0"/>
    <n v="0"/>
    <n v="0"/>
    <n v="0"/>
    <n v="0"/>
    <n v="0"/>
    <n v="0"/>
    <n v="0"/>
    <n v="706.66666666666674"/>
    <n v="136242.66666666669"/>
    <n v="8.1096825396825416"/>
  </r>
  <r>
    <x v="93"/>
    <s v="Completed"/>
    <m/>
    <n v="510706"/>
    <d v="2016-04-27T00:00:00"/>
    <d v="2016-12-30T00:00:00"/>
    <s v="04"/>
    <x v="1"/>
    <x v="0"/>
    <x v="10"/>
    <n v="21200"/>
    <m/>
    <x v="88"/>
    <x v="88"/>
    <s v="Calculus II, College Algebra, Elementary Statistics, Precalculus"/>
    <s v="MATH 1111, MATH 1113, MATH 2400, MATH 2460"/>
    <s v="Mathematical Subjects"/>
    <s v="Calculus II, College Algebra, Precalculus"/>
    <s v="N"/>
    <s v="N"/>
    <s v="Various OER"/>
    <x v="2"/>
    <s v="Positive"/>
    <s v="Positive"/>
    <n v="96000"/>
    <n v="1050"/>
    <n v="91.428571428571431"/>
    <n v="350"/>
    <n v="350"/>
    <n v="350"/>
    <s v="Spring 2016"/>
    <s v="N"/>
    <m/>
    <m/>
    <s v="Continued"/>
    <n v="0"/>
    <n v="0"/>
    <n v="0"/>
    <n v="0"/>
    <n v="0"/>
    <n v="0"/>
    <n v="0"/>
    <n v="0"/>
    <n v="350"/>
    <n v="32000"/>
    <n v="350"/>
    <n v="32000"/>
    <n v="350"/>
    <n v="32000"/>
    <n v="350"/>
    <n v="32000"/>
    <n v="350"/>
    <n v="32000"/>
    <n v="1050"/>
    <n v="96000"/>
    <n v="350"/>
    <n v="32000"/>
    <n v="350"/>
    <n v="32000"/>
    <n v="350"/>
    <n v="32000"/>
    <n v="1050"/>
    <n v="96000"/>
    <x v="0"/>
    <n v="25"/>
    <n v="60"/>
    <n v="60"/>
    <n v="145"/>
    <n v="240.52"/>
    <n v="34875.4"/>
    <n v="25"/>
    <n v="6013"/>
    <n v="60"/>
    <n v="14431.2"/>
    <n v="60"/>
    <n v="14431.2"/>
    <n v="145"/>
    <n v="34875.4"/>
    <s v="Discontinued"/>
    <n v="0"/>
    <n v="0"/>
    <n v="0"/>
    <n v="0"/>
    <n v="0"/>
    <n v="0"/>
    <s v="Spring 2016"/>
    <n v="0"/>
    <n v="0"/>
    <n v="0"/>
    <n v="0"/>
    <n v="0"/>
    <n v="0"/>
    <n v="0"/>
    <n v="0"/>
    <s v="Discontinued"/>
    <n v="0"/>
    <n v="0"/>
    <n v="0"/>
    <n v="0"/>
    <n v="0"/>
    <n v="0"/>
    <m/>
    <n v="0"/>
    <n v="0"/>
    <n v="0"/>
    <n v="0"/>
    <n v="0"/>
    <n v="0"/>
    <n v="0"/>
    <n v="0"/>
    <n v="2595"/>
    <n v="258875.4"/>
    <n v="12.211103773584906"/>
  </r>
  <r>
    <x v="94"/>
    <s v="Completed"/>
    <m/>
    <n v="510607"/>
    <d v="2016-02-12T00:00:00"/>
    <d v="2016-05-25T00:00:00"/>
    <s v="04"/>
    <x v="1"/>
    <x v="0"/>
    <x v="5"/>
    <n v="15800"/>
    <m/>
    <x v="8"/>
    <x v="8"/>
    <s v="Evolution and Biodiversity, Organismal Biology"/>
    <s v="BIOL 1010, BIOL 1030"/>
    <s v="Biological Sciences"/>
    <s v="N"/>
    <s v="N"/>
    <s v="Y"/>
    <s v="OpenStax Concepts of Biology"/>
    <x v="2"/>
    <s v="Neutral"/>
    <s v="Neutral"/>
    <n v="89000"/>
    <n v="1000"/>
    <n v="89"/>
    <n v="333.33333333333331"/>
    <n v="333.33333333333331"/>
    <n v="333.33333333333331"/>
    <s v="Spring 2016"/>
    <s v="N"/>
    <m/>
    <m/>
    <s v="Continued"/>
    <n v="0"/>
    <n v="0"/>
    <n v="0"/>
    <n v="0"/>
    <n v="0"/>
    <n v="0"/>
    <n v="0"/>
    <n v="0"/>
    <n v="333.33333333333331"/>
    <n v="29666.666666666664"/>
    <n v="333.33333333333331"/>
    <n v="29666.666666666664"/>
    <n v="333.33333333333331"/>
    <n v="29666.666666666664"/>
    <n v="333.33333333333331"/>
    <n v="29666.666666666664"/>
    <n v="333.33333333333331"/>
    <n v="29666.666666666664"/>
    <n v="1000"/>
    <n v="89000"/>
    <n v="333.33333333333331"/>
    <n v="29666.666666666664"/>
    <n v="333.33333333333331"/>
    <n v="29666.666666666664"/>
    <n v="333.33333333333331"/>
    <n v="29666.666666666664"/>
    <n v="1000"/>
    <n v="89000"/>
    <x v="0"/>
    <n v="60"/>
    <n v="150"/>
    <n v="150"/>
    <n v="360"/>
    <n v="159.94999999999999"/>
    <n v="57581.999999999993"/>
    <n v="60"/>
    <n v="9597"/>
    <n v="150"/>
    <n v="23992.5"/>
    <n v="150"/>
    <n v="23992.5"/>
    <n v="360"/>
    <n v="57582"/>
    <s v="Discontinued"/>
    <n v="0"/>
    <n v="0"/>
    <n v="0"/>
    <n v="0"/>
    <n v="0"/>
    <n v="0"/>
    <s v="Spring 2016"/>
    <n v="0"/>
    <n v="0"/>
    <n v="0"/>
    <n v="0"/>
    <n v="0"/>
    <n v="0"/>
    <n v="0"/>
    <n v="0"/>
    <s v="Discontinued"/>
    <n v="0"/>
    <n v="0"/>
    <n v="0"/>
    <n v="0"/>
    <n v="0"/>
    <n v="0"/>
    <m/>
    <n v="0"/>
    <n v="0"/>
    <n v="0"/>
    <n v="0"/>
    <n v="0"/>
    <n v="0"/>
    <n v="0"/>
    <n v="0"/>
    <n v="2693.333333333333"/>
    <n v="265248.66666666663"/>
    <n v="16.787890295358647"/>
  </r>
  <r>
    <x v="95"/>
    <s v="Completed"/>
    <m/>
    <n v="510606"/>
    <d v="2016-02-12T00:00:00"/>
    <d v="2017-05-31T00:00:00"/>
    <s v="04"/>
    <x v="1"/>
    <x v="0"/>
    <x v="5"/>
    <n v="15800"/>
    <m/>
    <x v="89"/>
    <x v="89"/>
    <s v="Introductory Physics I, Introductory Physics II "/>
    <s v="PHYS 1111, PHYS 1112"/>
    <s v="Physics and Astronomy"/>
    <s v="Introductory Physics I &amp; II "/>
    <s v="Created Materials"/>
    <s v="Y"/>
    <s v="OpenStax College Physics"/>
    <x v="2"/>
    <s v="Neutral"/>
    <s v="Negative"/>
    <n v="73800"/>
    <n v="300"/>
    <n v="246"/>
    <n v="100"/>
    <n v="100"/>
    <n v="100"/>
    <s v="Spring 2016"/>
    <s v="N"/>
    <m/>
    <m/>
    <s v="Continued"/>
    <n v="0"/>
    <n v="0"/>
    <n v="0"/>
    <n v="0"/>
    <n v="0"/>
    <n v="0"/>
    <n v="0"/>
    <n v="0"/>
    <n v="100"/>
    <n v="24600"/>
    <n v="100"/>
    <n v="24600"/>
    <n v="100"/>
    <n v="24600"/>
    <n v="100"/>
    <n v="24600"/>
    <n v="100"/>
    <n v="24600"/>
    <n v="300"/>
    <n v="73800"/>
    <n v="100"/>
    <n v="24600"/>
    <n v="100"/>
    <n v="24600"/>
    <n v="100"/>
    <n v="24600"/>
    <n v="300"/>
    <n v="73800"/>
    <x v="0"/>
    <n v="25"/>
    <n v="100"/>
    <n v="100"/>
    <n v="225"/>
    <n v="287.95"/>
    <n v="64788.75"/>
    <n v="25"/>
    <n v="7198.75"/>
    <n v="100"/>
    <n v="28795"/>
    <n v="100"/>
    <n v="28795"/>
    <n v="225"/>
    <n v="64788.75"/>
    <s v="Continued"/>
    <n v="40"/>
    <n v="84"/>
    <n v="84"/>
    <n v="208"/>
    <n v="246"/>
    <n v="51168"/>
    <s v="Spring 2016"/>
    <n v="40"/>
    <n v="9840"/>
    <n v="84"/>
    <n v="20664"/>
    <n v="84"/>
    <n v="20664"/>
    <n v="208"/>
    <n v="51168"/>
    <s v="Continued"/>
    <n v="40"/>
    <n v="84"/>
    <n v="84"/>
    <n v="208"/>
    <n v="246"/>
    <n v="51168"/>
    <m/>
    <n v="40"/>
    <n v="9840"/>
    <n v="84"/>
    <n v="20664"/>
    <n v="84"/>
    <n v="20664"/>
    <n v="208"/>
    <n v="51168"/>
    <n v="1341"/>
    <n v="339324.75"/>
    <n v="21.47625"/>
  </r>
  <r>
    <x v="96"/>
    <s v="Completed"/>
    <m/>
    <n v="510608"/>
    <d v="2016-04-26T00:00:00"/>
    <d v="2018-03-21T00:00:00"/>
    <s v="04"/>
    <x v="1"/>
    <x v="0"/>
    <x v="1"/>
    <n v="30000"/>
    <m/>
    <x v="90"/>
    <x v="90"/>
    <s v="Science of Psychology, Research Methods and Statistics, Experimental Design and Analysis"/>
    <s v="PSYC 2000, PSYC 2300, PSYC 3301"/>
    <s v="Psychology"/>
    <s v="N"/>
    <s v="Created Materials"/>
    <s v="N"/>
    <s v="Original "/>
    <x v="2"/>
    <s v="Neutral"/>
    <s v="Negative"/>
    <n v="344520"/>
    <n v="1160"/>
    <n v="297"/>
    <n v="386.66666666666669"/>
    <n v="386.66666666666669"/>
    <n v="386.66666666666669"/>
    <s v="Fall 2016"/>
    <s v="N"/>
    <m/>
    <m/>
    <s v="Continued"/>
    <n v="0"/>
    <n v="0"/>
    <n v="0"/>
    <n v="0"/>
    <n v="0"/>
    <n v="0"/>
    <n v="0"/>
    <n v="0"/>
    <n v="0"/>
    <n v="0"/>
    <n v="0"/>
    <n v="0"/>
    <n v="0"/>
    <n v="0"/>
    <n v="386.66666666666669"/>
    <n v="114840"/>
    <n v="386.66666666666669"/>
    <n v="114840"/>
    <n v="773.33333333333337"/>
    <n v="229680"/>
    <n v="386.66666666666669"/>
    <n v="114840"/>
    <n v="386.66666666666669"/>
    <n v="114840"/>
    <n v="386.66666666666669"/>
    <n v="114840"/>
    <n v="1160"/>
    <n v="344520"/>
    <x v="0"/>
    <n v="27"/>
    <n v="62"/>
    <n v="50"/>
    <n v="139"/>
    <n v="194.5"/>
    <n v="27035.5"/>
    <n v="27"/>
    <n v="5251.5"/>
    <n v="62"/>
    <n v="12059"/>
    <n v="50"/>
    <n v="9725"/>
    <n v="139"/>
    <n v="27035.5"/>
    <s v="Continued"/>
    <n v="24"/>
    <n v="60"/>
    <n v="0"/>
    <n v="84"/>
    <n v="297"/>
    <n v="24948"/>
    <s v="Fall 2016"/>
    <n v="24"/>
    <n v="7128"/>
    <n v="60"/>
    <n v="17820"/>
    <n v="0"/>
    <n v="0"/>
    <n v="84"/>
    <n v="24948"/>
    <s v="Timed Out"/>
    <n v="24"/>
    <n v="60"/>
    <n v="0"/>
    <n v="0"/>
    <n v="0"/>
    <n v="0"/>
    <m/>
    <n v="0"/>
    <n v="0"/>
    <n v="0"/>
    <n v="0"/>
    <n v="0"/>
    <n v="0"/>
    <n v="0"/>
    <n v="0"/>
    <n v="2156.3333333333335"/>
    <n v="626183.5"/>
    <n v="20.872783333333334"/>
  </r>
  <r>
    <x v="97"/>
    <s v="Completed"/>
    <m/>
    <n v="510600"/>
    <d v="2016-02-11T00:00:00"/>
    <d v="2016-05-16T00:00:00"/>
    <s v="04"/>
    <x v="1"/>
    <x v="0"/>
    <x v="7"/>
    <n v="15800"/>
    <m/>
    <x v="11"/>
    <x v="11"/>
    <s v="Introduction to Statistics"/>
    <s v="MATH 2200"/>
    <s v="Mathematical Subjects"/>
    <s v="N"/>
    <s v="N"/>
    <s v="N"/>
    <s v="OpenIntro Statistics"/>
    <x v="1"/>
    <s v="Neutral"/>
    <s v="Positive"/>
    <n v="210000"/>
    <n v="1050"/>
    <n v="200"/>
    <n v="350"/>
    <n v="350"/>
    <n v="350"/>
    <s v="Spring 2016"/>
    <s v="N"/>
    <m/>
    <m/>
    <s v="Continued"/>
    <n v="0"/>
    <n v="0"/>
    <n v="0"/>
    <n v="0"/>
    <n v="0"/>
    <n v="0"/>
    <n v="0"/>
    <n v="0"/>
    <n v="350"/>
    <n v="70000"/>
    <n v="350"/>
    <n v="70000"/>
    <n v="350"/>
    <n v="70000"/>
    <n v="350"/>
    <n v="70000"/>
    <n v="350"/>
    <n v="70000"/>
    <n v="1050"/>
    <n v="210000"/>
    <n v="350"/>
    <n v="70000"/>
    <n v="350"/>
    <n v="70000"/>
    <n v="350"/>
    <n v="70000"/>
    <n v="1050"/>
    <n v="210000"/>
    <x v="0"/>
    <n v="50"/>
    <n v="220"/>
    <n v="200"/>
    <n v="470"/>
    <n v="159.96"/>
    <n v="75181.2"/>
    <n v="50"/>
    <n v="7998"/>
    <n v="220"/>
    <n v="35191.200000000004"/>
    <n v="200"/>
    <n v="31992"/>
    <n v="470"/>
    <n v="75181.200000000012"/>
    <s v="Continued"/>
    <n v="50"/>
    <n v="220"/>
    <n v="200"/>
    <n v="470"/>
    <n v="150"/>
    <n v="70500"/>
    <s v="Spring 2016"/>
    <n v="50"/>
    <n v="7500"/>
    <n v="220"/>
    <n v="33000"/>
    <n v="200"/>
    <n v="30000"/>
    <n v="470"/>
    <n v="70500"/>
    <s v="Timed Out"/>
    <n v="50"/>
    <n v="220"/>
    <n v="200"/>
    <n v="0"/>
    <n v="0"/>
    <n v="0"/>
    <m/>
    <n v="0"/>
    <n v="0"/>
    <n v="0"/>
    <n v="0"/>
    <n v="0"/>
    <n v="0"/>
    <n v="0"/>
    <n v="0"/>
    <n v="3390"/>
    <n v="635681.19999999995"/>
    <n v="40.232987341772152"/>
  </r>
  <r>
    <x v="98"/>
    <s v="Completed"/>
    <m/>
    <n v="510772"/>
    <d v="2016-05-20T00:00:00"/>
    <d v="2017-05-31T00:00:00"/>
    <s v="05"/>
    <x v="1"/>
    <x v="0"/>
    <x v="16"/>
    <n v="10800"/>
    <m/>
    <x v="91"/>
    <x v="91"/>
    <s v="Biochemistry I, Biochemistry II"/>
    <s v="CHEM 3510, CHEM 3711, CHEM 3712"/>
    <s v="Chemistry"/>
    <s v="N"/>
    <s v="Created Materials"/>
    <s v="N"/>
    <s v="Biochemistry: Free for All"/>
    <x v="2"/>
    <s v="Positive"/>
    <s v="Neutral"/>
    <n v="48560"/>
    <n v="160"/>
    <n v="303.5"/>
    <n v="53.333333333333336"/>
    <n v="53.333333333333336"/>
    <n v="53.333333333333336"/>
    <s v="Fall 2016"/>
    <s v="N"/>
    <m/>
    <m/>
    <s v="Continued"/>
    <n v="0"/>
    <n v="0"/>
    <n v="0"/>
    <n v="0"/>
    <n v="0"/>
    <n v="0"/>
    <n v="0"/>
    <n v="0"/>
    <n v="0"/>
    <n v="0"/>
    <n v="0"/>
    <n v="0"/>
    <n v="0"/>
    <n v="0"/>
    <n v="53.333333333333336"/>
    <n v="16186.666666666668"/>
    <n v="53.333333333333336"/>
    <n v="16186.666666666668"/>
    <n v="106.66666666666667"/>
    <n v="32373.333333333336"/>
    <n v="53.333333333333336"/>
    <n v="16186.666666666668"/>
    <n v="53.333333333333336"/>
    <n v="16186.666666666668"/>
    <n v="53.333333333333336"/>
    <n v="16186.666666666668"/>
    <n v="160"/>
    <n v="48560"/>
    <x v="0"/>
    <n v="15"/>
    <n v="10"/>
    <n v="50"/>
    <n v="75"/>
    <n v="218.56"/>
    <n v="16392"/>
    <n v="15"/>
    <n v="3278.4"/>
    <n v="10"/>
    <n v="2185.6"/>
    <n v="50"/>
    <n v="10928"/>
    <n v="75"/>
    <n v="16392"/>
    <s v="Discontinued"/>
    <n v="0"/>
    <n v="0"/>
    <n v="0"/>
    <n v="0"/>
    <n v="0"/>
    <n v="0"/>
    <s v="Fall 2016"/>
    <n v="0"/>
    <n v="0"/>
    <n v="0"/>
    <n v="0"/>
    <n v="0"/>
    <n v="0"/>
    <n v="0"/>
    <n v="0"/>
    <s v="Discontinued"/>
    <n v="0"/>
    <n v="0"/>
    <n v="0"/>
    <n v="0"/>
    <n v="0"/>
    <n v="0"/>
    <m/>
    <n v="0"/>
    <n v="0"/>
    <n v="0"/>
    <n v="0"/>
    <n v="0"/>
    <n v="0"/>
    <n v="0"/>
    <n v="0"/>
    <n v="341.66666666666669"/>
    <n v="97325.333333333343"/>
    <n v="9.0116049382716064"/>
  </r>
  <r>
    <x v="99"/>
    <s v="Completed"/>
    <m/>
    <n v="510715"/>
    <d v="2016-04-26T00:00:00"/>
    <d v="2017-05-31T00:00:00"/>
    <s v="05"/>
    <x v="1"/>
    <x v="0"/>
    <x v="21"/>
    <n v="20800"/>
    <m/>
    <x v="92"/>
    <x v="92"/>
    <s v="Music Appreciation"/>
    <s v="MUSC 1100"/>
    <s v="Fine and Applied Arts"/>
    <s v="Music Appreciation"/>
    <s v="N"/>
    <s v="N"/>
    <s v="GGC Music Appreciation"/>
    <x v="2"/>
    <s v="Neutral"/>
    <s v="Negative"/>
    <n v="79996"/>
    <n v="560"/>
    <n v="142.85"/>
    <n v="186.66666666666666"/>
    <n v="186.66666666666666"/>
    <n v="186.66666666666666"/>
    <s v="Fall 2016"/>
    <s v="N"/>
    <m/>
    <m/>
    <s v="Continued"/>
    <n v="0"/>
    <n v="0"/>
    <n v="0"/>
    <n v="0"/>
    <n v="0"/>
    <n v="0"/>
    <n v="0"/>
    <n v="0"/>
    <n v="0"/>
    <n v="0"/>
    <n v="0"/>
    <n v="0"/>
    <n v="0"/>
    <n v="0"/>
    <n v="0"/>
    <n v="0"/>
    <n v="186.66666666666666"/>
    <n v="26665.333333333332"/>
    <n v="186.66666666666666"/>
    <n v="26665.333333333332"/>
    <n v="186.66666666666666"/>
    <n v="26665.333333333332"/>
    <n v="186.66666666666666"/>
    <n v="26665.333333333332"/>
    <n v="186.66666666666666"/>
    <n v="26665.333333333332"/>
    <n v="560"/>
    <n v="79996"/>
    <x v="0"/>
    <n v="32"/>
    <n v="32"/>
    <n v="32"/>
    <n v="96"/>
    <n v="93.1"/>
    <n v="8937.5999999999985"/>
    <n v="32"/>
    <n v="2979.2"/>
    <n v="32"/>
    <n v="2979.2"/>
    <n v="32"/>
    <n v="2979.2"/>
    <n v="96"/>
    <n v="8937.5999999999985"/>
    <s v="Continued"/>
    <n v="45"/>
    <n v="196"/>
    <n v="196"/>
    <n v="437"/>
    <n v="132.5"/>
    <n v="57902.5"/>
    <s v="Fall 2016"/>
    <n v="45"/>
    <n v="5962.5"/>
    <n v="196"/>
    <n v="25970"/>
    <n v="196"/>
    <n v="25970"/>
    <n v="437"/>
    <n v="57902.5"/>
    <s v="Discontinued"/>
    <n v="45"/>
    <n v="196"/>
    <n v="196"/>
    <n v="0"/>
    <n v="0"/>
    <n v="0"/>
    <m/>
    <n v="0"/>
    <n v="0"/>
    <n v="0"/>
    <n v="0"/>
    <n v="0"/>
    <n v="0"/>
    <n v="0"/>
    <n v="0"/>
    <n v="1279.6666666666665"/>
    <n v="173501.43333333332"/>
    <n v="8.3414150641025628"/>
  </r>
  <r>
    <x v="100"/>
    <s v="Completed"/>
    <m/>
    <n v="510776"/>
    <d v="2016-07-01T00:00:00"/>
    <d v="2017-05-31T00:00:00"/>
    <s v="05"/>
    <x v="1"/>
    <x v="0"/>
    <x v="18"/>
    <n v="10400"/>
    <m/>
    <x v="93"/>
    <x v="93"/>
    <s v="Introduction to Criminal Justice"/>
    <s v="CRJU 1100, CRJU 1150"/>
    <s v="Criminal Justice"/>
    <s v="N"/>
    <s v="N"/>
    <s v="N"/>
    <s v="Various OER"/>
    <x v="2"/>
    <s v="Neutral"/>
    <s v="Neutral"/>
    <n v="20989"/>
    <n v="145"/>
    <n v="144.75172413793103"/>
    <n v="48.333333333333336"/>
    <n v="48.333333333333336"/>
    <n v="48.333333333333336"/>
    <s v="Spring 2017"/>
    <s v="N"/>
    <m/>
    <m/>
    <s v="Continued"/>
    <n v="0"/>
    <n v="0"/>
    <n v="0"/>
    <n v="0"/>
    <n v="0"/>
    <n v="0"/>
    <n v="0"/>
    <n v="0"/>
    <n v="48.333333333333336"/>
    <n v="6996.3333333333339"/>
    <n v="48.333333333333336"/>
    <n v="6996.3333333333339"/>
    <n v="48.333333333333336"/>
    <n v="6996.3333333333339"/>
    <n v="48.333333333333336"/>
    <n v="6996.3333333333339"/>
    <n v="48.333333333333336"/>
    <n v="6996.3333333333339"/>
    <n v="145"/>
    <n v="20989"/>
    <n v="48.333333333333336"/>
    <n v="6996.3333333333339"/>
    <n v="48.333333333333336"/>
    <n v="6996.3333333333339"/>
    <n v="48.333333333333336"/>
    <n v="6996.3333333333339"/>
    <n v="145"/>
    <n v="20989"/>
    <x v="0"/>
    <n v="70"/>
    <n v="70"/>
    <n v="70"/>
    <n v="210"/>
    <n v="149.94999999999999"/>
    <n v="31489.499999999996"/>
    <n v="70"/>
    <n v="10496.5"/>
    <n v="70"/>
    <n v="10496.5"/>
    <n v="70"/>
    <n v="10496.5"/>
    <n v="210"/>
    <n v="31489.5"/>
    <s v="Continued"/>
    <n v="24"/>
    <n v="33"/>
    <n v="33"/>
    <n v="90"/>
    <n v="168.95"/>
    <n v="15205.499999999998"/>
    <s v="Spring 2017"/>
    <n v="24"/>
    <n v="4054.7999999999997"/>
    <n v="33"/>
    <n v="5575.3499999999995"/>
    <n v="33"/>
    <n v="5575.3499999999995"/>
    <n v="90"/>
    <n v="15205.5"/>
    <s v="Continued"/>
    <n v="24"/>
    <n v="33"/>
    <n v="33"/>
    <n v="90"/>
    <n v="168.95"/>
    <n v="15205.499999999998"/>
    <m/>
    <n v="24"/>
    <n v="4054.7999999999997"/>
    <n v="33"/>
    <n v="5575.3499999999995"/>
    <n v="33"/>
    <n v="5575.3499999999995"/>
    <n v="90"/>
    <n v="15205.5"/>
    <n v="728.33333333333337"/>
    <n v="110874.83333333334"/>
    <n v="10.661041666666668"/>
  </r>
  <r>
    <x v="101"/>
    <s v="Completed"/>
    <m/>
    <n v="511144"/>
    <d v="2016-07-22T00:00:00"/>
    <d v="2017-05-31T00:00:00"/>
    <s v="05"/>
    <x v="1"/>
    <x v="0"/>
    <x v="4"/>
    <n v="5400"/>
    <m/>
    <x v="73"/>
    <x v="73"/>
    <s v="Introduction to Criminal Justice"/>
    <s v="CRJU 1100, CRJU 1150"/>
    <s v="Criminal Justice"/>
    <s v="N"/>
    <s v="N"/>
    <s v="N"/>
    <s v="Various OER"/>
    <x v="4"/>
    <s v="Duplicate"/>
    <s v="Duplicate"/>
    <n v="20989"/>
    <n v="145"/>
    <n v="144.75172413793103"/>
    <n v="48.333333333333336"/>
    <n v="48.333333333333336"/>
    <n v="48.333333333333336"/>
    <s v="Spring 2017"/>
    <s v="N"/>
    <m/>
    <m/>
    <s v="Continued"/>
    <n v="0"/>
    <n v="0"/>
    <n v="0"/>
    <n v="0"/>
    <n v="0"/>
    <n v="0"/>
    <n v="0"/>
    <n v="0"/>
    <n v="0"/>
    <n v="0"/>
    <n v="0"/>
    <n v="0"/>
    <n v="0"/>
    <n v="0"/>
    <n v="0"/>
    <n v="0"/>
    <n v="48.333333333333336"/>
    <n v="6996.3333333333339"/>
    <n v="48.333333333333336"/>
    <n v="6996.3333333333339"/>
    <n v="48.333333333333336"/>
    <n v="6996.3333333333339"/>
    <n v="48.333333333333336"/>
    <n v="6996.3333333333339"/>
    <n v="48.333333333333336"/>
    <n v="6996.3333333333339"/>
    <n v="145"/>
    <n v="20989"/>
    <x v="0"/>
    <n v="0"/>
    <n v="100"/>
    <n v="100"/>
    <n v="200"/>
    <n v="149.94999999999999"/>
    <n v="29989.999999999996"/>
    <n v="0"/>
    <n v="0"/>
    <n v="100"/>
    <n v="14994.999999999998"/>
    <n v="100"/>
    <n v="14994.999999999998"/>
    <n v="200"/>
    <n v="29989.999999999996"/>
    <s v="Continued"/>
    <n v="100"/>
    <n v="0"/>
    <n v="200"/>
    <n v="300"/>
    <n v="84.95"/>
    <n v="25485"/>
    <s v="Spring 2017"/>
    <n v="100"/>
    <n v="8495"/>
    <n v="0"/>
    <n v="0"/>
    <n v="200"/>
    <n v="16990"/>
    <n v="300"/>
    <n v="25485"/>
    <s v="Continued"/>
    <n v="100"/>
    <n v="0"/>
    <n v="200"/>
    <n v="300"/>
    <n v="84.95"/>
    <n v="25485"/>
    <m/>
    <n v="100"/>
    <n v="8495"/>
    <n v="0"/>
    <n v="0"/>
    <n v="200"/>
    <n v="16990"/>
    <n v="300"/>
    <n v="25485"/>
    <n v="993.33333333333337"/>
    <n v="108945.33333333333"/>
    <n v="20.175061728395061"/>
  </r>
  <r>
    <x v="102"/>
    <s v="Completed"/>
    <m/>
    <n v="510773"/>
    <d v="2017-05-20T00:00:00"/>
    <d v="2017-02-10T00:00:00"/>
    <s v="05"/>
    <x v="1"/>
    <x v="0"/>
    <x v="7"/>
    <n v="10800"/>
    <m/>
    <x v="94"/>
    <x v="94"/>
    <s v="Introduction to Exercise Science"/>
    <s v="KINS 2535"/>
    <s v="Kinesiology"/>
    <s v="N"/>
    <s v="N"/>
    <s v="N"/>
    <s v="Various OER"/>
    <x v="2"/>
    <s v="Positive"/>
    <s v="Neutral"/>
    <n v="59760"/>
    <n v="360"/>
    <n v="166"/>
    <n v="120"/>
    <n v="120"/>
    <n v="120"/>
    <s v="Summer 2016"/>
    <s v="N"/>
    <m/>
    <m/>
    <s v="Continued"/>
    <n v="0"/>
    <n v="0"/>
    <n v="0"/>
    <n v="0"/>
    <n v="0"/>
    <n v="0"/>
    <n v="0"/>
    <n v="0"/>
    <n v="0"/>
    <n v="0"/>
    <n v="0"/>
    <n v="0"/>
    <n v="120"/>
    <n v="19920"/>
    <n v="120"/>
    <n v="19920"/>
    <n v="120"/>
    <n v="19920"/>
    <n v="360"/>
    <n v="59760"/>
    <n v="120"/>
    <n v="19920"/>
    <n v="120"/>
    <n v="19920"/>
    <n v="120"/>
    <n v="19920"/>
    <n v="360"/>
    <n v="59760"/>
    <x v="0"/>
    <n v="50"/>
    <n v="120"/>
    <n v="90"/>
    <n v="260"/>
    <n v="198.95"/>
    <n v="51727"/>
    <n v="50"/>
    <n v="9947.5"/>
    <n v="120"/>
    <n v="23874"/>
    <n v="90"/>
    <n v="17905.5"/>
    <n v="260"/>
    <n v="51727"/>
    <s v="Continued"/>
    <n v="60"/>
    <n v="160"/>
    <n v="100"/>
    <n v="320"/>
    <n v="166"/>
    <n v="53120"/>
    <s v="Summer 2016"/>
    <n v="60"/>
    <n v="9960"/>
    <n v="160"/>
    <n v="26560"/>
    <n v="100"/>
    <n v="16600"/>
    <n v="320"/>
    <n v="53120"/>
    <s v="Timed Out"/>
    <n v="60"/>
    <n v="160"/>
    <n v="100"/>
    <n v="0"/>
    <n v="0"/>
    <n v="0"/>
    <m/>
    <n v="0"/>
    <n v="0"/>
    <n v="0"/>
    <n v="0"/>
    <n v="0"/>
    <n v="0"/>
    <n v="0"/>
    <n v="0"/>
    <n v="1300"/>
    <n v="224367"/>
    <n v="20.774722222222223"/>
  </r>
  <r>
    <x v="103"/>
    <s v="Completed"/>
    <m/>
    <n v="510778"/>
    <d v="2016-04-27T00:00:00"/>
    <d v="2017-05-31T00:00:00"/>
    <s v="05"/>
    <x v="1"/>
    <x v="0"/>
    <x v="7"/>
    <n v="10800"/>
    <m/>
    <x v="95"/>
    <x v="95"/>
    <s v="Quantitative Skills and Reasoning"/>
    <s v="MATH 1001"/>
    <s v="Mathematical Subjects"/>
    <s v="Quantitative Reasoning"/>
    <s v="N"/>
    <s v="N"/>
    <s v="Math in Society"/>
    <x v="2"/>
    <s v="Positive"/>
    <s v="Positive"/>
    <n v="123987.5"/>
    <n v="545"/>
    <n v="227.5"/>
    <n v="181.66666666666666"/>
    <n v="181.66666666666666"/>
    <n v="181.66666666666666"/>
    <s v="Spring 2017"/>
    <s v="N"/>
    <m/>
    <m/>
    <s v="Continued"/>
    <n v="0"/>
    <n v="0"/>
    <n v="0"/>
    <n v="0"/>
    <n v="0"/>
    <n v="0"/>
    <n v="0"/>
    <n v="0"/>
    <n v="0"/>
    <n v="0"/>
    <n v="0"/>
    <n v="0"/>
    <n v="0"/>
    <n v="0"/>
    <n v="0"/>
    <n v="0"/>
    <n v="181.66666666666666"/>
    <n v="41329.166666666664"/>
    <n v="181.66666666666666"/>
    <n v="41329.166666666664"/>
    <n v="181.66666666666666"/>
    <n v="41329.166666666664"/>
    <n v="181.66666666666666"/>
    <n v="41329.166666666664"/>
    <n v="181.66666666666666"/>
    <n v="41329.166666666664"/>
    <n v="545"/>
    <n v="123987.5"/>
    <x v="0"/>
    <n v="60"/>
    <n v="120"/>
    <n v="240"/>
    <n v="420"/>
    <n v="211.4"/>
    <n v="88788"/>
    <n v="60"/>
    <n v="12684"/>
    <n v="120"/>
    <n v="25368"/>
    <n v="240"/>
    <n v="50736"/>
    <n v="420"/>
    <n v="88788"/>
    <s v="Continued"/>
    <n v="40"/>
    <n v="240"/>
    <n v="160"/>
    <n v="440"/>
    <n v="227.99"/>
    <n v="100315.6"/>
    <s v="Spring 2017"/>
    <n v="40"/>
    <n v="9119.6"/>
    <n v="240"/>
    <n v="54717.600000000006"/>
    <n v="160"/>
    <n v="36478.400000000001"/>
    <n v="440"/>
    <n v="100315.6"/>
    <s v="Continued"/>
    <n v="40"/>
    <n v="240"/>
    <n v="160"/>
    <n v="440"/>
    <n v="227.99"/>
    <n v="100315.6"/>
    <m/>
    <n v="40"/>
    <n v="9119.6"/>
    <n v="240"/>
    <n v="54717.600000000006"/>
    <n v="160"/>
    <n v="36478.400000000001"/>
    <n v="440"/>
    <n v="100315.6"/>
    <n v="2026.6666666666665"/>
    <n v="454735.8666666667"/>
    <n v="42.105172839506174"/>
  </r>
  <r>
    <x v="104"/>
    <s v="Completed"/>
    <m/>
    <n v="510775"/>
    <d v="2016-04-28T00:00:00"/>
    <d v="2017-05-31T00:00:00"/>
    <s v="05"/>
    <x v="1"/>
    <x v="0"/>
    <x v="18"/>
    <n v="27900"/>
    <m/>
    <x v="96"/>
    <x v="96"/>
    <s v="College Algebra, Trigonometry and Analytic Geometry, Precalculus"/>
    <s v="MATH 1111, MATH 1112, MATH 1113"/>
    <s v="Mathematical Subjects"/>
    <s v="College Algebra, Trigonometry, Precalculus"/>
    <s v="N"/>
    <s v="Y"/>
    <s v="OpenStax Algebra and Trigonometry, OpenStax Precalculus"/>
    <x v="2"/>
    <s v="Neutral"/>
    <s v="Positive"/>
    <n v="160351.56"/>
    <n v="844"/>
    <n v="189.99"/>
    <n v="281.33333333333331"/>
    <n v="281.33333333333331"/>
    <n v="281.33333333333331"/>
    <s v="Summer 2016"/>
    <s v="N"/>
    <m/>
    <m/>
    <s v="Continued"/>
    <n v="0"/>
    <n v="0"/>
    <n v="0"/>
    <n v="0"/>
    <n v="0"/>
    <n v="0"/>
    <n v="0"/>
    <n v="0"/>
    <n v="0"/>
    <n v="0"/>
    <n v="0"/>
    <n v="0"/>
    <n v="281.33333333333331"/>
    <n v="53450.52"/>
    <n v="281.33333333333331"/>
    <n v="53450.52"/>
    <n v="281.33333333333331"/>
    <n v="53450.52"/>
    <n v="844"/>
    <n v="160351.56"/>
    <n v="281.33333333333331"/>
    <n v="53450.52"/>
    <n v="281.33333333333331"/>
    <n v="53450.52"/>
    <n v="281.33333333333331"/>
    <n v="53450.52"/>
    <n v="844"/>
    <n v="160351.56"/>
    <x v="1"/>
    <n v="0"/>
    <n v="0"/>
    <n v="0"/>
    <n v="0"/>
    <n v="257.8"/>
    <n v="0"/>
    <n v="0"/>
    <n v="0"/>
    <n v="0"/>
    <n v="0"/>
    <n v="0"/>
    <n v="0"/>
    <n v="0"/>
    <n v="0"/>
    <s v="Discontinued"/>
    <n v="0"/>
    <n v="0"/>
    <n v="0"/>
    <n v="0"/>
    <n v="0"/>
    <n v="0"/>
    <s v="Summer 2016"/>
    <n v="0"/>
    <n v="0"/>
    <n v="0"/>
    <n v="0"/>
    <n v="0"/>
    <n v="0"/>
    <n v="0"/>
    <n v="0"/>
    <s v="Discontinued"/>
    <n v="0"/>
    <n v="0"/>
    <n v="0"/>
    <n v="0"/>
    <n v="0"/>
    <n v="0"/>
    <m/>
    <n v="0"/>
    <n v="0"/>
    <n v="0"/>
    <n v="0"/>
    <n v="0"/>
    <n v="0"/>
    <n v="0"/>
    <n v="0"/>
    <n v="1688"/>
    <n v="320703.12"/>
    <n v="11.494735483870967"/>
  </r>
  <r>
    <x v="105"/>
    <s v="Completed"/>
    <m/>
    <n v="510774"/>
    <d v="2018-04-26T00:00:00"/>
    <d v="2017-06-01T00:00:00"/>
    <s v="05"/>
    <x v="1"/>
    <x v="0"/>
    <x v="3"/>
    <n v="10800"/>
    <m/>
    <x v="97"/>
    <x v="97"/>
    <s v="American Government"/>
    <s v="POLS 1101"/>
    <s v="Political Science"/>
    <s v="American Government"/>
    <s v="N"/>
    <s v="Y"/>
    <s v="OpenStax American Government"/>
    <x v="2"/>
    <s v="Positive"/>
    <s v="Neutral"/>
    <n v="59000.37"/>
    <n v="663"/>
    <n v="88.990000000000009"/>
    <n v="221"/>
    <n v="221"/>
    <n v="221"/>
    <s v="Fall 2016"/>
    <s v="N"/>
    <m/>
    <m/>
    <s v="Continued"/>
    <n v="0"/>
    <n v="0"/>
    <n v="0"/>
    <n v="0"/>
    <n v="0"/>
    <n v="0"/>
    <n v="0"/>
    <n v="0"/>
    <n v="0"/>
    <n v="0"/>
    <n v="0"/>
    <n v="0"/>
    <n v="0"/>
    <n v="0"/>
    <n v="221"/>
    <n v="19666.79"/>
    <n v="221"/>
    <n v="19666.79"/>
    <n v="442"/>
    <n v="39333.58"/>
    <n v="221"/>
    <n v="19666.79"/>
    <n v="221"/>
    <n v="19666.79"/>
    <n v="221"/>
    <n v="19666.79"/>
    <n v="663"/>
    <n v="59000.37"/>
    <x v="0"/>
    <n v="17"/>
    <n v="180"/>
    <n v="140"/>
    <n v="337"/>
    <n v="88.99"/>
    <n v="29989.629999999997"/>
    <n v="17"/>
    <n v="1512.83"/>
    <n v="180"/>
    <n v="16018.199999999999"/>
    <n v="140"/>
    <n v="12458.599999999999"/>
    <n v="337"/>
    <n v="29989.629999999997"/>
    <s v="Unknown"/>
    <m/>
    <m/>
    <m/>
    <n v="0"/>
    <m/>
    <n v="0"/>
    <s v="Fall 2016"/>
    <n v="0"/>
    <n v="0"/>
    <n v="0"/>
    <n v="0"/>
    <n v="0"/>
    <n v="0"/>
    <n v="0"/>
    <n v="0"/>
    <s v="Timed Out"/>
    <m/>
    <m/>
    <m/>
    <n v="0"/>
    <n v="0"/>
    <n v="0"/>
    <m/>
    <n v="0"/>
    <n v="0"/>
    <n v="0"/>
    <n v="0"/>
    <n v="0"/>
    <n v="0"/>
    <n v="0"/>
    <n v="0"/>
    <n v="1442"/>
    <n v="128323.58000000002"/>
    <n v="11.881812962962965"/>
  </r>
  <r>
    <x v="106"/>
    <s v="Completed"/>
    <m/>
    <n v="510714"/>
    <d v="2016-05-20T00:00:00"/>
    <d v="2017-05-31T00:00:00"/>
    <s v="05"/>
    <x v="1"/>
    <x v="0"/>
    <x v="14"/>
    <n v="30000"/>
    <m/>
    <x v="98"/>
    <x v="98"/>
    <s v="Introduction to Biology, General Zoology"/>
    <s v="BIOL 1010, BIOL 2154"/>
    <s v="Biological Sciences"/>
    <s v="Introductory Biology I"/>
    <s v="Created Materials"/>
    <s v="Y"/>
    <s v="OpenStax Concepts of Biology"/>
    <x v="2"/>
    <s v="Neutral"/>
    <s v="Neutral"/>
    <n v="259920"/>
    <n v="720"/>
    <n v="361"/>
    <n v="240"/>
    <n v="240"/>
    <n v="240"/>
    <s v="Fall 2016"/>
    <s v="N"/>
    <m/>
    <m/>
    <s v="Continued"/>
    <n v="0"/>
    <n v="0"/>
    <n v="0"/>
    <n v="0"/>
    <n v="0"/>
    <n v="0"/>
    <n v="0"/>
    <n v="0"/>
    <n v="0"/>
    <n v="0"/>
    <n v="0"/>
    <n v="0"/>
    <n v="0"/>
    <n v="0"/>
    <n v="240"/>
    <n v="86640"/>
    <n v="240"/>
    <n v="86640"/>
    <n v="480"/>
    <n v="173280"/>
    <n v="240"/>
    <n v="86640"/>
    <n v="240"/>
    <n v="86640"/>
    <n v="240"/>
    <n v="86640"/>
    <n v="720"/>
    <n v="259920"/>
    <x v="0"/>
    <n v="100"/>
    <n v="300"/>
    <n v="300"/>
    <n v="700"/>
    <n v="418.93"/>
    <n v="293251"/>
    <n v="100"/>
    <n v="41893"/>
    <n v="300"/>
    <n v="125679"/>
    <n v="300"/>
    <n v="125679"/>
    <n v="700"/>
    <n v="293251"/>
    <s v="Continued"/>
    <n v="136"/>
    <n v="475"/>
    <n v="500"/>
    <n v="1111"/>
    <n v="361"/>
    <n v="401071"/>
    <s v="Fall 2016"/>
    <n v="136"/>
    <n v="49096"/>
    <n v="475"/>
    <n v="171475"/>
    <n v="500"/>
    <n v="180500"/>
    <n v="1111"/>
    <n v="401071"/>
    <s v="Continued"/>
    <n v="136"/>
    <n v="475"/>
    <n v="500"/>
    <n v="1111"/>
    <n v="361"/>
    <n v="401071"/>
    <m/>
    <n v="136"/>
    <n v="49096"/>
    <n v="475"/>
    <n v="171475"/>
    <n v="500"/>
    <n v="180500"/>
    <n v="1111"/>
    <n v="401071"/>
    <n v="4122"/>
    <n v="1528593"/>
    <n v="50.953099999999999"/>
  </r>
  <r>
    <x v="107"/>
    <s v="Completed"/>
    <m/>
    <n v="510777"/>
    <d v="2016-05-31T00:00:00"/>
    <d v="2017-05-31T00:00:00"/>
    <s v="05"/>
    <x v="1"/>
    <x v="0"/>
    <x v="15"/>
    <n v="25600"/>
    <m/>
    <x v="99"/>
    <x v="99"/>
    <s v="Introduction to General Psychology"/>
    <s v="PSYC 1101"/>
    <s v="Psychology"/>
    <s v="Introduction to General Psychology"/>
    <s v="N"/>
    <s v="Y"/>
    <s v="OpenStax Psychology"/>
    <x v="2"/>
    <s v="Neutral"/>
    <s v="Negative"/>
    <n v="78331.5"/>
    <n v="845"/>
    <n v="92.7"/>
    <n v="281.66666666666669"/>
    <n v="281.66666666666669"/>
    <n v="281.66666666666669"/>
    <s v="Fall 2016"/>
    <s v="N"/>
    <m/>
    <m/>
    <s v="Continued"/>
    <n v="0"/>
    <n v="0"/>
    <n v="0"/>
    <n v="0"/>
    <n v="0"/>
    <n v="0"/>
    <n v="0"/>
    <n v="0"/>
    <n v="0"/>
    <n v="0"/>
    <n v="0"/>
    <n v="0"/>
    <n v="0"/>
    <n v="0"/>
    <n v="281.66666666666669"/>
    <n v="26110.500000000004"/>
    <n v="281.66666666666669"/>
    <n v="26110.500000000004"/>
    <n v="563.33333333333337"/>
    <n v="52221.000000000007"/>
    <n v="281.66666666666669"/>
    <n v="26110.500000000004"/>
    <n v="281.66666666666669"/>
    <n v="26110.500000000004"/>
    <n v="281.66666666666669"/>
    <n v="26110.500000000004"/>
    <n v="845"/>
    <n v="78331.500000000015"/>
    <x v="1"/>
    <n v="0"/>
    <n v="0"/>
    <n v="0"/>
    <n v="0"/>
    <n v="142.97999999999999"/>
    <n v="0"/>
    <n v="0"/>
    <n v="0"/>
    <n v="0"/>
    <n v="0"/>
    <n v="0"/>
    <n v="0"/>
    <n v="0"/>
    <n v="0"/>
    <s v="Discontinued"/>
    <m/>
    <m/>
    <m/>
    <n v="0"/>
    <m/>
    <n v="0"/>
    <s v="Fall 2016"/>
    <n v="0"/>
    <n v="0"/>
    <n v="0"/>
    <n v="0"/>
    <n v="0"/>
    <n v="0"/>
    <n v="0"/>
    <n v="0"/>
    <s v="Discontinued"/>
    <m/>
    <m/>
    <m/>
    <n v="0"/>
    <n v="0"/>
    <n v="0"/>
    <m/>
    <n v="0"/>
    <n v="0"/>
    <n v="0"/>
    <n v="0"/>
    <n v="0"/>
    <n v="0"/>
    <n v="0"/>
    <n v="0"/>
    <n v="1408.3333333333335"/>
    <n v="130552.50000000003"/>
    <n v="5.0997070312500012"/>
  </r>
  <r>
    <x v="108"/>
    <s v="Completed"/>
    <m/>
    <n v="510840"/>
    <d v="2016-12-30T00:00:00"/>
    <d v="2017-05-31T00:00:00"/>
    <s v="05"/>
    <x v="1"/>
    <x v="0"/>
    <x v="14"/>
    <n v="10800"/>
    <m/>
    <x v="100"/>
    <x v="100"/>
    <s v="Introduction to Sociology"/>
    <s v="SOCI 1101"/>
    <s v="Sociology"/>
    <s v="Introduction to Sociology"/>
    <s v="N"/>
    <s v="Y"/>
    <s v="OpenStax Sociology "/>
    <x v="2"/>
    <s v="Neutral"/>
    <s v="Negative"/>
    <n v="69272"/>
    <n v="280"/>
    <n v="247.4"/>
    <n v="93.333333333333329"/>
    <n v="93.333333333333329"/>
    <n v="93.333333333333329"/>
    <s v="Fall 2016"/>
    <s v="N"/>
    <m/>
    <m/>
    <s v="Continued"/>
    <n v="0"/>
    <n v="0"/>
    <n v="0"/>
    <n v="0"/>
    <n v="0"/>
    <n v="0"/>
    <n v="0"/>
    <n v="0"/>
    <n v="0"/>
    <n v="0"/>
    <n v="0"/>
    <n v="0"/>
    <n v="0"/>
    <n v="0"/>
    <n v="93.333333333333329"/>
    <n v="23090.666666666664"/>
    <n v="93.333333333333329"/>
    <n v="23090.666666666664"/>
    <n v="186.66666666666666"/>
    <n v="46181.333333333328"/>
    <n v="93.333333333333329"/>
    <n v="23090.666666666664"/>
    <n v="93.333333333333329"/>
    <n v="23090.666666666664"/>
    <n v="93.333333333333329"/>
    <n v="23090.666666666664"/>
    <n v="280"/>
    <n v="69272"/>
    <x v="0"/>
    <n v="60"/>
    <n v="200"/>
    <n v="200"/>
    <n v="460"/>
    <n v="208.67"/>
    <n v="95988.2"/>
    <n v="60"/>
    <n v="12520.199999999999"/>
    <n v="200"/>
    <n v="41734"/>
    <n v="200"/>
    <n v="41734"/>
    <n v="460"/>
    <n v="95988.2"/>
    <s v="Continued"/>
    <n v="60"/>
    <n v="200"/>
    <n v="200"/>
    <n v="460"/>
    <n v="247.5"/>
    <n v="113850"/>
    <s v="Fall 2016"/>
    <n v="60"/>
    <n v="14850"/>
    <n v="200"/>
    <n v="49500"/>
    <n v="200"/>
    <n v="49500"/>
    <n v="460"/>
    <n v="113850"/>
    <s v="Continued"/>
    <n v="60"/>
    <n v="200"/>
    <n v="200"/>
    <n v="460"/>
    <n v="247.5"/>
    <n v="113850"/>
    <m/>
    <n v="60"/>
    <n v="14850"/>
    <n v="200"/>
    <n v="49500"/>
    <n v="200"/>
    <n v="49500"/>
    <n v="460"/>
    <n v="113850"/>
    <n v="1846.6666666666665"/>
    <n v="439141.53333333333"/>
    <n v="40.661253086419755"/>
  </r>
  <r>
    <x v="109"/>
    <s v="Completed"/>
    <m/>
    <n v="510713"/>
    <d v="2017-05-20T00:00:00"/>
    <d v="2018-05-24T00:00:00"/>
    <s v="05"/>
    <x v="1"/>
    <x v="0"/>
    <x v="1"/>
    <n v="10800"/>
    <m/>
    <x v="101"/>
    <x v="101"/>
    <s v="Foundations of Health Information Technology"/>
    <s v="IT 3503, IT 6503"/>
    <s v="Computing Disciplines"/>
    <s v="N"/>
    <s v="Created Materials"/>
    <s v="N"/>
    <s v="Foundations of Health Information Technology"/>
    <x v="2"/>
    <s v="Neutral"/>
    <s v="Neutral"/>
    <n v="23936"/>
    <n v="160"/>
    <n v="149.6"/>
    <n v="53.333333333333336"/>
    <n v="53.333333333333336"/>
    <n v="53.333333333333336"/>
    <s v="Fall 2016"/>
    <s v="N"/>
    <m/>
    <m/>
    <s v="Continued"/>
    <n v="0"/>
    <n v="0"/>
    <n v="0"/>
    <n v="0"/>
    <n v="0"/>
    <n v="0"/>
    <n v="0"/>
    <n v="0"/>
    <n v="0"/>
    <n v="0"/>
    <n v="0"/>
    <n v="0"/>
    <n v="0"/>
    <n v="0"/>
    <n v="53.333333333333336"/>
    <n v="7978.666666666667"/>
    <n v="53.333333333333336"/>
    <n v="7978.666666666667"/>
    <n v="106.66666666666667"/>
    <n v="15957.333333333334"/>
    <n v="53.333333333333336"/>
    <n v="7978.666666666667"/>
    <n v="53.333333333333336"/>
    <n v="7978.666666666667"/>
    <n v="53.333333333333336"/>
    <n v="7978.666666666667"/>
    <n v="160"/>
    <n v="23936"/>
    <x v="0"/>
    <n v="30"/>
    <n v="65"/>
    <n v="45"/>
    <n v="140"/>
    <n v="145.5"/>
    <n v="20370"/>
    <n v="30"/>
    <n v="4365"/>
    <n v="65"/>
    <n v="9457.5"/>
    <n v="45"/>
    <n v="6547.5"/>
    <n v="140"/>
    <n v="20370"/>
    <s v="Continued"/>
    <n v="30"/>
    <n v="65"/>
    <n v="45"/>
    <n v="140"/>
    <n v="149.6"/>
    <n v="20944"/>
    <s v="Fall 2016"/>
    <n v="30"/>
    <n v="4488"/>
    <n v="65"/>
    <n v="9724"/>
    <n v="45"/>
    <n v="6732"/>
    <n v="140"/>
    <n v="20944"/>
    <s v="Continued"/>
    <n v="30"/>
    <n v="65"/>
    <n v="45"/>
    <n v="140"/>
    <n v="149.6"/>
    <n v="20944"/>
    <m/>
    <n v="30"/>
    <n v="4488"/>
    <n v="65"/>
    <n v="9724"/>
    <n v="45"/>
    <n v="6732"/>
    <n v="140"/>
    <n v="20944"/>
    <n v="686.66666666666674"/>
    <n v="102151.33333333334"/>
    <n v="9.4584567901234582"/>
  </r>
  <r>
    <x v="110"/>
    <s v="Completed"/>
    <m/>
    <n v="511235"/>
    <d v="2016-11-30T00:00:00"/>
    <d v="2017-05-31T00:00:00"/>
    <s v="Open Math"/>
    <x v="3"/>
    <x v="0"/>
    <x v="20"/>
    <n v="8800"/>
    <m/>
    <x v="48"/>
    <x v="48"/>
    <n v="0"/>
    <n v="0"/>
    <s v="Mathematical Subjects"/>
    <s v="N"/>
    <s v="N"/>
    <s v="N"/>
    <n v="0"/>
    <x v="3"/>
    <s v="Not Measured"/>
    <s v="Not Measured"/>
    <n v="0"/>
    <n v="0"/>
    <n v="0"/>
    <n v="0"/>
    <n v="0"/>
    <n v="0"/>
    <s v="Fall 2016"/>
    <s v="N"/>
    <m/>
    <m/>
    <s v="Continued"/>
    <n v="0"/>
    <n v="0"/>
    <n v="0"/>
    <n v="0"/>
    <n v="0"/>
    <n v="0"/>
    <n v="0"/>
    <n v="0"/>
    <n v="0"/>
    <n v="0"/>
    <n v="0"/>
    <n v="0"/>
    <n v="0"/>
    <n v="0"/>
    <n v="0"/>
    <n v="0"/>
    <n v="0"/>
    <n v="0"/>
    <n v="0"/>
    <n v="0"/>
    <n v="0"/>
    <n v="0"/>
    <n v="0"/>
    <n v="0"/>
    <n v="0"/>
    <n v="0"/>
    <n v="0"/>
    <n v="0"/>
    <x v="0"/>
    <n v="0"/>
    <n v="0"/>
    <n v="0"/>
    <n v="0"/>
    <n v="0"/>
    <n v="0"/>
    <n v="0"/>
    <n v="0"/>
    <n v="0"/>
    <n v="0"/>
    <n v="0"/>
    <n v="0"/>
    <n v="0"/>
    <n v="0"/>
    <s v="Continued"/>
    <n v="0"/>
    <n v="0"/>
    <n v="0"/>
    <n v="0"/>
    <n v="0"/>
    <n v="0"/>
    <s v="Fall 2016"/>
    <n v="0"/>
    <n v="0"/>
    <n v="0"/>
    <n v="0"/>
    <n v="0"/>
    <n v="0"/>
    <n v="0"/>
    <n v="0"/>
    <s v="Continued"/>
    <n v="0"/>
    <n v="0"/>
    <n v="0"/>
    <n v="0"/>
    <n v="0"/>
    <n v="0"/>
    <m/>
    <n v="0"/>
    <n v="0"/>
    <n v="0"/>
    <n v="0"/>
    <n v="0"/>
    <n v="0"/>
    <n v="0"/>
    <n v="0"/>
    <n v="0"/>
    <n v="0"/>
    <n v="0"/>
  </r>
  <r>
    <x v="111"/>
    <s v="Completed"/>
    <m/>
    <n v="511239"/>
    <d v="2016-09-28T00:00:00"/>
    <d v="2017-05-31T00:00:00"/>
    <s v="Open Math"/>
    <x v="3"/>
    <x v="0"/>
    <x v="24"/>
    <n v="4800"/>
    <m/>
    <x v="102"/>
    <x v="102"/>
    <s v="College Algebra"/>
    <s v="MATH 1111"/>
    <s v="Mathematical Subjects"/>
    <s v="College Algebra"/>
    <s v="N"/>
    <s v="Y"/>
    <s v="OpenStax Algebra and Trigonometry"/>
    <x v="3"/>
    <s v="Not Measured"/>
    <s v="Not Measured"/>
    <n v="184660"/>
    <n v="1320"/>
    <n v="139.89393939393941"/>
    <n v="440"/>
    <n v="440"/>
    <n v="440"/>
    <s v="Fall 2016"/>
    <s v="Y"/>
    <n v="344"/>
    <s v="Fall 2018"/>
    <s v="Continued"/>
    <n v="0"/>
    <n v="0"/>
    <n v="0"/>
    <n v="0"/>
    <n v="0"/>
    <n v="0"/>
    <n v="0"/>
    <n v="0"/>
    <n v="0"/>
    <n v="0"/>
    <n v="0"/>
    <n v="0"/>
    <n v="0"/>
    <n v="0"/>
    <n v="440"/>
    <n v="61553.333333333336"/>
    <n v="440"/>
    <n v="61553.333333333336"/>
    <n v="880"/>
    <n v="123106.66666666667"/>
    <n v="440"/>
    <n v="61553.333333333336"/>
    <n v="440"/>
    <n v="61553.333333333336"/>
    <n v="440"/>
    <n v="61553.333333333336"/>
    <n v="1320"/>
    <n v="184660"/>
    <x v="0"/>
    <n v="440"/>
    <n v="440"/>
    <n v="440"/>
    <n v="1320"/>
    <n v="188"/>
    <n v="248160"/>
    <n v="440"/>
    <n v="82720"/>
    <n v="0"/>
    <n v="0"/>
    <n v="0"/>
    <n v="0"/>
    <n v="440"/>
    <n v="82720"/>
    <s v="Scaled"/>
    <n v="0"/>
    <n v="0"/>
    <n v="0"/>
    <n v="0"/>
    <n v="0"/>
    <n v="0"/>
    <s v="Fall 2016"/>
    <n v="0"/>
    <n v="0"/>
    <n v="0"/>
    <n v="0"/>
    <n v="0"/>
    <n v="0"/>
    <n v="0"/>
    <n v="0"/>
    <s v="Scaled"/>
    <n v="0"/>
    <n v="0"/>
    <n v="0"/>
    <n v="0"/>
    <n v="0"/>
    <n v="0"/>
    <m/>
    <n v="0"/>
    <n v="0"/>
    <n v="0"/>
    <n v="0"/>
    <n v="0"/>
    <n v="0"/>
    <n v="0"/>
    <n v="0"/>
    <n v="2640"/>
    <n v="390486.66666666669"/>
    <n v="81.351388888888891"/>
  </r>
  <r>
    <x v="112"/>
    <s v="Completed"/>
    <m/>
    <n v="511234"/>
    <d v="2016-11-11T00:00:00"/>
    <d v="2017-05-31T00:00:00"/>
    <s v="Open Math"/>
    <x v="3"/>
    <x v="0"/>
    <x v="25"/>
    <n v="2400"/>
    <m/>
    <x v="103"/>
    <x v="103"/>
    <s v="Elementary Statistics"/>
    <s v="MATH 1114"/>
    <s v="Mathematical Subjects"/>
    <s v="N"/>
    <s v="N"/>
    <s v="Y"/>
    <s v="OpenStax Introductory Statistics"/>
    <x v="3"/>
    <s v="Not Measured"/>
    <s v="Not Measured"/>
    <n v="36975"/>
    <n v="150"/>
    <n v="246.5"/>
    <n v="50"/>
    <n v="50"/>
    <n v="50"/>
    <s v="Fall 2016"/>
    <s v="N"/>
    <m/>
    <m/>
    <s v="Continued"/>
    <n v="0"/>
    <n v="0"/>
    <n v="0"/>
    <n v="0"/>
    <n v="0"/>
    <n v="0"/>
    <n v="0"/>
    <n v="0"/>
    <n v="0"/>
    <n v="0"/>
    <n v="0"/>
    <n v="0"/>
    <n v="0"/>
    <n v="0"/>
    <n v="50"/>
    <n v="12325"/>
    <n v="50"/>
    <n v="12325"/>
    <n v="100"/>
    <n v="24650"/>
    <n v="50"/>
    <n v="12325"/>
    <n v="50"/>
    <n v="12325"/>
    <n v="50"/>
    <n v="12325"/>
    <n v="150"/>
    <n v="36975"/>
    <x v="0"/>
    <n v="0"/>
    <n v="90"/>
    <n v="90"/>
    <n v="180"/>
    <n v="188"/>
    <n v="33840"/>
    <n v="0"/>
    <n v="0"/>
    <n v="90"/>
    <n v="16920"/>
    <n v="90"/>
    <n v="16920"/>
    <n v="180"/>
    <n v="33840"/>
    <s v="Discontinued"/>
    <n v="0"/>
    <n v="0"/>
    <n v="0"/>
    <n v="0"/>
    <n v="0"/>
    <n v="0"/>
    <s v="Fall 2016"/>
    <n v="0"/>
    <n v="0"/>
    <n v="0"/>
    <n v="0"/>
    <n v="0"/>
    <n v="0"/>
    <n v="0"/>
    <n v="0"/>
    <s v="Discontinued"/>
    <n v="0"/>
    <n v="0"/>
    <n v="0"/>
    <n v="0"/>
    <n v="0"/>
    <n v="0"/>
    <m/>
    <n v="0"/>
    <n v="0"/>
    <n v="0"/>
    <n v="0"/>
    <n v="0"/>
    <n v="0"/>
    <n v="0"/>
    <n v="0"/>
    <n v="430"/>
    <n v="95465"/>
    <n v="39.77708333333333"/>
  </r>
  <r>
    <x v="113"/>
    <s v="Completed"/>
    <m/>
    <n v="511236"/>
    <d v="2016-09-13T00:00:00"/>
    <d v="2017-05-31T00:00:00"/>
    <s v="Open Math"/>
    <x v="3"/>
    <x v="0"/>
    <x v="9"/>
    <n v="4800"/>
    <m/>
    <x v="104"/>
    <x v="104"/>
    <s v="College Algebra, Introduction to Statistics"/>
    <s v="MATH 1111, MATH 1121"/>
    <s v="Mathematical Subjects"/>
    <s v="College Algebra"/>
    <s v="Created Materials"/>
    <s v="Y"/>
    <s v="OpenStax Algebra and Trigonometry"/>
    <x v="3"/>
    <s v="Not Measured"/>
    <s v="Not Measured"/>
    <n v="34752.5"/>
    <n v="290"/>
    <n v="119.83620689655173"/>
    <n v="96.666666666666671"/>
    <n v="96.666666666666671"/>
    <n v="96.666666666666671"/>
    <s v="Fall 2016"/>
    <s v="N"/>
    <m/>
    <m/>
    <s v="Continued"/>
    <n v="0"/>
    <n v="0"/>
    <n v="0"/>
    <n v="0"/>
    <n v="0"/>
    <n v="0"/>
    <n v="0"/>
    <n v="0"/>
    <n v="0"/>
    <n v="0"/>
    <n v="0"/>
    <n v="0"/>
    <n v="0"/>
    <n v="0"/>
    <n v="96.666666666666671"/>
    <n v="11584.166666666668"/>
    <n v="96.666666666666671"/>
    <n v="11584.166666666668"/>
    <n v="193.33333333333334"/>
    <n v="23168.333333333336"/>
    <n v="96.666666666666671"/>
    <n v="11584.166666666668"/>
    <n v="96.666666666666671"/>
    <n v="11584.166666666668"/>
    <n v="96.666666666666671"/>
    <n v="11584.166666666668"/>
    <n v="290"/>
    <n v="34752.5"/>
    <x v="1"/>
    <n v="0"/>
    <n v="0"/>
    <n v="0"/>
    <n v="0"/>
    <n v="188"/>
    <n v="0"/>
    <n v="0"/>
    <n v="0"/>
    <n v="0"/>
    <n v="0"/>
    <n v="0"/>
    <n v="0"/>
    <n v="0"/>
    <n v="0"/>
    <s v="Discontinued"/>
    <n v="0"/>
    <n v="0"/>
    <n v="0"/>
    <n v="0"/>
    <n v="0"/>
    <n v="0"/>
    <s v="Fall 2016"/>
    <n v="0"/>
    <n v="0"/>
    <n v="0"/>
    <n v="0"/>
    <n v="0"/>
    <n v="0"/>
    <n v="0"/>
    <n v="0"/>
    <s v="Discontinued"/>
    <n v="0"/>
    <n v="0"/>
    <n v="0"/>
    <n v="0"/>
    <n v="0"/>
    <n v="0"/>
    <m/>
    <n v="0"/>
    <n v="0"/>
    <n v="0"/>
    <n v="0"/>
    <n v="0"/>
    <n v="0"/>
    <n v="0"/>
    <n v="0"/>
    <n v="483.33333333333337"/>
    <n v="57920.833333333336"/>
    <n v="12.066840277777779"/>
  </r>
  <r>
    <x v="114"/>
    <s v="Completed"/>
    <m/>
    <n v="511237"/>
    <d v="2016-09-06T00:00:00"/>
    <d v="2017-05-31T00:00:00"/>
    <s v="Open Math"/>
    <x v="3"/>
    <x v="0"/>
    <x v="21"/>
    <n v="2400"/>
    <m/>
    <x v="105"/>
    <x v="105"/>
    <s v="College Algebra"/>
    <s v="MATH 1111"/>
    <s v="Mathematical Subjects"/>
    <s v="College Algebra"/>
    <s v="N"/>
    <s v="Y"/>
    <s v="OpenStax Algebra and Trigonometry"/>
    <x v="3"/>
    <s v="Not Measured"/>
    <s v="Not Measured"/>
    <n v="4400"/>
    <n v="44"/>
    <n v="100"/>
    <n v="14.666666666666666"/>
    <n v="14.666666666666666"/>
    <n v="14.666666666666666"/>
    <s v="Fall 2016"/>
    <s v="N"/>
    <m/>
    <m/>
    <s v="Continued"/>
    <n v="0"/>
    <n v="0"/>
    <n v="0"/>
    <n v="0"/>
    <n v="0"/>
    <n v="0"/>
    <n v="0"/>
    <n v="0"/>
    <n v="0"/>
    <n v="0"/>
    <n v="0"/>
    <n v="0"/>
    <n v="0"/>
    <n v="0"/>
    <n v="14.666666666666666"/>
    <n v="1466.6666666666665"/>
    <n v="14.666666666666666"/>
    <n v="1466.6666666666665"/>
    <n v="29.333333333333332"/>
    <n v="2933.333333333333"/>
    <n v="14.666666666666666"/>
    <n v="1466.6666666666665"/>
    <n v="14.666666666666666"/>
    <n v="1466.6666666666665"/>
    <n v="14.666666666666666"/>
    <n v="1466.6666666666665"/>
    <n v="44"/>
    <n v="4400"/>
    <x v="1"/>
    <n v="0"/>
    <n v="0"/>
    <n v="0"/>
    <n v="0"/>
    <n v="188"/>
    <n v="0"/>
    <n v="0"/>
    <n v="0"/>
    <n v="0"/>
    <n v="0"/>
    <n v="0"/>
    <n v="0"/>
    <n v="0"/>
    <n v="0"/>
    <s v="Discontinued"/>
    <n v="0"/>
    <n v="0"/>
    <n v="0"/>
    <n v="0"/>
    <n v="0"/>
    <n v="0"/>
    <s v="Fall 2016"/>
    <n v="0"/>
    <n v="0"/>
    <n v="0"/>
    <n v="0"/>
    <n v="0"/>
    <n v="0"/>
    <n v="0"/>
    <n v="0"/>
    <s v="Discontinued"/>
    <n v="0"/>
    <n v="0"/>
    <n v="0"/>
    <n v="0"/>
    <n v="0"/>
    <n v="0"/>
    <m/>
    <n v="0"/>
    <n v="0"/>
    <n v="0"/>
    <n v="0"/>
    <n v="0"/>
    <n v="0"/>
    <n v="0"/>
    <n v="0"/>
    <n v="73.333333333333329"/>
    <n v="7333.333333333333"/>
    <n v="3.0555555555555554"/>
  </r>
  <r>
    <x v="115"/>
    <s v="Completed"/>
    <m/>
    <n v="511238"/>
    <d v="2016-08-30T00:00:00"/>
    <d v="2017-05-31T00:00:00"/>
    <s v="Open Math"/>
    <x v="3"/>
    <x v="0"/>
    <x v="14"/>
    <n v="7200"/>
    <m/>
    <x v="106"/>
    <x v="106"/>
    <s v="College Algebra, Precalculus, Elementary Statistics"/>
    <s v="MATH 1111, MATH 1113, MATH 2200"/>
    <s v="Mathematical Subjects"/>
    <s v="College Algebra, Precalculus"/>
    <s v="Created Materials"/>
    <s v="Y"/>
    <s v="OpenStax Algebra and Trigonometry"/>
    <x v="3"/>
    <s v="Not Measured"/>
    <s v="Not Measured"/>
    <n v="1169666"/>
    <n v="3017"/>
    <n v="387.6917467683129"/>
    <n v="1005.6666666666666"/>
    <n v="1005.6666666666666"/>
    <n v="1005.6666666666666"/>
    <s v="Fall 2016"/>
    <s v="N"/>
    <m/>
    <m/>
    <s v="Continued"/>
    <n v="0"/>
    <n v="0"/>
    <n v="0"/>
    <n v="0"/>
    <n v="0"/>
    <n v="0"/>
    <n v="0"/>
    <n v="0"/>
    <n v="0"/>
    <n v="0"/>
    <n v="0"/>
    <n v="0"/>
    <n v="0"/>
    <n v="0"/>
    <n v="1005.6666666666666"/>
    <n v="389888.66666666663"/>
    <n v="1005.6666666666666"/>
    <n v="389888.66666666663"/>
    <n v="2011.3333333333333"/>
    <n v="779777.33333333326"/>
    <n v="1005.6666666666666"/>
    <n v="389888.66666666663"/>
    <n v="1005.6666666666666"/>
    <n v="389888.66666666663"/>
    <n v="1005.6666666666666"/>
    <n v="389888.66666666663"/>
    <n v="3017"/>
    <n v="1169666"/>
    <x v="0"/>
    <n v="990"/>
    <n v="200"/>
    <n v="1261"/>
    <n v="2451"/>
    <n v="188"/>
    <n v="460788"/>
    <n v="990"/>
    <n v="186120"/>
    <n v="200"/>
    <n v="37600"/>
    <n v="1261"/>
    <n v="237068"/>
    <n v="2451"/>
    <n v="460788"/>
    <s v="Continued"/>
    <n v="272"/>
    <n v="1574"/>
    <n v="824"/>
    <n v="2670"/>
    <n v="387.69"/>
    <n v="1035132.3"/>
    <s v="Fall 2016"/>
    <n v="272"/>
    <n v="105451.68"/>
    <n v="1574"/>
    <n v="610224.05999999994"/>
    <n v="824"/>
    <n v="319456.56"/>
    <n v="2670"/>
    <n v="1035132.3"/>
    <s v="Continued"/>
    <n v="272"/>
    <n v="1574"/>
    <n v="824"/>
    <n v="2670"/>
    <n v="387.69"/>
    <n v="1035132.3"/>
    <m/>
    <n v="272"/>
    <n v="105451.68"/>
    <n v="1574"/>
    <n v="610224.05999999994"/>
    <n v="824"/>
    <n v="319456.56"/>
    <n v="2670"/>
    <n v="1035132.3"/>
    <n v="12819.333333333332"/>
    <n v="4480495.9333333327"/>
    <n v="622.29110185185175"/>
  </r>
  <r>
    <x v="116"/>
    <s v="Completed"/>
    <m/>
    <n v="511578"/>
    <d v="2016-11-11T00:00:00"/>
    <d v="2018-01-09T00:00:00"/>
    <s v="06"/>
    <x v="3"/>
    <x v="0"/>
    <x v="18"/>
    <n v="10800"/>
    <m/>
    <x v="107"/>
    <x v="107"/>
    <s v="Legal Issues for Managers, Legal Environment of Business"/>
    <s v="TECH 3115, BLAW 2106"/>
    <s v="Business Administration, Management, and Economics"/>
    <s v="Environment of Business"/>
    <s v="N"/>
    <s v="N"/>
    <s v="Saylor Foundations of Business Law and the Legal Environment"/>
    <x v="2"/>
    <s v="Positive"/>
    <s v="Positive"/>
    <n v="30446.3"/>
    <n v="359"/>
    <n v="84.808635097493038"/>
    <n v="119.66666666666667"/>
    <n v="119.66666666666667"/>
    <n v="119.66666666666667"/>
    <s v="Fall 2017"/>
    <s v="N"/>
    <m/>
    <m/>
    <s v="Continued"/>
    <n v="0"/>
    <n v="0"/>
    <n v="0"/>
    <n v="0"/>
    <n v="0"/>
    <n v="0"/>
    <n v="0"/>
    <n v="0"/>
    <n v="0"/>
    <n v="0"/>
    <n v="0"/>
    <n v="0"/>
    <n v="0"/>
    <n v="0"/>
    <n v="0"/>
    <n v="0"/>
    <n v="0"/>
    <n v="0"/>
    <n v="0"/>
    <n v="0"/>
    <n v="0"/>
    <n v="0"/>
    <n v="119.66666666666667"/>
    <n v="10148.766666666666"/>
    <n v="119.66666666666667"/>
    <n v="10148.766666666666"/>
    <n v="239.33333333333334"/>
    <n v="20297.533333333333"/>
    <x v="0"/>
    <n v="61"/>
    <n v="120"/>
    <n v="112"/>
    <n v="293"/>
    <n v="155.97"/>
    <n v="45699.21"/>
    <n v="61"/>
    <n v="9514.17"/>
    <n v="120"/>
    <n v="18716.400000000001"/>
    <n v="112"/>
    <n v="17468.64"/>
    <n v="293"/>
    <n v="45699.21"/>
    <s v="Continued"/>
    <n v="0"/>
    <n v="46"/>
    <n v="46"/>
    <n v="92"/>
    <n v="104.49"/>
    <n v="9613.08"/>
    <s v="Fall 2017"/>
    <n v="0"/>
    <n v="0"/>
    <n v="46"/>
    <n v="4806.54"/>
    <n v="46"/>
    <n v="4806.54"/>
    <n v="92"/>
    <n v="9613.08"/>
    <s v="Continued"/>
    <n v="0"/>
    <n v="46"/>
    <n v="46"/>
    <n v="92"/>
    <n v="104.49"/>
    <n v="9613.08"/>
    <m/>
    <n v="0"/>
    <n v="0"/>
    <n v="46"/>
    <n v="4806.54"/>
    <n v="46"/>
    <n v="4806.54"/>
    <n v="92"/>
    <n v="9613.08"/>
    <n v="716.33333333333337"/>
    <n v="85222.903333333335"/>
    <n v="7.8910095679012349"/>
  </r>
  <r>
    <x v="117"/>
    <s v="Completed"/>
    <m/>
    <n v="512205"/>
    <d v="2017-03-20T00:00:00"/>
    <d v="2018-01-09T00:00:00"/>
    <s v="06"/>
    <x v="3"/>
    <x v="0"/>
    <x v="10"/>
    <n v="30000"/>
    <m/>
    <x v="108"/>
    <x v="108"/>
    <s v="Elementary Spanish"/>
    <s v="SPAN 1001"/>
    <s v="Foreign Languages"/>
    <s v="Elementary Spanish I"/>
    <s v="Created Materials"/>
    <s v="N"/>
    <s v="Original "/>
    <x v="2"/>
    <s v="Positive"/>
    <s v="Positive"/>
    <n v="781830"/>
    <n v="3066"/>
    <n v="255"/>
    <n v="1022"/>
    <n v="1022"/>
    <n v="1022"/>
    <s v="Spring 2017"/>
    <s v="N"/>
    <m/>
    <m/>
    <s v="Continued"/>
    <n v="0"/>
    <n v="0"/>
    <n v="0"/>
    <n v="0"/>
    <n v="0"/>
    <n v="0"/>
    <n v="0"/>
    <n v="0"/>
    <n v="0"/>
    <n v="0"/>
    <n v="0"/>
    <n v="0"/>
    <n v="0"/>
    <n v="0"/>
    <n v="0"/>
    <n v="0"/>
    <n v="1022"/>
    <n v="260610"/>
    <n v="1022"/>
    <n v="260610"/>
    <n v="1022"/>
    <n v="260610"/>
    <n v="1022"/>
    <n v="260610"/>
    <n v="1022"/>
    <n v="260610"/>
    <n v="3066"/>
    <n v="781830"/>
    <x v="0"/>
    <n v="600"/>
    <n v="1800"/>
    <n v="1800"/>
    <n v="4200"/>
    <n v="100"/>
    <n v="420000"/>
    <n v="600"/>
    <n v="60000"/>
    <n v="1800"/>
    <n v="180000"/>
    <n v="1800"/>
    <n v="180000"/>
    <n v="4200"/>
    <n v="420000"/>
    <s v="Discontinued"/>
    <n v="0"/>
    <n v="0"/>
    <n v="0"/>
    <n v="0"/>
    <m/>
    <n v="0"/>
    <s v="Spring 2017"/>
    <n v="0"/>
    <n v="0"/>
    <n v="0"/>
    <n v="0"/>
    <n v="0"/>
    <n v="0"/>
    <n v="0"/>
    <n v="0"/>
    <s v="Discontinued"/>
    <n v="0"/>
    <n v="0"/>
    <n v="0"/>
    <n v="0"/>
    <m/>
    <n v="0"/>
    <m/>
    <n v="0"/>
    <n v="0"/>
    <n v="0"/>
    <n v="0"/>
    <n v="0"/>
    <n v="0"/>
    <n v="0"/>
    <n v="0"/>
    <n v="8288"/>
    <n v="1462440"/>
    <n v="48.747999999999998"/>
  </r>
  <r>
    <x v="118"/>
    <s v="Completed"/>
    <m/>
    <n v="511663"/>
    <d v="2016-12-06T00:00:00"/>
    <d v="2018-01-09T00:00:00"/>
    <s v="06"/>
    <x v="3"/>
    <x v="0"/>
    <x v="8"/>
    <n v="25800"/>
    <m/>
    <x v="109"/>
    <x v="109"/>
    <s v="Introductory and Honors Organismal Biology"/>
    <s v="BIOL 1520, BIOL 1521"/>
    <s v="Biological Sciences"/>
    <s v="N"/>
    <s v="Created Materials"/>
    <s v="Y"/>
    <s v="OpenStax Biology"/>
    <x v="2"/>
    <s v="Neutral"/>
    <s v="Neutral"/>
    <n v="97080"/>
    <n v="400"/>
    <n v="242.7"/>
    <n v="133.33333333333334"/>
    <n v="133.33333333333334"/>
    <n v="133.33333333333334"/>
    <s v="Fall 2017"/>
    <s v="N"/>
    <m/>
    <m/>
    <s v="Continued"/>
    <n v="0"/>
    <n v="0"/>
    <n v="0"/>
    <n v="0"/>
    <n v="0"/>
    <n v="0"/>
    <n v="0"/>
    <n v="0"/>
    <n v="0"/>
    <n v="0"/>
    <n v="0"/>
    <n v="0"/>
    <n v="0"/>
    <n v="0"/>
    <n v="0"/>
    <n v="0"/>
    <n v="0"/>
    <n v="0"/>
    <n v="0"/>
    <n v="0"/>
    <n v="0"/>
    <n v="0"/>
    <n v="133.33333333333334"/>
    <n v="32360"/>
    <n v="133.33333333333334"/>
    <n v="32360"/>
    <n v="266.66666666666669"/>
    <n v="64720"/>
    <x v="0"/>
    <n v="0"/>
    <n v="120"/>
    <n v="200"/>
    <n v="320"/>
    <n v="268.93"/>
    <n v="86057.600000000006"/>
    <n v="0"/>
    <n v="0"/>
    <n v="120"/>
    <n v="32271.600000000002"/>
    <n v="200"/>
    <n v="53786"/>
    <n v="320"/>
    <n v="86057.600000000006"/>
    <s v="Continued"/>
    <n v="0"/>
    <n v="110"/>
    <n v="180"/>
    <n v="290"/>
    <n v="245.99"/>
    <n v="71337.100000000006"/>
    <s v="Fall 2017"/>
    <n v="0"/>
    <n v="0"/>
    <n v="110"/>
    <n v="27058.9"/>
    <n v="180"/>
    <n v="44278.200000000004"/>
    <n v="290"/>
    <n v="71337.100000000006"/>
    <s v="Continued"/>
    <n v="0"/>
    <n v="110"/>
    <n v="180"/>
    <n v="290"/>
    <n v="245.99"/>
    <n v="71337.100000000006"/>
    <m/>
    <n v="0"/>
    <n v="0"/>
    <n v="110"/>
    <n v="27058.9"/>
    <n v="180"/>
    <n v="44278.200000000004"/>
    <n v="290"/>
    <n v="71337.100000000006"/>
    <n v="1166.6666666666667"/>
    <n v="293451.80000000005"/>
    <n v="11.374100775193801"/>
  </r>
  <r>
    <x v="119"/>
    <s v="Completed"/>
    <m/>
    <n v="511493"/>
    <d v="2016-10-20T00:00:00"/>
    <d v="2018-01-09T00:00:00"/>
    <s v="06"/>
    <x v="3"/>
    <x v="0"/>
    <x v="9"/>
    <n v="10800"/>
    <m/>
    <x v="110"/>
    <x v="110"/>
    <s v="World Civilization until 1648"/>
    <s v="HIST 1111"/>
    <s v="History"/>
    <s v="Survey of World History I"/>
    <s v="Created Materials"/>
    <s v="N"/>
    <s v="Various OER"/>
    <x v="2"/>
    <s v="Negative"/>
    <s v="Negative"/>
    <n v="18008.22"/>
    <n v="90"/>
    <n v="200.09133333333335"/>
    <n v="30"/>
    <n v="30"/>
    <n v="30"/>
    <s v="Spring 2017"/>
    <s v="N"/>
    <m/>
    <m/>
    <s v="Continued"/>
    <n v="0"/>
    <n v="0"/>
    <n v="0"/>
    <n v="0"/>
    <n v="0"/>
    <n v="0"/>
    <n v="0"/>
    <n v="0"/>
    <n v="0"/>
    <n v="0"/>
    <n v="0"/>
    <n v="0"/>
    <n v="0"/>
    <n v="0"/>
    <n v="0"/>
    <n v="0"/>
    <n v="30"/>
    <n v="6002.7400000000007"/>
    <n v="30"/>
    <n v="6002.7400000000007"/>
    <n v="30"/>
    <n v="6002.7400000000007"/>
    <n v="30"/>
    <n v="6002.7400000000007"/>
    <n v="30"/>
    <n v="6002.7400000000007"/>
    <n v="90"/>
    <n v="18008.22"/>
    <x v="0"/>
    <n v="30"/>
    <n v="60"/>
    <n v="60"/>
    <n v="150"/>
    <n v="124.55"/>
    <n v="18682.5"/>
    <n v="30"/>
    <n v="3736.5"/>
    <n v="60"/>
    <n v="7473"/>
    <n v="60"/>
    <n v="7473"/>
    <n v="150"/>
    <n v="18682.5"/>
    <s v="Discontinued"/>
    <n v="0"/>
    <n v="0"/>
    <n v="0"/>
    <n v="0"/>
    <n v="0"/>
    <n v="0"/>
    <s v="Spring 2017"/>
    <n v="0"/>
    <n v="0"/>
    <n v="0"/>
    <n v="0"/>
    <n v="0"/>
    <n v="0"/>
    <n v="0"/>
    <n v="0"/>
    <s v="Discontinued"/>
    <n v="0"/>
    <n v="0"/>
    <n v="0"/>
    <n v="0"/>
    <n v="0"/>
    <n v="0"/>
    <m/>
    <n v="0"/>
    <n v="0"/>
    <n v="0"/>
    <n v="0"/>
    <n v="0"/>
    <n v="0"/>
    <n v="0"/>
    <n v="0"/>
    <n v="270"/>
    <n v="42693.460000000006"/>
    <n v="3.9530981481481486"/>
  </r>
  <r>
    <x v="120"/>
    <s v="Completed"/>
    <m/>
    <n v="511711"/>
    <d v="2016-12-09T00:00:00"/>
    <d v="2018-01-09T00:00:00"/>
    <s v="06"/>
    <x v="3"/>
    <x v="0"/>
    <x v="3"/>
    <n v="15400"/>
    <m/>
    <x v="111"/>
    <x v="111"/>
    <s v="Calculus and Analytic Geometry"/>
    <s v="MATH 2253, MATH 2254, MATH 2255"/>
    <s v="Mathematical Subjects"/>
    <s v="Calculus I"/>
    <s v="Created Materials"/>
    <s v="N"/>
    <s v="APEX Calculus"/>
    <x v="2"/>
    <s v="Neutral"/>
    <s v="Neutral"/>
    <n v="99086"/>
    <n v="481"/>
    <n v="206"/>
    <n v="160.33333333333334"/>
    <n v="160.33333333333334"/>
    <n v="160.33333333333334"/>
    <s v="Spring 2017"/>
    <s v="N"/>
    <m/>
    <m/>
    <s v="Continued"/>
    <n v="0"/>
    <n v="0"/>
    <n v="0"/>
    <n v="0"/>
    <n v="0"/>
    <n v="0"/>
    <n v="0"/>
    <n v="0"/>
    <n v="0"/>
    <n v="0"/>
    <n v="0"/>
    <n v="0"/>
    <n v="0"/>
    <n v="0"/>
    <n v="0"/>
    <n v="0"/>
    <n v="160.33333333333334"/>
    <n v="33028.666666666672"/>
    <n v="160.33333333333334"/>
    <n v="33028.666666666672"/>
    <n v="160.33333333333334"/>
    <n v="33028.666666666672"/>
    <n v="160.33333333333334"/>
    <n v="33028.666666666672"/>
    <n v="160.33333333333334"/>
    <n v="33028.666666666672"/>
    <n v="481"/>
    <n v="99086.000000000015"/>
    <x v="0"/>
    <n v="60"/>
    <n v="250"/>
    <n v="250"/>
    <n v="560"/>
    <n v="299.95"/>
    <n v="167972"/>
    <n v="60"/>
    <n v="17997"/>
    <n v="250"/>
    <n v="74987.5"/>
    <n v="250"/>
    <n v="74987.5"/>
    <n v="560"/>
    <n v="167972"/>
    <s v="Continued"/>
    <n v="60"/>
    <n v="332"/>
    <n v="225"/>
    <n v="617"/>
    <n v="240"/>
    <n v="148080"/>
    <s v="Spring 2017"/>
    <n v="60"/>
    <n v="14400"/>
    <n v="332"/>
    <n v="79680"/>
    <n v="225"/>
    <n v="54000"/>
    <n v="617"/>
    <n v="148080"/>
    <s v="Continued"/>
    <n v="60"/>
    <n v="332"/>
    <n v="225"/>
    <n v="617"/>
    <n v="240"/>
    <n v="148080"/>
    <m/>
    <n v="60"/>
    <n v="14400"/>
    <n v="332"/>
    <n v="79680"/>
    <n v="225"/>
    <n v="54000"/>
    <n v="617"/>
    <n v="148080"/>
    <n v="2435.3333333333335"/>
    <n v="596246.66666666674"/>
    <n v="38.717316017316023"/>
  </r>
  <r>
    <x v="121"/>
    <s v="Completed"/>
    <m/>
    <n v="511506"/>
    <s v="missing"/>
    <d v="2018-01-09T00:00:00"/>
    <s v="06"/>
    <x v="3"/>
    <x v="0"/>
    <x v="21"/>
    <n v="20800"/>
    <m/>
    <x v="112"/>
    <x v="112"/>
    <s v="American Government"/>
    <s v="POLS 1101"/>
    <s v="Political Science"/>
    <s v="American Government"/>
    <s v="N"/>
    <s v="Y"/>
    <s v="OpenStax American Government"/>
    <x v="0"/>
    <s v="Neutral"/>
    <s v="Neutral"/>
    <n v="132809.60000000001"/>
    <n v="616"/>
    <n v="215.60000000000002"/>
    <n v="205.33333333333334"/>
    <n v="205.33333333333334"/>
    <n v="205.33333333333334"/>
    <s v="Spring 2017"/>
    <s v="N"/>
    <m/>
    <m/>
    <s v="Continued"/>
    <n v="0"/>
    <n v="0"/>
    <n v="0"/>
    <n v="0"/>
    <n v="0"/>
    <n v="0"/>
    <n v="0"/>
    <n v="0"/>
    <n v="0"/>
    <n v="0"/>
    <n v="0"/>
    <n v="0"/>
    <n v="0"/>
    <n v="0"/>
    <n v="0"/>
    <n v="0"/>
    <n v="205.33333333333334"/>
    <n v="44269.866666666676"/>
    <n v="205.33333333333334"/>
    <n v="44269.866666666676"/>
    <n v="205.33333333333334"/>
    <n v="44269.866666666676"/>
    <n v="205.33333333333334"/>
    <n v="44269.866666666676"/>
    <n v="205.33333333333334"/>
    <n v="44269.866666666676"/>
    <n v="616"/>
    <n v="132809.60000000003"/>
    <x v="0"/>
    <n v="205"/>
    <n v="205"/>
    <n v="205"/>
    <n v="615"/>
    <n v="164.67"/>
    <n v="101272.04999999999"/>
    <n v="205"/>
    <n v="33757.35"/>
    <n v="205"/>
    <n v="33757.35"/>
    <n v="205"/>
    <n v="33757.35"/>
    <n v="615"/>
    <n v="101272.04999999999"/>
    <s v="Continued"/>
    <n v="186"/>
    <n v="1257"/>
    <n v="700"/>
    <n v="2143"/>
    <n v="149.71"/>
    <n v="320828.53000000003"/>
    <s v="Spring 2017"/>
    <n v="186"/>
    <n v="27846.06"/>
    <n v="1257"/>
    <n v="188185.47"/>
    <n v="700"/>
    <n v="104797"/>
    <n v="2143"/>
    <n v="320828.53000000003"/>
    <s v="Continued"/>
    <n v="186"/>
    <n v="1257"/>
    <n v="700"/>
    <n v="2143"/>
    <n v="149.71"/>
    <n v="320828.53000000003"/>
    <m/>
    <n v="186"/>
    <n v="27846.06"/>
    <n v="1257"/>
    <n v="188185.47"/>
    <n v="700"/>
    <n v="104797"/>
    <n v="2143"/>
    <n v="320828.53000000003"/>
    <n v="5722.3333333333339"/>
    <n v="920008.57666666678"/>
    <n v="44.231181570512824"/>
  </r>
  <r>
    <x v="122"/>
    <s v="Completed"/>
    <m/>
    <n v="511656"/>
    <d v="2016-10-20T00:00:00"/>
    <d v="2018-01-09T00:00:00"/>
    <s v="06"/>
    <x v="3"/>
    <x v="0"/>
    <x v="13"/>
    <n v="10800"/>
    <m/>
    <x v="18"/>
    <x v="18"/>
    <s v="Microbiology"/>
    <s v="BIOL 2215"/>
    <s v="Biological Sciences"/>
    <s v="N"/>
    <s v="Created Materials"/>
    <s v="Y"/>
    <s v="OpenStax Microbiology"/>
    <x v="2"/>
    <s v="Positive"/>
    <s v="Positive"/>
    <n v="22161"/>
    <n v="72"/>
    <n v="307.79166666666669"/>
    <n v="24"/>
    <n v="24"/>
    <n v="24"/>
    <s v="Fall 2017"/>
    <s v="N"/>
    <m/>
    <m/>
    <s v="Continued"/>
    <n v="0"/>
    <n v="0"/>
    <n v="0"/>
    <n v="0"/>
    <n v="0"/>
    <n v="0"/>
    <n v="0"/>
    <n v="0"/>
    <n v="0"/>
    <n v="0"/>
    <n v="0"/>
    <n v="0"/>
    <n v="0"/>
    <n v="0"/>
    <n v="0"/>
    <n v="0"/>
    <n v="0"/>
    <n v="0"/>
    <n v="0"/>
    <n v="0"/>
    <n v="0"/>
    <n v="0"/>
    <n v="24"/>
    <n v="7387"/>
    <n v="24"/>
    <n v="7387"/>
    <n v="48"/>
    <n v="14774"/>
    <x v="0"/>
    <n v="24"/>
    <n v="24"/>
    <n v="24"/>
    <n v="72"/>
    <n v="314.8"/>
    <n v="22665.600000000002"/>
    <n v="24"/>
    <n v="7555.2000000000007"/>
    <n v="24"/>
    <n v="7555.2000000000007"/>
    <n v="24"/>
    <n v="7555.2000000000007"/>
    <n v="72"/>
    <n v="22665.600000000002"/>
    <s v="Continued"/>
    <n v="24"/>
    <n v="24"/>
    <n v="24"/>
    <n v="72"/>
    <n v="316"/>
    <n v="22752"/>
    <s v="Fall 2017"/>
    <n v="24"/>
    <n v="7584"/>
    <n v="24"/>
    <n v="7584"/>
    <n v="24"/>
    <n v="7584"/>
    <n v="72"/>
    <n v="22752"/>
    <s v="Continued"/>
    <n v="24"/>
    <n v="24"/>
    <n v="24"/>
    <n v="72"/>
    <n v="316"/>
    <n v="22752"/>
    <m/>
    <n v="24"/>
    <n v="7584"/>
    <n v="24"/>
    <n v="7584"/>
    <n v="24"/>
    <n v="7584"/>
    <n v="72"/>
    <n v="22752"/>
    <n v="264"/>
    <n v="82943.600000000006"/>
    <n v="7.6799629629629633"/>
  </r>
  <r>
    <x v="123"/>
    <s v="Completed"/>
    <m/>
    <n v="511656"/>
    <d v="2016-12-05T00:00:00"/>
    <d v="2017-08-28T00:00:00"/>
    <s v="06"/>
    <x v="3"/>
    <x v="0"/>
    <x v="20"/>
    <n v="10800"/>
    <m/>
    <x v="113"/>
    <x v="113"/>
    <s v="Introduction to Psychology"/>
    <s v="PSYC 1101"/>
    <s v="Psychology"/>
    <s v="Introduction to General Psychology"/>
    <s v="Created Materials"/>
    <s v="Y"/>
    <s v="OpenStax Psychology"/>
    <x v="2"/>
    <s v="Positive"/>
    <s v="Positive"/>
    <n v="70308"/>
    <n v="105"/>
    <n v="223"/>
    <n v="35"/>
    <n v="35"/>
    <n v="35"/>
    <s v="Fall 2017"/>
    <s v="N"/>
    <m/>
    <m/>
    <s v="Continued"/>
    <n v="0"/>
    <n v="0"/>
    <n v="0"/>
    <n v="0"/>
    <n v="0"/>
    <n v="0"/>
    <n v="0"/>
    <n v="0"/>
    <n v="0"/>
    <n v="0"/>
    <n v="0"/>
    <n v="0"/>
    <n v="0"/>
    <n v="0"/>
    <n v="0"/>
    <n v="0"/>
    <n v="0"/>
    <n v="0"/>
    <n v="0"/>
    <n v="0"/>
    <n v="0"/>
    <n v="0"/>
    <n v="35"/>
    <n v="7805"/>
    <n v="35"/>
    <n v="7805"/>
    <n v="70"/>
    <n v="15610"/>
    <x v="0"/>
    <n v="60"/>
    <n v="680"/>
    <n v="584"/>
    <n v="1324"/>
    <n v="242.2"/>
    <n v="320672.8"/>
    <n v="60"/>
    <n v="14532"/>
    <n v="680"/>
    <n v="164696"/>
    <n v="584"/>
    <n v="141444.79999999999"/>
    <n v="1324"/>
    <n v="320672.8"/>
    <s v="Continued"/>
    <n v="123"/>
    <n v="478"/>
    <n v="384"/>
    <n v="985"/>
    <n v="223.2"/>
    <n v="219852"/>
    <s v="Fall 2017"/>
    <n v="123"/>
    <n v="27453.599999999999"/>
    <n v="478"/>
    <n v="106689.59999999999"/>
    <n v="384"/>
    <n v="85708.799999999988"/>
    <n v="985"/>
    <n v="219851.99999999997"/>
    <s v="Continued"/>
    <n v="123"/>
    <n v="478"/>
    <n v="384"/>
    <n v="985"/>
    <n v="223.2"/>
    <n v="219852"/>
    <m/>
    <n v="123"/>
    <n v="27453.599999999999"/>
    <n v="478"/>
    <n v="106689.59999999999"/>
    <n v="384"/>
    <n v="85708.799999999988"/>
    <n v="985"/>
    <n v="219851.99999999997"/>
    <n v="3364"/>
    <n v="775986.79999999993"/>
    <n v="71.850629629629623"/>
  </r>
  <r>
    <x v="124"/>
    <s v="Completed"/>
    <m/>
    <n v="511740"/>
    <s v="missing"/>
    <d v="2018-01-09T00:00:00"/>
    <s v="06"/>
    <x v="3"/>
    <x v="0"/>
    <x v="5"/>
    <n v="10800"/>
    <m/>
    <x v="114"/>
    <x v="114"/>
    <s v="Principles of Physics I"/>
    <s v="PHYS 2211"/>
    <s v="Physics and Astronomy"/>
    <s v="Principles of Physics I"/>
    <s v="Created Materials"/>
    <s v="Y"/>
    <s v="OpenStax University Physics Volume I"/>
    <x v="2"/>
    <s v="Positive"/>
    <s v="Neutral"/>
    <n v="61600"/>
    <n v="175"/>
    <n v="352"/>
    <n v="58.333333333333336"/>
    <n v="58.333333333333336"/>
    <n v="58.333333333333336"/>
    <s v="Fall 2017"/>
    <s v="N"/>
    <m/>
    <m/>
    <s v="Continued"/>
    <n v="0"/>
    <n v="0"/>
    <n v="0"/>
    <n v="0"/>
    <n v="0"/>
    <n v="0"/>
    <n v="0"/>
    <n v="0"/>
    <n v="0"/>
    <n v="0"/>
    <n v="0"/>
    <n v="0"/>
    <n v="0"/>
    <n v="0"/>
    <n v="0"/>
    <n v="0"/>
    <n v="0"/>
    <n v="0"/>
    <n v="0"/>
    <n v="0"/>
    <n v="0"/>
    <n v="0"/>
    <n v="58.333333333333336"/>
    <n v="20533.333333333336"/>
    <n v="58.333333333333336"/>
    <n v="20533.333333333336"/>
    <n v="116.66666666666667"/>
    <n v="41066.666666666672"/>
    <x v="1"/>
    <n v="0"/>
    <n v="0"/>
    <n v="0"/>
    <n v="0"/>
    <n v="310.95"/>
    <n v="0"/>
    <n v="0"/>
    <n v="0"/>
    <n v="0"/>
    <n v="0"/>
    <n v="0"/>
    <n v="0"/>
    <n v="0"/>
    <n v="0"/>
    <s v="Discontinued"/>
    <n v="0"/>
    <n v="0"/>
    <n v="0"/>
    <n v="0"/>
    <n v="0"/>
    <n v="0"/>
    <s v="Fall 2017"/>
    <n v="0"/>
    <n v="0"/>
    <n v="0"/>
    <n v="0"/>
    <n v="0"/>
    <n v="0"/>
    <n v="0"/>
    <n v="0"/>
    <s v="Discontinued"/>
    <n v="0"/>
    <n v="0"/>
    <n v="0"/>
    <n v="0"/>
    <n v="0"/>
    <n v="0"/>
    <m/>
    <n v="0"/>
    <n v="0"/>
    <n v="0"/>
    <n v="0"/>
    <n v="0"/>
    <n v="0"/>
    <n v="0"/>
    <n v="0"/>
    <n v="116.66666666666667"/>
    <n v="41066.666666666672"/>
    <n v="3.8024691358024696"/>
  </r>
  <r>
    <x v="125"/>
    <s v="Completed"/>
    <m/>
    <n v="511601"/>
    <d v="2016-11-14T00:00:00"/>
    <d v="2018-01-09T00:00:00"/>
    <s v="06"/>
    <x v="3"/>
    <x v="0"/>
    <x v="14"/>
    <n v="10800"/>
    <m/>
    <x v="98"/>
    <x v="98"/>
    <s v="Plants, Society, and the Environment"/>
    <s v="BIOL 1020"/>
    <s v="Biological Sciences"/>
    <s v="Resources, Society, and the Environment"/>
    <s v="Created Materials"/>
    <s v="N"/>
    <s v="Various OER"/>
    <x v="2"/>
    <s v="Neutral"/>
    <s v="Positive"/>
    <n v="40019.4"/>
    <n v="180"/>
    <n v="222.33"/>
    <n v="60"/>
    <n v="60"/>
    <n v="60"/>
    <s v="Spring 2017"/>
    <s v="N"/>
    <m/>
    <m/>
    <s v="Continued"/>
    <n v="0"/>
    <n v="0"/>
    <n v="0"/>
    <n v="0"/>
    <n v="0"/>
    <n v="0"/>
    <n v="0"/>
    <n v="0"/>
    <n v="0"/>
    <n v="0"/>
    <n v="0"/>
    <n v="0"/>
    <n v="0"/>
    <n v="0"/>
    <n v="0"/>
    <n v="0"/>
    <n v="60"/>
    <n v="13339.800000000001"/>
    <n v="60"/>
    <n v="13339.800000000001"/>
    <n v="60"/>
    <n v="13339.800000000001"/>
    <n v="60"/>
    <n v="13339.800000000001"/>
    <n v="60"/>
    <n v="13339.800000000001"/>
    <n v="180"/>
    <n v="40019.4"/>
    <x v="0"/>
    <n v="60"/>
    <n v="60"/>
    <n v="60"/>
    <n v="180"/>
    <n v="140.08000000000001"/>
    <n v="25214.400000000001"/>
    <n v="60"/>
    <n v="8404.8000000000011"/>
    <n v="60"/>
    <n v="8404.8000000000011"/>
    <n v="60"/>
    <n v="8404.8000000000011"/>
    <n v="180"/>
    <n v="25214.400000000001"/>
    <s v="Continued"/>
    <n v="30"/>
    <n v="60"/>
    <n v="60"/>
    <n v="150"/>
    <n v="222.33"/>
    <n v="33349.5"/>
    <s v="Spring 2017"/>
    <n v="30"/>
    <n v="6669.9000000000005"/>
    <n v="60"/>
    <n v="13339.800000000001"/>
    <n v="60"/>
    <n v="13339.800000000001"/>
    <n v="150"/>
    <n v="33349.5"/>
    <s v="Continued"/>
    <n v="30"/>
    <n v="60"/>
    <n v="60"/>
    <n v="150"/>
    <n v="222.33"/>
    <n v="33349.5"/>
    <m/>
    <n v="30"/>
    <n v="6669.9000000000005"/>
    <n v="60"/>
    <n v="13339.800000000001"/>
    <n v="60"/>
    <n v="13339.800000000001"/>
    <n v="150"/>
    <n v="33349.5"/>
    <n v="720"/>
    <n v="145272.6"/>
    <n v="13.451166666666667"/>
  </r>
  <r>
    <x v="126"/>
    <s v="Completed"/>
    <m/>
    <n v="511494"/>
    <d v="2016-10-20T00:00:00"/>
    <d v="2018-01-09T00:00:00"/>
    <s v="06"/>
    <x v="3"/>
    <x v="0"/>
    <x v="9"/>
    <n v="10800"/>
    <m/>
    <x v="115"/>
    <x v="115"/>
    <s v="Principles of Biology"/>
    <s v="BIOL 1107"/>
    <s v="Biological Sciences"/>
    <s v="Principles of Biology I "/>
    <s v="N"/>
    <s v="Y"/>
    <s v="OpenStax Biology"/>
    <x v="2"/>
    <s v="Neutral"/>
    <s v="Positive"/>
    <n v="46452"/>
    <n v="196"/>
    <n v="237"/>
    <n v="65.333333333333329"/>
    <n v="65.333333333333329"/>
    <n v="65.333333333333329"/>
    <s v="Spring 2017"/>
    <s v="N"/>
    <m/>
    <m/>
    <s v="Continued"/>
    <n v="0"/>
    <n v="0"/>
    <n v="0"/>
    <n v="0"/>
    <n v="0"/>
    <n v="0"/>
    <n v="0"/>
    <n v="0"/>
    <n v="0"/>
    <n v="0"/>
    <n v="0"/>
    <n v="0"/>
    <n v="0"/>
    <n v="0"/>
    <n v="0"/>
    <n v="0"/>
    <n v="65.333333333333329"/>
    <n v="15483.999999999998"/>
    <n v="65.333333333333329"/>
    <n v="15483.999999999998"/>
    <n v="65.333333333333329"/>
    <n v="15483.999999999998"/>
    <n v="65.333333333333329"/>
    <n v="15483.999999999998"/>
    <n v="65.333333333333329"/>
    <n v="15483.999999999998"/>
    <n v="196"/>
    <n v="46451.999999999993"/>
    <x v="0"/>
    <n v="65"/>
    <n v="65"/>
    <n v="65"/>
    <n v="195"/>
    <n v="259.60000000000002"/>
    <n v="50622.000000000007"/>
    <n v="65"/>
    <n v="16874"/>
    <n v="65"/>
    <n v="16874"/>
    <n v="65"/>
    <n v="16874"/>
    <n v="195"/>
    <n v="50622"/>
    <s v="Continued"/>
    <n v="65"/>
    <n v="65"/>
    <n v="65"/>
    <n v="195"/>
    <n v="204.18"/>
    <n v="39815.1"/>
    <s v="Spring 2017"/>
    <n v="65"/>
    <n v="13271.7"/>
    <n v="65"/>
    <n v="13271.7"/>
    <n v="65"/>
    <n v="13271.7"/>
    <n v="195"/>
    <n v="39815.100000000006"/>
    <s v="Continued"/>
    <n v="65"/>
    <n v="65"/>
    <n v="65"/>
    <n v="195"/>
    <n v="204.18"/>
    <n v="39815.1"/>
    <m/>
    <n v="65"/>
    <n v="13271.7"/>
    <n v="65"/>
    <n v="13271.7"/>
    <n v="65"/>
    <n v="13271.7"/>
    <n v="195"/>
    <n v="39815.100000000006"/>
    <n v="846.33333333333326"/>
    <n v="192188.2"/>
    <n v="17.795203703703706"/>
  </r>
  <r>
    <x v="127"/>
    <s v="Completed"/>
    <m/>
    <n v="511603"/>
    <d v="2016-11-15T00:00:00"/>
    <d v="2018-01-09T00:00:00"/>
    <s v="06"/>
    <x v="3"/>
    <x v="0"/>
    <x v="19"/>
    <n v="30000"/>
    <m/>
    <x v="47"/>
    <x v="116"/>
    <s v="Calculus I, Calculus II, Calculus for Business and Economics, Differential Equations"/>
    <s v="MATH 1154, MATH 2164, MATH 1150, MATH 3233"/>
    <s v="Mathematical Subjects"/>
    <s v="Calculus I, Calculus II"/>
    <s v="N"/>
    <s v="Y"/>
    <s v="OpenStax Calculus Volume I, OpenStax Calculus Volume II"/>
    <x v="0"/>
    <s v="Neutral"/>
    <s v="Neutral"/>
    <n v="64860"/>
    <n v="270"/>
    <n v="240.22222222222223"/>
    <n v="90"/>
    <n v="90"/>
    <n v="90"/>
    <s v="Fall 2017"/>
    <s v="N"/>
    <m/>
    <m/>
    <s v="Continued"/>
    <n v="0"/>
    <n v="0"/>
    <n v="0"/>
    <n v="0"/>
    <n v="0"/>
    <n v="0"/>
    <n v="0"/>
    <n v="0"/>
    <n v="0"/>
    <n v="0"/>
    <n v="0"/>
    <n v="0"/>
    <n v="0"/>
    <n v="0"/>
    <n v="0"/>
    <n v="0"/>
    <n v="0"/>
    <n v="0"/>
    <n v="0"/>
    <n v="0"/>
    <n v="0"/>
    <n v="0"/>
    <n v="90"/>
    <n v="21620"/>
    <n v="90"/>
    <n v="21620"/>
    <n v="180"/>
    <n v="43240"/>
    <x v="0"/>
    <n v="35"/>
    <n v="220"/>
    <n v="120"/>
    <n v="375"/>
    <n v="246.85"/>
    <n v="92568.75"/>
    <n v="35"/>
    <n v="8639.75"/>
    <n v="220"/>
    <n v="54307"/>
    <n v="120"/>
    <n v="29622"/>
    <n v="375"/>
    <n v="92568.75"/>
    <s v="Continued"/>
    <n v="35"/>
    <n v="220"/>
    <n v="120"/>
    <n v="375"/>
    <n v="240"/>
    <n v="90000"/>
    <s v="Fall 2017"/>
    <n v="35"/>
    <n v="8400"/>
    <n v="220"/>
    <n v="52800"/>
    <n v="120"/>
    <n v="28800"/>
    <n v="375"/>
    <n v="90000"/>
    <s v="Continued"/>
    <n v="35"/>
    <n v="220"/>
    <n v="120"/>
    <n v="375"/>
    <n v="240"/>
    <n v="90000"/>
    <m/>
    <n v="35"/>
    <n v="8400"/>
    <n v="220"/>
    <n v="52800"/>
    <n v="120"/>
    <n v="28800"/>
    <n v="375"/>
    <n v="90000"/>
    <n v="1305"/>
    <n v="315808.75"/>
    <n v="10.526958333333333"/>
  </r>
  <r>
    <x v="128"/>
    <s v="Completed"/>
    <m/>
    <n v="511604"/>
    <d v="2017-03-02T00:00:00"/>
    <d v="2018-01-09T00:00:00"/>
    <s v="07"/>
    <x v="3"/>
    <x v="0"/>
    <x v="4"/>
    <n v="10800"/>
    <m/>
    <x v="116"/>
    <x v="117"/>
    <s v="Applied Grammar and Writing II, Applied Grammar and Writing III"/>
    <s v="ENSL 0081, ENSL 0091"/>
    <s v="English"/>
    <s v="N"/>
    <s v="Created Materials"/>
    <s v="N"/>
    <s v="Saylor Business English for Success"/>
    <x v="2"/>
    <s v="Neutral"/>
    <s v="Neutral"/>
    <n v="262800"/>
    <n v="1440"/>
    <n v="182.5"/>
    <n v="480"/>
    <n v="480"/>
    <n v="480"/>
    <s v="Fall 2017"/>
    <s v="N"/>
    <m/>
    <m/>
    <s v="Continued"/>
    <n v="0"/>
    <n v="0"/>
    <n v="0"/>
    <n v="0"/>
    <n v="0"/>
    <n v="0"/>
    <n v="0"/>
    <n v="0"/>
    <n v="0"/>
    <n v="0"/>
    <n v="0"/>
    <n v="0"/>
    <n v="0"/>
    <n v="0"/>
    <n v="0"/>
    <n v="0"/>
    <n v="0"/>
    <n v="0"/>
    <n v="0"/>
    <n v="0"/>
    <n v="0"/>
    <n v="0"/>
    <n v="480"/>
    <n v="87600"/>
    <n v="480"/>
    <n v="87600"/>
    <n v="960"/>
    <n v="175200"/>
    <x v="0"/>
    <n v="0"/>
    <n v="200"/>
    <n v="200"/>
    <n v="400"/>
    <n v="154.63"/>
    <n v="61852"/>
    <n v="0"/>
    <n v="0"/>
    <n v="200"/>
    <n v="30926"/>
    <n v="200"/>
    <n v="30926"/>
    <n v="400"/>
    <n v="61852"/>
    <s v="Continued"/>
    <n v="20"/>
    <n v="100"/>
    <n v="100"/>
    <n v="220"/>
    <n v="75"/>
    <n v="16500"/>
    <s v="Fall 2017"/>
    <n v="20"/>
    <n v="1500"/>
    <n v="100"/>
    <n v="7500"/>
    <n v="100"/>
    <n v="7500"/>
    <n v="220"/>
    <n v="16500"/>
    <s v="Continued"/>
    <n v="20"/>
    <n v="100"/>
    <n v="100"/>
    <n v="220"/>
    <n v="75"/>
    <n v="16500"/>
    <m/>
    <n v="20"/>
    <n v="1500"/>
    <n v="100"/>
    <n v="7500"/>
    <n v="100"/>
    <n v="7500"/>
    <n v="220"/>
    <n v="16500"/>
    <n v="1800"/>
    <n v="270052"/>
    <n v="25.004814814814814"/>
  </r>
  <r>
    <x v="129"/>
    <s v="Completed"/>
    <m/>
    <n v="511657"/>
    <d v="2017-01-23T00:00:00"/>
    <d v="2018-01-09T00:00:00"/>
    <s v="07"/>
    <x v="3"/>
    <x v="0"/>
    <x v="20"/>
    <n v="29900"/>
    <m/>
    <x v="117"/>
    <x v="118"/>
    <s v="Principles of Chemistry I, Principles of Chemistry II, Organic Chemistry I, Organic Chemistry II"/>
    <s v="CHEM 1211, CHEM 1212, CHEM 2211, CHEM 2212"/>
    <s v="Chemistry"/>
    <s v="Principles of Chemistry I &amp; II"/>
    <s v="N"/>
    <s v="N"/>
    <s v="Low-Cost Text"/>
    <x v="1"/>
    <s v="Neutral"/>
    <s v="Neutral"/>
    <n v="87941"/>
    <n v="576"/>
    <n v="152.67534722222223"/>
    <n v="192"/>
    <n v="192"/>
    <n v="192"/>
    <s v="Fall 2017"/>
    <s v="N"/>
    <m/>
    <m/>
    <s v="Discontinued"/>
    <n v="0"/>
    <n v="0"/>
    <n v="0"/>
    <n v="0"/>
    <n v="0"/>
    <n v="0"/>
    <n v="0"/>
    <n v="0"/>
    <n v="0"/>
    <n v="0"/>
    <n v="0"/>
    <n v="0"/>
    <n v="0"/>
    <n v="0"/>
    <n v="0"/>
    <n v="0"/>
    <n v="0"/>
    <n v="0"/>
    <n v="0"/>
    <n v="0"/>
    <n v="0"/>
    <n v="0"/>
    <n v="192"/>
    <n v="29313.666666666668"/>
    <n v="0"/>
    <n v="0"/>
    <n v="192"/>
    <n v="29313.666666666668"/>
    <x v="1"/>
    <n v="0"/>
    <n v="0"/>
    <n v="0"/>
    <n v="0"/>
    <n v="153.85"/>
    <n v="0"/>
    <n v="0"/>
    <n v="0"/>
    <n v="0"/>
    <n v="0"/>
    <n v="0"/>
    <n v="0"/>
    <n v="0"/>
    <n v="0"/>
    <s v="Discontinued"/>
    <n v="0"/>
    <n v="0"/>
    <n v="0"/>
    <n v="0"/>
    <m/>
    <n v="0"/>
    <s v="Fall 2017"/>
    <n v="0"/>
    <n v="0"/>
    <n v="0"/>
    <n v="0"/>
    <n v="0"/>
    <n v="0"/>
    <n v="0"/>
    <n v="0"/>
    <s v="Discontinued"/>
    <n v="0"/>
    <n v="0"/>
    <n v="0"/>
    <n v="0"/>
    <n v="0"/>
    <n v="0"/>
    <m/>
    <n v="0"/>
    <n v="0"/>
    <n v="0"/>
    <n v="0"/>
    <n v="0"/>
    <n v="0"/>
    <n v="0"/>
    <n v="0"/>
    <n v="192"/>
    <n v="29313.666666666668"/>
    <n v="0.98039018952062429"/>
  </r>
  <r>
    <x v="130"/>
    <s v="Completed"/>
    <m/>
    <n v="511664"/>
    <d v="2016-12-05T00:00:00"/>
    <d v="2018-01-09T00:00:00"/>
    <s v="07"/>
    <x v="3"/>
    <x v="0"/>
    <x v="7"/>
    <n v="21400"/>
    <m/>
    <x v="118"/>
    <x v="119"/>
    <s v="Principles of Chemistry I, Principles of Chemistry II"/>
    <s v="CHEM 1211, CHEM 1212"/>
    <s v="Chemistry"/>
    <s v="Principles of Chemistry I &amp; II"/>
    <s v="N"/>
    <s v="Y"/>
    <s v="OpenStax Chemistry"/>
    <x v="2"/>
    <s v="Neutral"/>
    <s v="Negative"/>
    <n v="110000"/>
    <n v="960"/>
    <n v="114.58333333333333"/>
    <n v="320"/>
    <n v="320"/>
    <n v="320"/>
    <s v="Fall 2017"/>
    <s v="N"/>
    <m/>
    <m/>
    <s v="Continued"/>
    <n v="0"/>
    <n v="0"/>
    <n v="0"/>
    <n v="0"/>
    <n v="0"/>
    <n v="0"/>
    <n v="0"/>
    <n v="0"/>
    <n v="0"/>
    <n v="0"/>
    <n v="0"/>
    <n v="0"/>
    <n v="0"/>
    <n v="0"/>
    <n v="0"/>
    <n v="0"/>
    <n v="0"/>
    <n v="0"/>
    <n v="0"/>
    <n v="0"/>
    <n v="0"/>
    <n v="0"/>
    <n v="320"/>
    <n v="36666.666666666664"/>
    <n v="320"/>
    <n v="36666.666666666664"/>
    <n v="640"/>
    <n v="73333.333333333328"/>
    <x v="0"/>
    <n v="48"/>
    <n v="300"/>
    <n v="300"/>
    <n v="648"/>
    <n v="256.27999999999997"/>
    <n v="166069.43999999997"/>
    <n v="48"/>
    <n v="12301.439999999999"/>
    <n v="300"/>
    <n v="76883.999999999985"/>
    <n v="300"/>
    <n v="76883.999999999985"/>
    <n v="648"/>
    <n v="166069.43999999997"/>
    <s v="Continued"/>
    <n v="48"/>
    <n v="260"/>
    <n v="0"/>
    <n v="308"/>
    <n v="198"/>
    <n v="60984"/>
    <s v="Fall 2017"/>
    <n v="48"/>
    <n v="9504"/>
    <n v="260"/>
    <n v="51480"/>
    <n v="0"/>
    <n v="0"/>
    <n v="308"/>
    <n v="60984"/>
    <s v="Discontinued"/>
    <n v="48"/>
    <n v="260"/>
    <n v="0"/>
    <n v="0"/>
    <n v="0"/>
    <n v="0"/>
    <m/>
    <n v="0"/>
    <n v="0"/>
    <n v="0"/>
    <n v="0"/>
    <n v="0"/>
    <n v="0"/>
    <n v="0"/>
    <n v="0"/>
    <n v="1596"/>
    <n v="300386.77333333332"/>
    <n v="14.036765109034267"/>
  </r>
  <r>
    <x v="131"/>
    <s v="Completed"/>
    <m/>
    <n v="511602"/>
    <d v="2017-01-06T00:00:00"/>
    <d v="2018-01-09T00:00:00"/>
    <s v="07"/>
    <x v="3"/>
    <x v="0"/>
    <x v="10"/>
    <n v="21400"/>
    <m/>
    <x v="119"/>
    <x v="120"/>
    <s v="Calculus I, Calculus II, Linear Algebra"/>
    <s v="MATH 1450, MATH 2470, MATH 3650"/>
    <s v="Mathematical Subjects"/>
    <s v="Calculus I, Calculus II"/>
    <s v="N"/>
    <s v="N"/>
    <s v="APEX Calculus, Various OER"/>
    <x v="2"/>
    <s v="Neutral"/>
    <s v="Neutral"/>
    <n v="167880"/>
    <n v="600"/>
    <n v="279.8"/>
    <n v="200"/>
    <n v="200"/>
    <n v="200"/>
    <s v="Spring 2017"/>
    <s v="N"/>
    <m/>
    <m/>
    <s v="Continued"/>
    <n v="0"/>
    <n v="0"/>
    <n v="0"/>
    <n v="0"/>
    <n v="0"/>
    <n v="0"/>
    <n v="0"/>
    <n v="0"/>
    <n v="0"/>
    <n v="0"/>
    <n v="0"/>
    <n v="0"/>
    <n v="0"/>
    <n v="0"/>
    <n v="0"/>
    <n v="0"/>
    <n v="200"/>
    <n v="55960"/>
    <n v="200"/>
    <n v="55960"/>
    <n v="200"/>
    <n v="55960"/>
    <n v="200"/>
    <n v="55960"/>
    <n v="200"/>
    <n v="55960"/>
    <n v="600"/>
    <n v="167880"/>
    <x v="1"/>
    <n v="0"/>
    <n v="0"/>
    <n v="0"/>
    <n v="0"/>
    <n v="278.92"/>
    <n v="0"/>
    <n v="0"/>
    <n v="0"/>
    <n v="0"/>
    <n v="0"/>
    <n v="0"/>
    <n v="0"/>
    <n v="0"/>
    <n v="0"/>
    <s v="Discontinued"/>
    <n v="0"/>
    <n v="0"/>
    <n v="0"/>
    <n v="0"/>
    <n v="0"/>
    <n v="0"/>
    <s v="Spring 2017"/>
    <n v="0"/>
    <n v="0"/>
    <n v="0"/>
    <n v="0"/>
    <n v="0"/>
    <n v="0"/>
    <n v="0"/>
    <n v="0"/>
    <s v="Discontinued"/>
    <n v="0"/>
    <n v="0"/>
    <n v="0"/>
    <n v="0"/>
    <n v="0"/>
    <n v="0"/>
    <m/>
    <n v="0"/>
    <n v="0"/>
    <n v="0"/>
    <n v="0"/>
    <n v="0"/>
    <n v="0"/>
    <n v="0"/>
    <n v="0"/>
    <n v="800"/>
    <n v="223840"/>
    <n v="10.459813084112149"/>
  </r>
  <r>
    <x v="132"/>
    <s v="Completed"/>
    <m/>
    <n v="511758"/>
    <d v="2017-01-06T00:00:00"/>
    <d v="2018-01-09T00:00:00"/>
    <s v="07"/>
    <x v="3"/>
    <x v="0"/>
    <x v="14"/>
    <n v="30000"/>
    <m/>
    <x v="120"/>
    <x v="121"/>
    <s v="Concepts of Fitness and Wellness, Walking and Jogging"/>
    <s v="PHED 1010, PHED 1130"/>
    <s v="Kinesiology"/>
    <s v="N"/>
    <s v="Created Materials"/>
    <s v="N"/>
    <s v="Original "/>
    <x v="2"/>
    <s v="Neutral"/>
    <s v="Neutral"/>
    <n v="215973"/>
    <n v="1452"/>
    <n v="148.7417355371901"/>
    <n v="484"/>
    <n v="484"/>
    <n v="484"/>
    <s v="Fall 2017"/>
    <s v="N"/>
    <m/>
    <m/>
    <s v="Continued"/>
    <n v="0"/>
    <n v="0"/>
    <n v="0"/>
    <n v="0"/>
    <n v="0"/>
    <n v="0"/>
    <n v="0"/>
    <n v="0"/>
    <n v="0"/>
    <n v="0"/>
    <n v="0"/>
    <n v="0"/>
    <n v="0"/>
    <n v="0"/>
    <n v="0"/>
    <n v="0"/>
    <n v="0"/>
    <n v="0"/>
    <n v="0"/>
    <n v="0"/>
    <n v="0"/>
    <n v="0"/>
    <n v="484"/>
    <n v="71991"/>
    <n v="484"/>
    <n v="71991"/>
    <n v="968"/>
    <n v="143982"/>
    <x v="0"/>
    <n v="400"/>
    <n v="900"/>
    <n v="900"/>
    <n v="2200"/>
    <n v="121.99"/>
    <n v="268378"/>
    <n v="400"/>
    <n v="48796"/>
    <n v="900"/>
    <n v="109791"/>
    <n v="900"/>
    <n v="109791"/>
    <n v="2200"/>
    <n v="268378"/>
    <s v="Continued"/>
    <n v="400"/>
    <n v="900"/>
    <n v="900"/>
    <n v="2200"/>
    <n v="148.74"/>
    <n v="327228"/>
    <s v="Fall 2017"/>
    <n v="400"/>
    <n v="59496"/>
    <n v="900"/>
    <n v="133866"/>
    <n v="900"/>
    <n v="133866"/>
    <n v="2200"/>
    <n v="327228"/>
    <s v="Continued"/>
    <n v="400"/>
    <n v="900"/>
    <n v="900"/>
    <n v="2200"/>
    <n v="148.74"/>
    <n v="327228"/>
    <m/>
    <n v="400"/>
    <n v="59496"/>
    <n v="900"/>
    <n v="133866"/>
    <n v="900"/>
    <n v="133866"/>
    <n v="2200"/>
    <n v="327228"/>
    <n v="7568"/>
    <n v="1066816"/>
    <n v="35.560533333333332"/>
  </r>
  <r>
    <x v="133"/>
    <s v="Completed"/>
    <m/>
    <n v="511605"/>
    <d v="2017-01-06T00:00:00"/>
    <d v="2017-08-22T00:00:00"/>
    <s v="07"/>
    <x v="3"/>
    <x v="0"/>
    <x v="9"/>
    <n v="10800"/>
    <m/>
    <x v="121"/>
    <x v="122"/>
    <s v="Foundations for College Algebra"/>
    <s v="MATH 0989"/>
    <s v="Mathematical Subjects"/>
    <s v="Foundations for College Algebra"/>
    <s v="N"/>
    <s v="N"/>
    <s v="Beginning and Intermediate Algebra"/>
    <x v="2"/>
    <s v="Positive"/>
    <s v="Positive"/>
    <n v="193200"/>
    <n v="805"/>
    <n v="240"/>
    <n v="268.33333333333331"/>
    <n v="268.33333333333331"/>
    <n v="268.33333333333331"/>
    <s v="Spring 2017"/>
    <s v="N"/>
    <m/>
    <m/>
    <s v="Continued"/>
    <n v="0"/>
    <n v="0"/>
    <n v="0"/>
    <n v="0"/>
    <n v="0"/>
    <n v="0"/>
    <n v="0"/>
    <n v="0"/>
    <n v="0"/>
    <n v="0"/>
    <n v="0"/>
    <n v="0"/>
    <n v="0"/>
    <n v="0"/>
    <n v="0"/>
    <n v="0"/>
    <n v="268.33333333333331"/>
    <n v="64399.999999999993"/>
    <n v="268.33333333333331"/>
    <n v="64399.999999999993"/>
    <n v="268.33333333333331"/>
    <n v="64399.999999999993"/>
    <n v="268.33333333333331"/>
    <n v="64399.999999999993"/>
    <n v="268.33333333333331"/>
    <n v="64399.999999999993"/>
    <n v="805"/>
    <n v="193199.99999999997"/>
    <x v="1"/>
    <n v="0"/>
    <n v="0"/>
    <n v="0"/>
    <n v="0"/>
    <n v="255.47"/>
    <n v="0"/>
    <n v="0"/>
    <n v="0"/>
    <n v="0"/>
    <n v="0"/>
    <n v="0"/>
    <n v="0"/>
    <n v="0"/>
    <n v="0"/>
    <s v="Discontinued"/>
    <n v="0"/>
    <n v="0"/>
    <n v="0"/>
    <n v="0"/>
    <m/>
    <n v="0"/>
    <s v="Spring 2017"/>
    <n v="0"/>
    <n v="0"/>
    <n v="0"/>
    <n v="0"/>
    <n v="0"/>
    <n v="0"/>
    <n v="0"/>
    <n v="0"/>
    <s v="Discontinued"/>
    <n v="0"/>
    <n v="0"/>
    <n v="0"/>
    <n v="0"/>
    <n v="0"/>
    <n v="0"/>
    <m/>
    <n v="0"/>
    <n v="0"/>
    <n v="0"/>
    <n v="0"/>
    <n v="0"/>
    <n v="0"/>
    <n v="0"/>
    <n v="0"/>
    <n v="1073.3333333333333"/>
    <n v="257599.99999999997"/>
    <n v="23.851851851851848"/>
  </r>
  <r>
    <x v="134"/>
    <s v="Completed"/>
    <m/>
    <n v="511739"/>
    <d v="2017-01-06T00:00:00"/>
    <d v="2018-01-09T00:00:00"/>
    <s v="07"/>
    <x v="3"/>
    <x v="0"/>
    <x v="5"/>
    <n v="10800"/>
    <m/>
    <x v="122"/>
    <x v="123"/>
    <s v="Introduction to Weather and Climate"/>
    <s v="GEOG 1112"/>
    <s v="Geological Sciences and Geography"/>
    <s v="Introduction to Weather and Climate"/>
    <s v="N"/>
    <s v="N"/>
    <s v="Various OER"/>
    <x v="2"/>
    <s v="Neutral"/>
    <s v="Neutral"/>
    <n v="43144"/>
    <n v="225"/>
    <n v="191.7511111111111"/>
    <n v="75"/>
    <n v="75"/>
    <n v="75"/>
    <s v="Fall 2017"/>
    <s v="N"/>
    <m/>
    <m/>
    <s v="Continued"/>
    <n v="0"/>
    <n v="0"/>
    <n v="0"/>
    <n v="0"/>
    <n v="0"/>
    <n v="0"/>
    <n v="0"/>
    <n v="0"/>
    <n v="0"/>
    <n v="0"/>
    <n v="0"/>
    <n v="0"/>
    <n v="0"/>
    <n v="0"/>
    <n v="0"/>
    <n v="0"/>
    <n v="0"/>
    <n v="0"/>
    <n v="0"/>
    <n v="0"/>
    <n v="0"/>
    <n v="0"/>
    <n v="75"/>
    <n v="14381.333333333332"/>
    <n v="75"/>
    <n v="14381.333333333332"/>
    <n v="150"/>
    <n v="28762.666666666664"/>
    <x v="0"/>
    <n v="25"/>
    <n v="125"/>
    <n v="75"/>
    <n v="225"/>
    <n v="193.8"/>
    <n v="43605"/>
    <n v="25"/>
    <n v="4845"/>
    <n v="125"/>
    <n v="24225"/>
    <n v="75"/>
    <n v="14535"/>
    <n v="225"/>
    <n v="43605"/>
    <s v="Continued"/>
    <n v="25"/>
    <n v="125"/>
    <n v="75"/>
    <n v="225"/>
    <n v="193.32"/>
    <n v="43497"/>
    <s v="Fall 2017"/>
    <n v="25"/>
    <n v="4833"/>
    <n v="125"/>
    <n v="24165"/>
    <n v="75"/>
    <n v="14499"/>
    <n v="225"/>
    <n v="43497"/>
    <s v="Timed Out"/>
    <n v="25"/>
    <n v="125"/>
    <n v="75"/>
    <n v="0"/>
    <n v="0"/>
    <n v="0"/>
    <m/>
    <n v="0"/>
    <n v="0"/>
    <n v="0"/>
    <n v="0"/>
    <n v="0"/>
    <n v="0"/>
    <n v="0"/>
    <n v="0"/>
    <n v="600"/>
    <n v="115864.66666666666"/>
    <n v="10.728209876543209"/>
  </r>
  <r>
    <x v="135"/>
    <s v="Completed"/>
    <m/>
    <n v="512204"/>
    <d v="2017-03-29T00:00:00"/>
    <d v="2018-01-09T00:00:00"/>
    <s v="08"/>
    <x v="3"/>
    <x v="0"/>
    <x v="10"/>
    <n v="10800"/>
    <m/>
    <x v="123"/>
    <x v="124"/>
    <s v="Anatomy and Physiology I, Anatomy and Physiology II"/>
    <s v="BIOL 2120, BIOL 2130"/>
    <s v="Biological Sciences"/>
    <s v="N"/>
    <s v="N"/>
    <s v="Y"/>
    <s v="OpenStax Anatomy and Physiology"/>
    <x v="2"/>
    <s v="Positive"/>
    <s v="Neutral"/>
    <n v="54831"/>
    <n v="192"/>
    <n v="285.578125"/>
    <n v="64"/>
    <n v="64"/>
    <n v="64"/>
    <s v="Spring 2017"/>
    <s v="N"/>
    <m/>
    <m/>
    <s v="Continued"/>
    <n v="0"/>
    <n v="0"/>
    <n v="0"/>
    <n v="0"/>
    <n v="0"/>
    <n v="0"/>
    <n v="0"/>
    <n v="0"/>
    <n v="0"/>
    <n v="0"/>
    <n v="0"/>
    <n v="0"/>
    <n v="0"/>
    <n v="0"/>
    <n v="0"/>
    <n v="0"/>
    <n v="64"/>
    <n v="18277"/>
    <n v="64"/>
    <n v="18277"/>
    <n v="64"/>
    <n v="18277"/>
    <n v="64"/>
    <n v="18277"/>
    <n v="64"/>
    <n v="18277"/>
    <n v="192"/>
    <n v="54831"/>
    <x v="0"/>
    <n v="20"/>
    <n v="120"/>
    <n v="120"/>
    <n v="260"/>
    <n v="320.52999999999997"/>
    <n v="83337.799999999988"/>
    <n v="20"/>
    <n v="6410.5999999999995"/>
    <n v="120"/>
    <n v="38463.599999999999"/>
    <n v="120"/>
    <n v="38463.599999999999"/>
    <n v="260"/>
    <n v="83337.799999999988"/>
    <s v="Continued"/>
    <n v="13"/>
    <n v="105"/>
    <n v="120"/>
    <n v="238"/>
    <n v="110.29"/>
    <n v="26249.02"/>
    <s v="Spring 2017"/>
    <n v="13"/>
    <n v="1433.77"/>
    <n v="105"/>
    <n v="11580.45"/>
    <n v="120"/>
    <n v="13234.800000000001"/>
    <n v="238"/>
    <n v="26249.020000000004"/>
    <s v="Continued"/>
    <n v="13"/>
    <n v="105"/>
    <n v="120"/>
    <n v="238"/>
    <n v="110.29"/>
    <n v="26249.02"/>
    <m/>
    <n v="13"/>
    <n v="1433.77"/>
    <n v="105"/>
    <n v="11580.45"/>
    <n v="120"/>
    <n v="13234.800000000001"/>
    <n v="238"/>
    <n v="26249.020000000004"/>
    <n v="992"/>
    <n v="208943.84000000003"/>
    <n v="19.346651851851853"/>
  </r>
  <r>
    <x v="136"/>
    <s v="Completed"/>
    <m/>
    <n v="512028"/>
    <d v="2017-02-28T00:00:00"/>
    <d v="2018-01-09T00:00:00"/>
    <s v="08"/>
    <x v="3"/>
    <x v="0"/>
    <x v="18"/>
    <n v="10800"/>
    <m/>
    <x v="124"/>
    <x v="125"/>
    <s v="World History I"/>
    <s v="HIST 1111"/>
    <s v="History"/>
    <s v="Survey of World History I"/>
    <s v="N"/>
    <s v="N"/>
    <s v="UNG World History: Cultures, States, and Societies to 1500"/>
    <x v="2"/>
    <s v="Positive"/>
    <s v="Neutral"/>
    <n v="60000"/>
    <n v="480"/>
    <n v="125"/>
    <n v="160"/>
    <n v="160"/>
    <n v="160"/>
    <s v="Fall 2017"/>
    <s v="N"/>
    <m/>
    <m/>
    <s v="Continued"/>
    <n v="0"/>
    <n v="0"/>
    <n v="0"/>
    <n v="0"/>
    <n v="0"/>
    <n v="0"/>
    <n v="0"/>
    <n v="0"/>
    <n v="0"/>
    <n v="0"/>
    <n v="0"/>
    <n v="0"/>
    <n v="0"/>
    <n v="0"/>
    <n v="0"/>
    <n v="0"/>
    <n v="0"/>
    <n v="0"/>
    <n v="0"/>
    <n v="0"/>
    <n v="0"/>
    <n v="0"/>
    <n v="160"/>
    <n v="20000"/>
    <n v="160"/>
    <n v="20000"/>
    <n v="320"/>
    <n v="40000"/>
    <x v="0"/>
    <n v="80"/>
    <n v="200"/>
    <n v="200"/>
    <n v="480"/>
    <n v="125"/>
    <n v="60000"/>
    <n v="80"/>
    <n v="10000"/>
    <n v="200"/>
    <n v="25000"/>
    <n v="200"/>
    <n v="25000"/>
    <n v="480"/>
    <n v="60000"/>
    <s v="Continued"/>
    <n v="30"/>
    <n v="220"/>
    <n v="220"/>
    <n v="470"/>
    <n v="125"/>
    <n v="58750"/>
    <s v="Fall 2017"/>
    <n v="30"/>
    <n v="3750"/>
    <n v="220"/>
    <n v="27500"/>
    <n v="220"/>
    <n v="27500"/>
    <n v="470"/>
    <n v="58750"/>
    <s v="Continued"/>
    <n v="30"/>
    <n v="220"/>
    <n v="220"/>
    <n v="470"/>
    <n v="125"/>
    <n v="58750"/>
    <m/>
    <n v="30"/>
    <n v="3750"/>
    <n v="220"/>
    <n v="27500"/>
    <n v="220"/>
    <n v="27500"/>
    <n v="470"/>
    <n v="58750"/>
    <n v="1740"/>
    <n v="217500"/>
    <n v="20.138888888888889"/>
  </r>
  <r>
    <x v="137"/>
    <s v="Completed"/>
    <m/>
    <n v="501058"/>
    <d v="2017-02-28T00:00:00"/>
    <d v="2018-01-09T00:00:00"/>
    <s v="08"/>
    <x v="3"/>
    <x v="0"/>
    <x v="7"/>
    <n v="10800"/>
    <m/>
    <x v="125"/>
    <x v="126"/>
    <s v="Calculus I, Statistics I"/>
    <s v="MATH 1441, STAT 2231"/>
    <s v="Mathematical Subjects"/>
    <s v="Calculus I"/>
    <s v="Created Materials"/>
    <s v="Y"/>
    <s v="OpenStax Calculus Volume I, OpenStax Introductory Statistics"/>
    <x v="2"/>
    <s v="Neutral"/>
    <s v="Neutral"/>
    <n v="591125"/>
    <n v="3500"/>
    <n v="168.89285714285714"/>
    <n v="1166.6666666666667"/>
    <n v="1166.6666666666667"/>
    <n v="1166.6666666666667"/>
    <s v="Fall 2017"/>
    <s v="N"/>
    <m/>
    <m/>
    <s v="Continued"/>
    <n v="0"/>
    <n v="0"/>
    <n v="0"/>
    <n v="0"/>
    <n v="0"/>
    <n v="0"/>
    <n v="0"/>
    <n v="0"/>
    <n v="0"/>
    <n v="0"/>
    <n v="0"/>
    <n v="0"/>
    <n v="0"/>
    <n v="0"/>
    <n v="0"/>
    <n v="0"/>
    <n v="0"/>
    <n v="0"/>
    <n v="0"/>
    <n v="0"/>
    <n v="0"/>
    <n v="0"/>
    <n v="1166.6666666666667"/>
    <n v="197041.66666666669"/>
    <n v="1166.6666666666667"/>
    <n v="197041.66666666669"/>
    <n v="2333.3333333333335"/>
    <n v="394083.33333333337"/>
    <x v="0"/>
    <n v="180"/>
    <n v="480"/>
    <n v="480"/>
    <n v="1140"/>
    <n v="252.91"/>
    <n v="288317.40000000002"/>
    <n v="180"/>
    <n v="45523.8"/>
    <n v="480"/>
    <n v="121396.8"/>
    <n v="480"/>
    <n v="121396.8"/>
    <n v="1140"/>
    <n v="288317.40000000002"/>
    <s v="Continued"/>
    <n v="180"/>
    <n v="480"/>
    <n v="480"/>
    <n v="1140"/>
    <n v="303.87"/>
    <n v="346411.8"/>
    <s v="Fall 2017"/>
    <n v="180"/>
    <n v="54696.6"/>
    <n v="480"/>
    <n v="145857.60000000001"/>
    <n v="480"/>
    <n v="145857.60000000001"/>
    <n v="1140"/>
    <n v="346411.80000000005"/>
    <s v="Continued"/>
    <n v="180"/>
    <n v="480"/>
    <n v="480"/>
    <n v="1140"/>
    <n v="303.87"/>
    <n v="346411.8"/>
    <m/>
    <n v="180"/>
    <n v="54696.6"/>
    <n v="480"/>
    <n v="145857.60000000001"/>
    <n v="480"/>
    <n v="145857.60000000001"/>
    <n v="1140"/>
    <n v="346411.80000000005"/>
    <n v="5753.3333333333339"/>
    <n v="1375224.3333333335"/>
    <n v="127.3355864197531"/>
  </r>
  <r>
    <x v="138"/>
    <s v="Completed"/>
    <m/>
    <n v="512018"/>
    <d v="2017-03-30T00:00:00"/>
    <d v="2018-01-09T00:00:00"/>
    <s v="08"/>
    <x v="3"/>
    <x v="0"/>
    <x v="21"/>
    <n v="25800"/>
    <m/>
    <x v="126"/>
    <x v="127"/>
    <s v="Introduction to Human Geography"/>
    <s v="GEOG 1101"/>
    <s v="Geological Sciences and Geography"/>
    <s v="Introduction to Human Geography"/>
    <s v="N"/>
    <s v="N"/>
    <s v="Introduction to Human Geography: A Disciplinary Approach"/>
    <x v="0"/>
    <s v="Neutral"/>
    <s v="Positive"/>
    <n v="133868"/>
    <n v="980"/>
    <n v="136.6"/>
    <n v="326.66666666666669"/>
    <n v="326.66666666666669"/>
    <n v="326.66666666666669"/>
    <s v="Fall 2017"/>
    <s v="N"/>
    <m/>
    <m/>
    <s v="Continued"/>
    <n v="0"/>
    <n v="0"/>
    <n v="0"/>
    <n v="0"/>
    <n v="0"/>
    <n v="0"/>
    <n v="0"/>
    <n v="0"/>
    <n v="0"/>
    <n v="0"/>
    <n v="0"/>
    <n v="0"/>
    <n v="0"/>
    <n v="0"/>
    <n v="0"/>
    <n v="0"/>
    <n v="0"/>
    <n v="0"/>
    <n v="0"/>
    <n v="0"/>
    <n v="0"/>
    <n v="0"/>
    <n v="326.66666666666669"/>
    <n v="44622.666666666664"/>
    <n v="326.66666666666669"/>
    <n v="44622.666666666664"/>
    <n v="653.33333333333337"/>
    <n v="89245.333333333328"/>
    <x v="0"/>
    <n v="175"/>
    <n v="500"/>
    <n v="500"/>
    <n v="1175"/>
    <n v="140.80000000000001"/>
    <n v="165440"/>
    <n v="175"/>
    <n v="24640.000000000004"/>
    <n v="500"/>
    <n v="70400"/>
    <n v="500"/>
    <n v="70400"/>
    <n v="1175"/>
    <n v="165440"/>
    <s v="Continued"/>
    <n v="144"/>
    <n v="644"/>
    <n v="616"/>
    <n v="1404"/>
    <n v="127.97"/>
    <n v="179669.88"/>
    <s v="Fall 2017"/>
    <n v="144"/>
    <n v="18427.68"/>
    <n v="644"/>
    <n v="82412.679999999993"/>
    <n v="616"/>
    <n v="78829.52"/>
    <n v="1404"/>
    <n v="179669.88"/>
    <s v="Continued"/>
    <n v="144"/>
    <n v="644"/>
    <n v="616"/>
    <n v="1404"/>
    <n v="127.97"/>
    <n v="179669.88"/>
    <m/>
    <n v="144"/>
    <n v="18427.68"/>
    <n v="644"/>
    <n v="82412.679999999993"/>
    <n v="616"/>
    <n v="78829.52"/>
    <n v="1404"/>
    <n v="179669.88"/>
    <n v="4636.3333333333339"/>
    <n v="614025.09333333327"/>
    <n v="23.799422222222219"/>
  </r>
  <r>
    <x v="139"/>
    <s v="Completed"/>
    <m/>
    <n v="512047"/>
    <d v="2017-02-16T00:00:00"/>
    <d v="2018-01-09T00:00:00"/>
    <s v="08"/>
    <x v="3"/>
    <x v="0"/>
    <x v="7"/>
    <n v="5800"/>
    <m/>
    <x v="127"/>
    <x v="128"/>
    <s v="World Civilizations I"/>
    <s v="HIST 1111"/>
    <s v="History"/>
    <s v="Survey of World History I"/>
    <s v="Created Materials"/>
    <s v="N"/>
    <s v="UNG World History: Cultures, States, and Societies to 1500"/>
    <x v="2"/>
    <s v="Positive"/>
    <s v="Positive"/>
    <n v="24148"/>
    <n v="288"/>
    <n v="83.847222222222229"/>
    <n v="96"/>
    <n v="96"/>
    <n v="96"/>
    <s v="Fall 2017"/>
    <s v="N"/>
    <m/>
    <m/>
    <s v="Continued"/>
    <n v="0"/>
    <n v="0"/>
    <n v="0"/>
    <n v="0"/>
    <n v="0"/>
    <n v="0"/>
    <n v="0"/>
    <n v="0"/>
    <n v="0"/>
    <n v="0"/>
    <n v="0"/>
    <n v="0"/>
    <n v="0"/>
    <n v="0"/>
    <n v="0"/>
    <n v="0"/>
    <n v="0"/>
    <n v="0"/>
    <n v="0"/>
    <n v="0"/>
    <n v="0"/>
    <n v="0"/>
    <n v="96"/>
    <n v="8049.3333333333339"/>
    <n v="96"/>
    <n v="8049.3333333333339"/>
    <n v="192"/>
    <n v="16098.666666666668"/>
    <x v="0"/>
    <n v="50"/>
    <n v="90"/>
    <n v="90"/>
    <n v="230"/>
    <n v="100"/>
    <n v="23000"/>
    <n v="50"/>
    <n v="5000"/>
    <n v="90"/>
    <n v="9000"/>
    <n v="90"/>
    <n v="9000"/>
    <n v="230"/>
    <n v="23000"/>
    <s v="Continued"/>
    <n v="35"/>
    <n v="70"/>
    <n v="70"/>
    <n v="175"/>
    <n v="83.85"/>
    <n v="14673.749999999998"/>
    <s v="Fall 2017"/>
    <n v="35"/>
    <n v="2934.75"/>
    <n v="70"/>
    <n v="5869.5"/>
    <n v="70"/>
    <n v="5869.5"/>
    <n v="175"/>
    <n v="14673.75"/>
    <s v="Continued"/>
    <n v="35"/>
    <n v="70"/>
    <n v="70"/>
    <n v="175"/>
    <n v="83.85"/>
    <n v="14673.749999999998"/>
    <m/>
    <n v="35"/>
    <n v="2934.75"/>
    <n v="70"/>
    <n v="5869.5"/>
    <n v="70"/>
    <n v="5869.5"/>
    <n v="175"/>
    <n v="14673.75"/>
    <n v="772"/>
    <n v="68446.166666666672"/>
    <n v="11.801063218390805"/>
  </r>
  <r>
    <x v="140"/>
    <s v="Completed"/>
    <m/>
    <n v="512019"/>
    <d v="2017-02-14T00:00:00"/>
    <d v="2018-01-09T00:00:00"/>
    <s v="08"/>
    <x v="3"/>
    <x v="0"/>
    <x v="21"/>
    <n v="15800"/>
    <m/>
    <x v="128"/>
    <x v="129"/>
    <s v="Elementary Spanish I, Elementary Spanish II"/>
    <s v="SPAN 1001, SPAN 1002"/>
    <s v="Foreign Languages"/>
    <s v="Elementary Spanish I &amp; II"/>
    <s v="N"/>
    <s v="N"/>
    <s v="OER and Library"/>
    <x v="2"/>
    <s v="Positive"/>
    <s v="Positive"/>
    <n v="55440"/>
    <n v="308"/>
    <n v="180"/>
    <n v="102.66666666666667"/>
    <n v="102.66666666666667"/>
    <n v="102.66666666666667"/>
    <s v="Fall 2017"/>
    <s v="N"/>
    <m/>
    <m/>
    <s v="Continued"/>
    <n v="0"/>
    <n v="0"/>
    <n v="0"/>
    <n v="0"/>
    <n v="0"/>
    <n v="0"/>
    <n v="0"/>
    <n v="0"/>
    <n v="0"/>
    <n v="0"/>
    <n v="0"/>
    <n v="0"/>
    <n v="0"/>
    <n v="0"/>
    <n v="0"/>
    <n v="0"/>
    <n v="0"/>
    <n v="0"/>
    <n v="0"/>
    <n v="0"/>
    <n v="0"/>
    <n v="0"/>
    <n v="102.66666666666667"/>
    <n v="18480"/>
    <n v="102.66666666666667"/>
    <n v="18480"/>
    <n v="205.33333333333334"/>
    <n v="36960"/>
    <x v="0"/>
    <n v="70"/>
    <n v="200"/>
    <n v="200"/>
    <n v="470"/>
    <n v="130"/>
    <n v="61100"/>
    <n v="70"/>
    <n v="9100"/>
    <n v="200"/>
    <n v="26000"/>
    <n v="200"/>
    <n v="26000"/>
    <n v="470"/>
    <n v="61100"/>
    <s v="Continued"/>
    <n v="168"/>
    <n v="476"/>
    <n v="448"/>
    <n v="1092"/>
    <n v="285.7"/>
    <n v="311984.39999999997"/>
    <s v="Fall 2017"/>
    <n v="168"/>
    <n v="47997.599999999999"/>
    <n v="476"/>
    <n v="135993.19999999998"/>
    <n v="448"/>
    <n v="127993.59999999999"/>
    <n v="1092"/>
    <n v="311984.39999999997"/>
    <s v="Continued"/>
    <n v="168"/>
    <n v="476"/>
    <n v="448"/>
    <n v="1092"/>
    <n v="285.7"/>
    <n v="311984.39999999997"/>
    <m/>
    <n v="168"/>
    <n v="47997.599999999999"/>
    <n v="476"/>
    <n v="135993.19999999998"/>
    <n v="448"/>
    <n v="127993.59999999999"/>
    <n v="1092"/>
    <n v="311984.39999999997"/>
    <n v="2859.3333333333335"/>
    <n v="722028.79999999993"/>
    <n v="45.698025316455691"/>
  </r>
  <r>
    <x v="141"/>
    <s v="Completed"/>
    <m/>
    <n v="512125"/>
    <d v="2017-03-29T00:00:00"/>
    <d v="2018-01-09T00:00:00"/>
    <s v="08"/>
    <x v="3"/>
    <x v="0"/>
    <x v="11"/>
    <n v="10800"/>
    <m/>
    <x v="129"/>
    <x v="130"/>
    <s v="World Regional Geography"/>
    <s v="GEOG 1101"/>
    <s v="Geological Sciences and Geography"/>
    <s v="Introduction to Human Geography"/>
    <s v="N"/>
    <s v="N"/>
    <s v="World Regional Geography"/>
    <x v="2"/>
    <s v="Positive"/>
    <s v="Positive"/>
    <n v="35648"/>
    <n v="250"/>
    <n v="142.59200000000001"/>
    <n v="83.333333333333329"/>
    <n v="83.333333333333329"/>
    <n v="83.333333333333329"/>
    <s v="Fall 2017"/>
    <s v="N"/>
    <m/>
    <m/>
    <s v="Continued"/>
    <n v="0"/>
    <n v="0"/>
    <n v="0"/>
    <n v="0"/>
    <n v="0"/>
    <n v="0"/>
    <n v="0"/>
    <n v="0"/>
    <n v="0"/>
    <n v="0"/>
    <n v="0"/>
    <n v="0"/>
    <n v="0"/>
    <n v="0"/>
    <n v="0"/>
    <n v="0"/>
    <n v="0"/>
    <n v="0"/>
    <n v="0"/>
    <n v="0"/>
    <n v="0"/>
    <n v="0"/>
    <n v="83.333333333333329"/>
    <n v="11882.666666666668"/>
    <n v="83.333333333333329"/>
    <n v="11882.666666666668"/>
    <n v="166.66666666666666"/>
    <n v="23765.333333333336"/>
    <x v="0"/>
    <n v="0"/>
    <n v="150"/>
    <n v="150"/>
    <n v="300"/>
    <n v="133.19"/>
    <n v="39957"/>
    <n v="0"/>
    <n v="0"/>
    <n v="150"/>
    <n v="19978.5"/>
    <n v="150"/>
    <n v="19978.5"/>
    <n v="300"/>
    <n v="39957"/>
    <s v="Continued"/>
    <n v="0"/>
    <n v="160"/>
    <n v="160"/>
    <n v="320"/>
    <n v="142.59"/>
    <n v="45628.800000000003"/>
    <s v="Fall 2017"/>
    <n v="0"/>
    <n v="0"/>
    <n v="160"/>
    <n v="22814.400000000001"/>
    <n v="160"/>
    <n v="22814.400000000001"/>
    <n v="320"/>
    <n v="45628.800000000003"/>
    <s v="Discontinued"/>
    <n v="0"/>
    <n v="160"/>
    <n v="160"/>
    <n v="0"/>
    <n v="0"/>
    <n v="0"/>
    <m/>
    <n v="0"/>
    <n v="0"/>
    <n v="0"/>
    <n v="0"/>
    <n v="0"/>
    <n v="0"/>
    <n v="0"/>
    <n v="0"/>
    <n v="786.66666666666663"/>
    <n v="109351.13333333333"/>
    <n v="10.125104938271605"/>
  </r>
  <r>
    <x v="142"/>
    <s v="Completed"/>
    <m/>
    <n v="512030"/>
    <d v="2017-02-28T00:00:00"/>
    <d v="2018-01-09T00:00:00"/>
    <s v="08"/>
    <x v="3"/>
    <x v="0"/>
    <x v="7"/>
    <n v="20800"/>
    <m/>
    <x v="130"/>
    <x v="131"/>
    <s v="Business Economics"/>
    <s v="ECON 2106"/>
    <s v="Business Administration, Management, and Economics"/>
    <s v="Principles of Microeconomics"/>
    <s v="Created Materials"/>
    <s v="Y"/>
    <s v="OpenStax Microeconomics"/>
    <x v="2"/>
    <s v="Positive"/>
    <s v="Positive"/>
    <n v="206960"/>
    <n v="1040"/>
    <n v="199"/>
    <n v="346.66666666666669"/>
    <n v="346.66666666666669"/>
    <n v="346.66666666666669"/>
    <s v="Summer 2017"/>
    <s v="N"/>
    <m/>
    <m/>
    <s v="Continued"/>
    <n v="0"/>
    <n v="0"/>
    <n v="0"/>
    <n v="0"/>
    <n v="0"/>
    <n v="0"/>
    <n v="0"/>
    <n v="0"/>
    <n v="0"/>
    <n v="0"/>
    <n v="0"/>
    <n v="0"/>
    <n v="0"/>
    <n v="0"/>
    <n v="0"/>
    <n v="0"/>
    <n v="0"/>
    <n v="0"/>
    <n v="0"/>
    <n v="0"/>
    <n v="346.66666666666669"/>
    <n v="68986.666666666672"/>
    <n v="346.66666666666669"/>
    <n v="68986.666666666672"/>
    <n v="346.66666666666669"/>
    <n v="68986.666666666672"/>
    <n v="1040"/>
    <n v="206960"/>
    <x v="0"/>
    <n v="100"/>
    <n v="400"/>
    <n v="360"/>
    <n v="860"/>
    <n v="244.72"/>
    <n v="210459.2"/>
    <n v="100"/>
    <n v="24472"/>
    <n v="400"/>
    <n v="97888"/>
    <n v="360"/>
    <n v="88099.199999999997"/>
    <n v="860"/>
    <n v="210459.2"/>
    <s v="Continued"/>
    <n v="211"/>
    <n v="639"/>
    <n v="550"/>
    <n v="1400"/>
    <n v="199"/>
    <n v="278600"/>
    <s v="Summer 2017"/>
    <n v="211"/>
    <n v="41989"/>
    <n v="639"/>
    <n v="127161"/>
    <n v="550"/>
    <n v="109450"/>
    <n v="1400"/>
    <n v="278600"/>
    <s v="Timed Out"/>
    <n v="211"/>
    <n v="639"/>
    <n v="550"/>
    <n v="0"/>
    <n v="0"/>
    <n v="0"/>
    <m/>
    <n v="0"/>
    <n v="0"/>
    <n v="0"/>
    <n v="0"/>
    <n v="0"/>
    <n v="0"/>
    <n v="0"/>
    <n v="0"/>
    <n v="3300"/>
    <n v="696019.2"/>
    <n v="33.46246153846154"/>
  </r>
  <r>
    <x v="143"/>
    <s v="Completed"/>
    <m/>
    <n v="512050"/>
    <d v="2017-02-14T00:00:00"/>
    <d v="2018-01-09T00:00:00"/>
    <s v="08"/>
    <x v="3"/>
    <x v="0"/>
    <x v="23"/>
    <n v="26800"/>
    <m/>
    <x v="83"/>
    <x v="132"/>
    <s v="Introduction to General Psychology"/>
    <s v="PSYC 1101"/>
    <s v="Psychology"/>
    <s v="Introduction to General Psychology"/>
    <s v="Created Materials"/>
    <s v="Y"/>
    <s v="OpenStax Psychology"/>
    <x v="2"/>
    <s v="Positive"/>
    <s v="Positive"/>
    <n v="460000"/>
    <n v="2300"/>
    <n v="200"/>
    <n v="766.66666666666663"/>
    <n v="766.66666666666663"/>
    <n v="766.66666666666663"/>
    <s v="Fall 2017"/>
    <s v="N"/>
    <m/>
    <m/>
    <s v="Continued"/>
    <n v="0"/>
    <n v="0"/>
    <n v="0"/>
    <n v="0"/>
    <n v="0"/>
    <n v="0"/>
    <n v="0"/>
    <n v="0"/>
    <n v="0"/>
    <n v="0"/>
    <n v="0"/>
    <n v="0"/>
    <n v="0"/>
    <n v="0"/>
    <n v="0"/>
    <n v="0"/>
    <n v="0"/>
    <n v="0"/>
    <n v="0"/>
    <n v="0"/>
    <n v="0"/>
    <n v="0"/>
    <n v="766.66666666666663"/>
    <n v="153333.33333333331"/>
    <n v="766.66666666666663"/>
    <n v="153333.33333333331"/>
    <n v="1533.3333333333333"/>
    <n v="306666.66666666663"/>
    <x v="0"/>
    <n v="200"/>
    <n v="200"/>
    <n v="200"/>
    <n v="600"/>
    <n v="242.2"/>
    <n v="145320"/>
    <n v="200"/>
    <n v="48440"/>
    <n v="200"/>
    <n v="48440"/>
    <n v="200"/>
    <n v="48440"/>
    <n v="600"/>
    <n v="145320"/>
    <s v="Discontinued"/>
    <n v="0"/>
    <n v="0"/>
    <n v="0"/>
    <n v="0"/>
    <m/>
    <n v="0"/>
    <s v="Fall 2017"/>
    <n v="0"/>
    <n v="0"/>
    <n v="0"/>
    <n v="0"/>
    <n v="0"/>
    <n v="0"/>
    <n v="0"/>
    <n v="0"/>
    <s v="Discontinued"/>
    <n v="0"/>
    <n v="0"/>
    <n v="0"/>
    <n v="0"/>
    <n v="0"/>
    <n v="0"/>
    <m/>
    <n v="0"/>
    <n v="0"/>
    <n v="0"/>
    <n v="0"/>
    <n v="0"/>
    <n v="0"/>
    <n v="0"/>
    <n v="0"/>
    <n v="2133.333333333333"/>
    <n v="451986.66666666663"/>
    <n v="16.865174129353232"/>
  </r>
  <r>
    <x v="144"/>
    <s v="Completed"/>
    <m/>
    <n v="512377"/>
    <d v="2017-05-03T00:00:00"/>
    <d v="2018-01-09T00:00:00"/>
    <s v="08"/>
    <x v="3"/>
    <x v="0"/>
    <x v="0"/>
    <n v="24900"/>
    <m/>
    <x v="3"/>
    <x v="3"/>
    <s v="Exploring Social and Cultural Diversity, Exploring Teaching and Learning"/>
    <s v="EDUC 2120, EDUC 2130"/>
    <s v="Educator Preparation"/>
    <s v="N"/>
    <s v="N"/>
    <s v="N"/>
    <s v="Various OER"/>
    <x v="2"/>
    <s v="Neutral"/>
    <s v="Positive"/>
    <n v="134610"/>
    <n v="420"/>
    <n v="320.5"/>
    <n v="140"/>
    <n v="140"/>
    <n v="140"/>
    <s v="Fall 2017"/>
    <s v="N"/>
    <m/>
    <m/>
    <s v="Continued"/>
    <n v="0"/>
    <n v="0"/>
    <n v="0"/>
    <n v="0"/>
    <n v="0"/>
    <n v="0"/>
    <n v="0"/>
    <n v="0"/>
    <n v="0"/>
    <n v="0"/>
    <n v="0"/>
    <n v="0"/>
    <n v="0"/>
    <n v="0"/>
    <n v="0"/>
    <n v="0"/>
    <n v="0"/>
    <n v="0"/>
    <n v="0"/>
    <n v="0"/>
    <n v="0"/>
    <n v="0"/>
    <n v="140"/>
    <n v="44870"/>
    <n v="140"/>
    <n v="44870"/>
    <n v="280"/>
    <n v="89740"/>
    <x v="0"/>
    <n v="150"/>
    <n v="150"/>
    <n v="150"/>
    <n v="450"/>
    <n v="168"/>
    <n v="75600"/>
    <n v="150"/>
    <n v="25200"/>
    <n v="150"/>
    <n v="25200"/>
    <n v="150"/>
    <n v="25200"/>
    <n v="450"/>
    <n v="75600"/>
    <s v="Continued"/>
    <n v="150"/>
    <n v="150"/>
    <n v="150"/>
    <n v="450"/>
    <n v="168"/>
    <n v="75600"/>
    <s v="Fall 2017"/>
    <n v="150"/>
    <n v="25200"/>
    <n v="150"/>
    <n v="25200"/>
    <n v="150"/>
    <n v="25200"/>
    <n v="450"/>
    <n v="75600"/>
    <s v="Continued"/>
    <n v="150"/>
    <n v="150"/>
    <n v="150"/>
    <n v="450"/>
    <n v="168"/>
    <n v="75600"/>
    <m/>
    <n v="150"/>
    <n v="25200"/>
    <n v="150"/>
    <n v="25200"/>
    <n v="150"/>
    <n v="25200"/>
    <n v="450"/>
    <n v="75600"/>
    <n v="1630"/>
    <n v="316540"/>
    <n v="12.712449799196786"/>
  </r>
  <r>
    <x v="145"/>
    <s v="Completed"/>
    <m/>
    <n v="512202"/>
    <d v="2017-04-18T00:00:00"/>
    <d v="2018-01-09T00:00:00"/>
    <s v="08"/>
    <x v="3"/>
    <x v="0"/>
    <x v="4"/>
    <n v="10800"/>
    <m/>
    <x v="131"/>
    <x v="133"/>
    <s v="Film Aesthetics"/>
    <s v="FLME 1010"/>
    <s v="Georgia Film Academy Film Production"/>
    <s v="N"/>
    <s v="Created Materials"/>
    <s v="N"/>
    <s v="Various OER"/>
    <x v="2"/>
    <s v="Positive"/>
    <s v="Neutral"/>
    <n v="50000"/>
    <n v="400"/>
    <n v="125"/>
    <n v="133.33333333333334"/>
    <n v="133.33333333333334"/>
    <n v="133.33333333333334"/>
    <s v="Summer 2017"/>
    <s v="N"/>
    <m/>
    <m/>
    <s v="Continued"/>
    <n v="0"/>
    <n v="0"/>
    <n v="0"/>
    <n v="0"/>
    <n v="0"/>
    <n v="0"/>
    <n v="0"/>
    <n v="0"/>
    <n v="0"/>
    <n v="0"/>
    <n v="0"/>
    <n v="0"/>
    <n v="0"/>
    <n v="0"/>
    <n v="0"/>
    <n v="0"/>
    <n v="0"/>
    <n v="0"/>
    <n v="0"/>
    <n v="0"/>
    <n v="133.33333333333334"/>
    <n v="16666.666666666668"/>
    <n v="133.33333333333334"/>
    <n v="16666.666666666668"/>
    <n v="133.33333333333334"/>
    <n v="16666.666666666668"/>
    <n v="400"/>
    <n v="50000"/>
    <x v="0"/>
    <n v="120"/>
    <n v="360"/>
    <n v="360"/>
    <n v="840"/>
    <n v="170.67"/>
    <n v="143362.79999999999"/>
    <n v="120"/>
    <n v="20480.399999999998"/>
    <n v="360"/>
    <n v="61441.2"/>
    <n v="360"/>
    <n v="61441.2"/>
    <n v="840"/>
    <n v="143362.79999999999"/>
    <s v="Continued"/>
    <n v="90"/>
    <n v="180"/>
    <n v="180"/>
    <n v="450"/>
    <n v="150"/>
    <n v="67500"/>
    <s v="Summer 2017"/>
    <n v="90"/>
    <n v="13500"/>
    <n v="180"/>
    <n v="27000"/>
    <n v="180"/>
    <n v="27000"/>
    <n v="450"/>
    <n v="67500"/>
    <s v="Continued"/>
    <n v="90"/>
    <n v="180"/>
    <n v="180"/>
    <n v="450"/>
    <n v="150"/>
    <n v="67500"/>
    <m/>
    <n v="90"/>
    <n v="13500"/>
    <n v="180"/>
    <n v="27000"/>
    <n v="180"/>
    <n v="27000"/>
    <n v="450"/>
    <n v="67500"/>
    <n v="2140"/>
    <n v="328362.8"/>
    <n v="30.403962962962961"/>
  </r>
  <r>
    <x v="146"/>
    <s v="Completed"/>
    <m/>
    <n v="512203"/>
    <d v="2017-03-29T00:00:00"/>
    <d v="2018-01-09T00:00:00"/>
    <s v="08"/>
    <x v="3"/>
    <x v="0"/>
    <x v="10"/>
    <n v="30000"/>
    <m/>
    <x v="132"/>
    <x v="134"/>
    <s v="Introduction to Ecology"/>
    <s v="BIOL 1102"/>
    <s v="Biological Sciences"/>
    <s v="N"/>
    <s v="Created Materials"/>
    <s v="Y"/>
    <s v="OpenStax Biology"/>
    <x v="2"/>
    <s v="Positive"/>
    <s v="Positive"/>
    <n v="184057"/>
    <n v="840"/>
    <n v="219.11547619047619"/>
    <n v="280"/>
    <n v="280"/>
    <n v="280"/>
    <s v="Fall 2017"/>
    <s v="N"/>
    <m/>
    <m/>
    <s v="Continued"/>
    <n v="0"/>
    <n v="0"/>
    <n v="0"/>
    <n v="0"/>
    <n v="0"/>
    <n v="0"/>
    <n v="0"/>
    <n v="0"/>
    <n v="0"/>
    <n v="0"/>
    <n v="0"/>
    <n v="0"/>
    <n v="0"/>
    <n v="0"/>
    <n v="0"/>
    <n v="0"/>
    <n v="0"/>
    <n v="0"/>
    <n v="0"/>
    <n v="0"/>
    <n v="0"/>
    <n v="0"/>
    <n v="280"/>
    <n v="61352.333333333336"/>
    <n v="280"/>
    <n v="61352.333333333336"/>
    <n v="560"/>
    <n v="122704.66666666667"/>
    <x v="0"/>
    <n v="165"/>
    <n v="165"/>
    <n v="165"/>
    <n v="495"/>
    <n v="215.8"/>
    <n v="106821"/>
    <n v="165"/>
    <n v="35607"/>
    <n v="165"/>
    <n v="35607"/>
    <n v="165"/>
    <n v="35607"/>
    <n v="495"/>
    <n v="106821"/>
    <s v="Continued"/>
    <n v="48"/>
    <n v="240"/>
    <n v="144"/>
    <n v="432"/>
    <n v="200"/>
    <n v="86400"/>
    <s v="Fall 2017"/>
    <n v="48"/>
    <n v="9600"/>
    <n v="240"/>
    <n v="48000"/>
    <n v="144"/>
    <n v="28800"/>
    <n v="432"/>
    <n v="86400"/>
    <s v="Continued"/>
    <n v="100"/>
    <n v="300"/>
    <n v="300"/>
    <n v="700"/>
    <n v="200"/>
    <n v="140000"/>
    <m/>
    <n v="100"/>
    <n v="20000"/>
    <n v="300"/>
    <n v="60000"/>
    <n v="300"/>
    <n v="60000"/>
    <n v="700"/>
    <n v="140000"/>
    <n v="2187"/>
    <n v="455925.66666666669"/>
    <n v="15.197522222222222"/>
  </r>
  <r>
    <x v="147"/>
    <s v="Completed"/>
    <m/>
    <n v="512100"/>
    <d v="2017-03-29T00:00:00"/>
    <d v="2018-01-09T00:00:00"/>
    <s v="08"/>
    <x v="3"/>
    <x v="0"/>
    <x v="14"/>
    <n v="29000"/>
    <m/>
    <x v="133"/>
    <x v="135"/>
    <s v="American History I, American History II"/>
    <s v="HIST 2111, HIST 2112"/>
    <s v="History"/>
    <s v="Survey of U.S. History I &amp; II"/>
    <s v="N"/>
    <s v="N"/>
    <s v="The American Yawp"/>
    <x v="2"/>
    <s v="Neutral"/>
    <s v="Negative"/>
    <n v="124800"/>
    <n v="2040"/>
    <n v="61.176470588235297"/>
    <n v="680"/>
    <n v="680"/>
    <n v="680"/>
    <s v="Fall 2017"/>
    <s v="N"/>
    <m/>
    <m/>
    <s v="Continued"/>
    <n v="0"/>
    <n v="0"/>
    <n v="0"/>
    <n v="0"/>
    <n v="0"/>
    <n v="0"/>
    <n v="0"/>
    <n v="0"/>
    <n v="0"/>
    <n v="0"/>
    <n v="0"/>
    <n v="0"/>
    <n v="0"/>
    <n v="0"/>
    <n v="0"/>
    <n v="0"/>
    <n v="0"/>
    <n v="0"/>
    <n v="0"/>
    <n v="0"/>
    <n v="0"/>
    <n v="0"/>
    <n v="680"/>
    <n v="41600"/>
    <n v="680"/>
    <n v="41600"/>
    <n v="1360"/>
    <n v="83200"/>
    <x v="0"/>
    <n v="128"/>
    <n v="560"/>
    <n v="560"/>
    <n v="1248"/>
    <n v="71.25"/>
    <n v="88920"/>
    <n v="128"/>
    <n v="9120"/>
    <n v="560"/>
    <n v="39900"/>
    <n v="560"/>
    <n v="39900"/>
    <n v="1248"/>
    <n v="88920"/>
    <s v="Continued"/>
    <n v="99"/>
    <n v="378"/>
    <n v="400"/>
    <n v="877"/>
    <n v="50"/>
    <n v="43850"/>
    <s v="Fall 2017"/>
    <n v="99"/>
    <n v="4950"/>
    <n v="378"/>
    <n v="18900"/>
    <n v="400"/>
    <n v="20000"/>
    <n v="877"/>
    <n v="43850"/>
    <s v="Timed Out"/>
    <n v="99"/>
    <n v="378"/>
    <n v="400"/>
    <n v="0"/>
    <n v="0"/>
    <n v="0"/>
    <m/>
    <n v="0"/>
    <n v="0"/>
    <n v="0"/>
    <n v="0"/>
    <n v="0"/>
    <n v="0"/>
    <n v="0"/>
    <n v="0"/>
    <n v="3485"/>
    <n v="215970"/>
    <n v="7.4472413793103449"/>
  </r>
  <r>
    <x v="148"/>
    <s v="Completed"/>
    <m/>
    <n v="512432"/>
    <s v="?"/>
    <d v="2018-01-09T00:00:00"/>
    <s v="08"/>
    <x v="3"/>
    <x v="0"/>
    <x v="1"/>
    <n v="30000"/>
    <m/>
    <x v="50"/>
    <x v="50"/>
    <s v="Ethical Hacking, Wireless Security, Infrastructure Defense, Professional Practices and Ethics"/>
    <s v="IT 6843, IT 6833, IT 6883, CSE 3801"/>
    <s v="Computing Disciplines"/>
    <s v="N"/>
    <s v="N"/>
    <s v="N"/>
    <s v="Various OER"/>
    <x v="2"/>
    <s v="Neutral"/>
    <s v="Neutral"/>
    <n v="117844"/>
    <n v="855"/>
    <n v="137.82923976608188"/>
    <n v="285"/>
    <n v="285"/>
    <n v="285"/>
    <s v="Summer 2017"/>
    <s v="N"/>
    <m/>
    <m/>
    <s v="Continued"/>
    <n v="0"/>
    <n v="0"/>
    <n v="0"/>
    <n v="0"/>
    <n v="0"/>
    <n v="0"/>
    <n v="0"/>
    <n v="0"/>
    <n v="0"/>
    <n v="0"/>
    <n v="0"/>
    <n v="0"/>
    <n v="0"/>
    <n v="0"/>
    <n v="0"/>
    <n v="0"/>
    <n v="0"/>
    <n v="0"/>
    <n v="0"/>
    <n v="0"/>
    <n v="285"/>
    <n v="39281.333333333336"/>
    <n v="285"/>
    <n v="39281.333333333336"/>
    <n v="285"/>
    <n v="39281.333333333336"/>
    <n v="855"/>
    <n v="117844"/>
    <x v="0"/>
    <n v="226"/>
    <n v="139"/>
    <n v="262"/>
    <n v="627"/>
    <n v="152.66"/>
    <n v="95717.819999999992"/>
    <n v="226"/>
    <n v="34501.159999999996"/>
    <n v="139"/>
    <n v="21219.739999999998"/>
    <n v="262"/>
    <n v="39996.92"/>
    <n v="627"/>
    <n v="95717.819999999992"/>
    <s v="Continued"/>
    <n v="313"/>
    <n v="276"/>
    <n v="338"/>
    <n v="927"/>
    <n v="137.83000000000001"/>
    <n v="127768.41000000002"/>
    <s v="Summer 2017"/>
    <n v="313"/>
    <n v="43140.79"/>
    <n v="276"/>
    <n v="38041.08"/>
    <n v="338"/>
    <n v="46586.54"/>
    <n v="927"/>
    <n v="127768.41"/>
    <s v="Continued"/>
    <n v="313"/>
    <n v="276"/>
    <n v="338"/>
    <n v="927"/>
    <n v="137.83000000000001"/>
    <n v="127768.41000000002"/>
    <m/>
    <n v="313"/>
    <n v="43140.79"/>
    <n v="276"/>
    <n v="38041.08"/>
    <n v="338"/>
    <n v="46586.54"/>
    <n v="927"/>
    <n v="127768.41"/>
    <n v="3336"/>
    <n v="469098.64"/>
    <n v="15.636621333333334"/>
  </r>
  <r>
    <x v="149"/>
    <s v="Completed"/>
    <m/>
    <n v="512102"/>
    <d v="2017-03-29T00:00:00"/>
    <d v="2018-01-09T00:00:00"/>
    <s v="08"/>
    <x v="3"/>
    <x v="0"/>
    <x v="14"/>
    <n v="29826"/>
    <m/>
    <x v="134"/>
    <x v="136"/>
    <s v="Principles of Chemistry I, Principles of Chemistry II"/>
    <s v="CHEM 1211, CHEM 1212"/>
    <s v="Chemistry"/>
    <s v="Principles of Chemistry I &amp; II"/>
    <s v="Created Materials"/>
    <s v="Y"/>
    <s v="OpenStax Chemistry"/>
    <x v="2"/>
    <s v="Neutral"/>
    <s v="Positive"/>
    <n v="132664"/>
    <n v="736"/>
    <n v="180.25"/>
    <n v="245.33333333333334"/>
    <n v="245.33333333333334"/>
    <n v="245.33333333333334"/>
    <s v="Fall 2017"/>
    <s v="N"/>
    <m/>
    <m/>
    <s v="Continued"/>
    <n v="0"/>
    <n v="0"/>
    <n v="0"/>
    <n v="0"/>
    <n v="0"/>
    <n v="0"/>
    <n v="0"/>
    <n v="0"/>
    <n v="0"/>
    <n v="0"/>
    <n v="0"/>
    <n v="0"/>
    <n v="0"/>
    <n v="0"/>
    <n v="0"/>
    <n v="0"/>
    <n v="0"/>
    <n v="0"/>
    <n v="0"/>
    <n v="0"/>
    <n v="0"/>
    <n v="0"/>
    <n v="245.33333333333334"/>
    <n v="44221.333333333336"/>
    <n v="245.33333333333334"/>
    <n v="44221.333333333336"/>
    <n v="490.66666666666669"/>
    <n v="88442.666666666672"/>
    <x v="0"/>
    <n v="100"/>
    <n v="300"/>
    <n v="400"/>
    <n v="800"/>
    <n v="180.25"/>
    <n v="144200"/>
    <n v="100"/>
    <n v="18025"/>
    <n v="300"/>
    <n v="54075"/>
    <n v="400"/>
    <n v="72100"/>
    <n v="800"/>
    <n v="144200"/>
    <s v="Continued"/>
    <n v="100"/>
    <n v="319"/>
    <n v="415"/>
    <n v="834"/>
    <n v="180.25"/>
    <n v="150328.5"/>
    <s v="Fall 2017"/>
    <n v="100"/>
    <n v="18025"/>
    <n v="319"/>
    <n v="57499.75"/>
    <n v="415"/>
    <n v="74803.75"/>
    <n v="834"/>
    <n v="150328.5"/>
    <s v="Continued"/>
    <n v="100"/>
    <n v="319"/>
    <n v="415"/>
    <n v="834"/>
    <n v="180.25"/>
    <n v="150328.5"/>
    <m/>
    <n v="100"/>
    <n v="18025"/>
    <n v="319"/>
    <n v="57499.75"/>
    <n v="415"/>
    <n v="74803.75"/>
    <n v="834"/>
    <n v="150328.5"/>
    <n v="2958.666666666667"/>
    <n v="533299.66666666674"/>
    <n v="17.880361653143794"/>
  </r>
  <r>
    <x v="150"/>
    <s v="Completed"/>
    <m/>
    <n v="512201"/>
    <d v="2017-04-07T00:00:00"/>
    <d v="2018-01-09T00:00:00"/>
    <s v="08"/>
    <x v="3"/>
    <x v="0"/>
    <x v="4"/>
    <n v="10800"/>
    <m/>
    <x v="135"/>
    <x v="137"/>
    <s v="Introduction to Information Systems"/>
    <s v="CIS 2010"/>
    <s v="Computing Disciplines"/>
    <s v="N"/>
    <s v="N"/>
    <s v="N"/>
    <s v="Low-Cost Text"/>
    <x v="2"/>
    <s v="Positive"/>
    <s v="Positive"/>
    <n v="161998"/>
    <n v="3028"/>
    <n v="53.5"/>
    <n v="1009.3333333333334"/>
    <n v="1009.3333333333334"/>
    <n v="1009.3333333333334"/>
    <s v="Fall 2017"/>
    <s v="N"/>
    <m/>
    <m/>
    <s v="Continued"/>
    <n v="0"/>
    <n v="0"/>
    <n v="0"/>
    <n v="0"/>
    <n v="0"/>
    <n v="0"/>
    <n v="0"/>
    <n v="0"/>
    <n v="0"/>
    <n v="0"/>
    <n v="0"/>
    <n v="0"/>
    <n v="0"/>
    <n v="0"/>
    <n v="0"/>
    <n v="0"/>
    <n v="0"/>
    <n v="0"/>
    <n v="0"/>
    <n v="0"/>
    <n v="0"/>
    <n v="0"/>
    <n v="1009.3333333333334"/>
    <n v="53999.333333333336"/>
    <n v="1009.3333333333334"/>
    <n v="53999.333333333336"/>
    <n v="2018.6666666666667"/>
    <n v="107998.66666666667"/>
    <x v="0"/>
    <n v="281"/>
    <n v="576"/>
    <n v="633"/>
    <n v="1490"/>
    <n v="131.25"/>
    <n v="195562.5"/>
    <n v="281"/>
    <n v="36881.25"/>
    <n v="576"/>
    <n v="75600"/>
    <n v="633"/>
    <n v="83081.25"/>
    <n v="1490"/>
    <n v="195562.5"/>
    <s v="Continued"/>
    <n v="281"/>
    <n v="576"/>
    <n v="633"/>
    <n v="1490"/>
    <n v="100"/>
    <n v="149000"/>
    <s v="Fall 2017"/>
    <n v="281"/>
    <n v="28100"/>
    <n v="576"/>
    <n v="57600"/>
    <n v="633"/>
    <n v="63300"/>
    <n v="1490"/>
    <n v="149000"/>
    <s v="Discontinued"/>
    <n v="281"/>
    <n v="576"/>
    <n v="633"/>
    <n v="0"/>
    <n v="0"/>
    <n v="0"/>
    <m/>
    <n v="0"/>
    <n v="0"/>
    <n v="0"/>
    <n v="0"/>
    <n v="0"/>
    <n v="0"/>
    <n v="0"/>
    <n v="0"/>
    <n v="4998.666666666667"/>
    <n v="452561.16666666669"/>
    <n v="41.903811728395063"/>
  </r>
  <r>
    <x v="151"/>
    <s v="Completed"/>
    <m/>
    <n v="512601"/>
    <d v="2017-06-26T00:00:00"/>
    <d v="2018-05-30T00:00:00"/>
    <s v="09"/>
    <x v="3"/>
    <x v="0"/>
    <x v="14"/>
    <n v="10800"/>
    <m/>
    <x v="136"/>
    <x v="138"/>
    <s v="Introductory Medical Microbiology"/>
    <s v="BIOL 2161"/>
    <s v="Biological Sciences"/>
    <s v="N"/>
    <s v="Created Materials"/>
    <s v="Y"/>
    <s v="OpenStax Microbiology"/>
    <x v="2"/>
    <s v="Positive"/>
    <s v="Neutral"/>
    <n v="92225"/>
    <n v="340"/>
    <n v="271.25"/>
    <n v="113.33333333333333"/>
    <n v="113.33333333333333"/>
    <n v="113.33333333333333"/>
    <s v="Fall 2017"/>
    <s v="N"/>
    <m/>
    <m/>
    <s v="Continued"/>
    <n v="0"/>
    <n v="0"/>
    <n v="0"/>
    <n v="0"/>
    <n v="0"/>
    <n v="0"/>
    <n v="0"/>
    <n v="0"/>
    <n v="0"/>
    <n v="0"/>
    <n v="0"/>
    <n v="0"/>
    <n v="0"/>
    <n v="0"/>
    <n v="0"/>
    <n v="0"/>
    <n v="0"/>
    <n v="0"/>
    <n v="0"/>
    <n v="0"/>
    <n v="0"/>
    <n v="0"/>
    <n v="113.33333333333333"/>
    <n v="30741.666666666664"/>
    <n v="113.33333333333333"/>
    <n v="30741.666666666664"/>
    <n v="226.66666666666666"/>
    <n v="61483.333333333328"/>
    <x v="0"/>
    <n v="120"/>
    <n v="120"/>
    <n v="120"/>
    <n v="360"/>
    <n v="266.2"/>
    <n v="95832"/>
    <n v="120"/>
    <n v="31944"/>
    <n v="120"/>
    <n v="31944"/>
    <n v="120"/>
    <n v="31944"/>
    <n v="360"/>
    <n v="95832"/>
    <s v="Continued"/>
    <n v="36"/>
    <n v="135"/>
    <n v="140"/>
    <n v="311"/>
    <n v="271.25"/>
    <n v="84358.75"/>
    <s v="Fall 2017"/>
    <n v="36"/>
    <n v="9765"/>
    <n v="135"/>
    <n v="36618.75"/>
    <n v="140"/>
    <n v="37975"/>
    <n v="311"/>
    <n v="84358.75"/>
    <s v="Continued"/>
    <n v="36"/>
    <n v="135"/>
    <n v="140"/>
    <n v="311"/>
    <n v="271.25"/>
    <n v="84358.75"/>
    <m/>
    <n v="36"/>
    <n v="9765"/>
    <n v="135"/>
    <n v="36618.75"/>
    <n v="140"/>
    <n v="37975"/>
    <n v="311"/>
    <n v="84358.75"/>
    <n v="1208.6666666666665"/>
    <n v="326032.83333333331"/>
    <n v="30.188225308641975"/>
  </r>
  <r>
    <x v="152"/>
    <s v="Completed"/>
    <m/>
    <n v="512602"/>
    <d v="2017-06-26T00:00:00"/>
    <d v="2018-05-30T00:00:00"/>
    <s v="09"/>
    <x v="3"/>
    <x v="0"/>
    <x v="10"/>
    <n v="10800"/>
    <m/>
    <x v="137"/>
    <x v="139"/>
    <s v="Mathematical Models"/>
    <s v="MATH 1101"/>
    <s v="Mathematical Subjects"/>
    <s v="Introduction to Mathematical Modeling"/>
    <s v="N"/>
    <s v="N"/>
    <s v="Various OER"/>
    <x v="2"/>
    <s v="Positive"/>
    <s v="Positive"/>
    <n v="68850"/>
    <n v="300"/>
    <n v="229.5"/>
    <n v="100"/>
    <n v="100"/>
    <n v="100"/>
    <s v="Fall 2017"/>
    <s v="N"/>
    <m/>
    <m/>
    <s v="Continued"/>
    <n v="0"/>
    <n v="0"/>
    <n v="0"/>
    <n v="0"/>
    <n v="0"/>
    <n v="0"/>
    <n v="0"/>
    <n v="0"/>
    <n v="0"/>
    <n v="0"/>
    <n v="0"/>
    <n v="0"/>
    <n v="0"/>
    <n v="0"/>
    <n v="0"/>
    <n v="0"/>
    <n v="0"/>
    <n v="0"/>
    <n v="0"/>
    <n v="0"/>
    <n v="0"/>
    <n v="0"/>
    <n v="100"/>
    <n v="22950"/>
    <n v="100"/>
    <n v="22950"/>
    <n v="200"/>
    <n v="45900"/>
    <x v="0"/>
    <n v="0"/>
    <n v="35"/>
    <n v="35"/>
    <n v="70"/>
    <n v="249.95"/>
    <n v="17496.5"/>
    <n v="0"/>
    <n v="0"/>
    <n v="35"/>
    <n v="8748.25"/>
    <n v="35"/>
    <n v="8748.25"/>
    <n v="70"/>
    <n v="17496.5"/>
    <s v="Continued"/>
    <n v="0"/>
    <n v="28"/>
    <n v="35"/>
    <n v="63"/>
    <n v="256.14999999999998"/>
    <n v="16137.449999999999"/>
    <s v="Fall 2017"/>
    <n v="0"/>
    <n v="0"/>
    <n v="28"/>
    <n v="7172.1999999999989"/>
    <n v="35"/>
    <n v="8965.25"/>
    <n v="63"/>
    <n v="16137.449999999999"/>
    <s v="Discontinued"/>
    <n v="0"/>
    <n v="28"/>
    <n v="35"/>
    <n v="63"/>
    <n v="256.14999999999998"/>
    <n v="16137.449999999999"/>
    <m/>
    <n v="0"/>
    <n v="0"/>
    <n v="0"/>
    <n v="0"/>
    <n v="0"/>
    <n v="0"/>
    <n v="0"/>
    <n v="0"/>
    <n v="333"/>
    <n v="79533.95"/>
    <n v="7.3642546296296292"/>
  </r>
  <r>
    <x v="153"/>
    <s v="Completed"/>
    <m/>
    <n v="512603"/>
    <d v="2017-08-07T00:00:00"/>
    <d v="2018-05-30T00:00:00"/>
    <s v="09"/>
    <x v="3"/>
    <x v="0"/>
    <x v="1"/>
    <n v="10800"/>
    <m/>
    <x v="138"/>
    <x v="140"/>
    <s v="Social Problems"/>
    <s v="SOCI 2251"/>
    <s v="Sociology"/>
    <s v="Introduction to Social Problems"/>
    <s v="N"/>
    <s v="N"/>
    <s v="Social Problems: Continuity and Change"/>
    <x v="2"/>
    <s v="Neutral"/>
    <s v="Neutral"/>
    <n v="16735.5"/>
    <n v="90"/>
    <n v="185.95"/>
    <n v="30"/>
    <n v="30"/>
    <n v="30"/>
    <s v="Spring 2018"/>
    <s v="N"/>
    <m/>
    <m/>
    <s v="Continued"/>
    <n v="0"/>
    <n v="0"/>
    <n v="0"/>
    <n v="0"/>
    <n v="0"/>
    <n v="0"/>
    <n v="0"/>
    <n v="0"/>
    <n v="0"/>
    <n v="0"/>
    <n v="0"/>
    <n v="0"/>
    <n v="0"/>
    <n v="0"/>
    <n v="0"/>
    <n v="0"/>
    <n v="0"/>
    <n v="0"/>
    <n v="0"/>
    <n v="0"/>
    <n v="0"/>
    <n v="0"/>
    <n v="0"/>
    <n v="0"/>
    <n v="30"/>
    <n v="5578.5"/>
    <n v="30"/>
    <n v="5578.5"/>
    <x v="0"/>
    <n v="30"/>
    <n v="30"/>
    <n v="30"/>
    <n v="90"/>
    <n v="194.2"/>
    <n v="17478"/>
    <n v="30"/>
    <n v="5826"/>
    <n v="30"/>
    <n v="5826"/>
    <n v="30"/>
    <n v="5826"/>
    <n v="90"/>
    <n v="17478"/>
    <s v="Discontinued"/>
    <n v="0"/>
    <n v="0"/>
    <n v="0"/>
    <n v="0"/>
    <n v="0"/>
    <n v="0"/>
    <s v="Spring 2018"/>
    <n v="0"/>
    <n v="0"/>
    <n v="0"/>
    <n v="0"/>
    <n v="0"/>
    <n v="0"/>
    <n v="0"/>
    <n v="0"/>
    <s v="Discontinued"/>
    <n v="0"/>
    <n v="0"/>
    <n v="0"/>
    <n v="0"/>
    <n v="0"/>
    <n v="0"/>
    <m/>
    <n v="0"/>
    <n v="0"/>
    <n v="0"/>
    <n v="0"/>
    <n v="0"/>
    <n v="0"/>
    <n v="0"/>
    <n v="0"/>
    <n v="120"/>
    <n v="23056.5"/>
    <n v="2.1348611111111113"/>
  </r>
  <r>
    <x v="154"/>
    <s v="Completed"/>
    <m/>
    <n v="512798"/>
    <d v="2017-08-07T00:00:00"/>
    <d v="2018-01-09T00:00:00"/>
    <s v="09"/>
    <x v="3"/>
    <x v="0"/>
    <x v="4"/>
    <n v="5400"/>
    <m/>
    <x v="73"/>
    <x v="73"/>
    <s v="Criminology"/>
    <s v="CRJU 3410, CRJU 3100"/>
    <s v="Criminal Justice"/>
    <s v="N"/>
    <s v="N"/>
    <s v="N"/>
    <s v="OER and Library"/>
    <x v="2"/>
    <s v="Positive"/>
    <s v="Positive"/>
    <n v="23700"/>
    <n v="237"/>
    <n v="100"/>
    <n v="79"/>
    <n v="79"/>
    <n v="79"/>
    <s v="Fall 2017"/>
    <s v="N"/>
    <m/>
    <m/>
    <s v="Continued"/>
    <n v="0"/>
    <n v="0"/>
    <n v="0"/>
    <n v="0"/>
    <n v="0"/>
    <n v="0"/>
    <n v="0"/>
    <n v="0"/>
    <n v="0"/>
    <n v="0"/>
    <n v="0"/>
    <n v="0"/>
    <n v="0"/>
    <n v="0"/>
    <n v="0"/>
    <n v="0"/>
    <n v="0"/>
    <n v="0"/>
    <n v="0"/>
    <n v="0"/>
    <n v="0"/>
    <n v="0"/>
    <n v="79"/>
    <n v="7900"/>
    <n v="79"/>
    <n v="7900"/>
    <n v="158"/>
    <n v="15800"/>
    <x v="0"/>
    <n v="0"/>
    <n v="100"/>
    <n v="100"/>
    <n v="200"/>
    <n v="105"/>
    <n v="21000"/>
    <n v="0"/>
    <n v="0"/>
    <n v="100"/>
    <n v="10500"/>
    <n v="100"/>
    <n v="10500"/>
    <n v="200"/>
    <n v="21000"/>
    <s v="Continued"/>
    <n v="0"/>
    <n v="0"/>
    <n v="100"/>
    <n v="100"/>
    <n v="116"/>
    <n v="11600"/>
    <s v="Fall 2017"/>
    <n v="0"/>
    <n v="0"/>
    <n v="0"/>
    <n v="0"/>
    <n v="100"/>
    <n v="11600"/>
    <n v="100"/>
    <n v="11600"/>
    <s v="Continued"/>
    <n v="0"/>
    <n v="0"/>
    <n v="100"/>
    <n v="100"/>
    <n v="116"/>
    <n v="11600"/>
    <m/>
    <n v="0"/>
    <n v="0"/>
    <n v="0"/>
    <n v="0"/>
    <n v="100"/>
    <n v="11600"/>
    <n v="100"/>
    <n v="11600"/>
    <n v="558"/>
    <n v="60000"/>
    <n v="11.111111111111111"/>
  </r>
  <r>
    <x v="155"/>
    <s v="Completed"/>
    <m/>
    <n v="512797"/>
    <d v="2018-01-25T00:00:00"/>
    <d v="2018-01-25T00:00:00"/>
    <s v="09"/>
    <x v="3"/>
    <x v="0"/>
    <x v="18"/>
    <n v="5400"/>
    <m/>
    <x v="73"/>
    <x v="73"/>
    <s v="Criminology"/>
    <s v="CRJU 3410, CRJU 3100"/>
    <s v="Criminal Justice"/>
    <s v="N"/>
    <s v="N"/>
    <s v="N"/>
    <s v="OER and Library"/>
    <x v="4"/>
    <s v="Duplicate"/>
    <s v="Duplicate"/>
    <n v="23700"/>
    <n v="237"/>
    <n v="100"/>
    <n v="79"/>
    <n v="79"/>
    <n v="79"/>
    <s v="Fall 2017"/>
    <s v="N"/>
    <m/>
    <m/>
    <s v="Continued"/>
    <n v="0"/>
    <n v="0"/>
    <n v="0"/>
    <n v="0"/>
    <n v="0"/>
    <n v="0"/>
    <n v="0"/>
    <n v="0"/>
    <n v="0"/>
    <n v="0"/>
    <n v="0"/>
    <n v="0"/>
    <n v="0"/>
    <n v="0"/>
    <n v="0"/>
    <n v="0"/>
    <n v="0"/>
    <n v="0"/>
    <n v="0"/>
    <n v="0"/>
    <n v="0"/>
    <n v="0"/>
    <n v="79"/>
    <n v="7900"/>
    <n v="79"/>
    <n v="7900"/>
    <n v="158"/>
    <n v="15800"/>
    <x v="0"/>
    <n v="0"/>
    <n v="100"/>
    <n v="100"/>
    <n v="200"/>
    <n v="105"/>
    <n v="21000"/>
    <n v="0"/>
    <n v="0"/>
    <n v="100"/>
    <n v="10500"/>
    <n v="100"/>
    <n v="10500"/>
    <n v="200"/>
    <n v="21000"/>
    <s v="Continued"/>
    <n v="0"/>
    <n v="0"/>
    <n v="100"/>
    <n v="100"/>
    <n v="116"/>
    <n v="11600"/>
    <s v="Fall 2017"/>
    <n v="0"/>
    <n v="0"/>
    <n v="0"/>
    <n v="0"/>
    <n v="100"/>
    <n v="11600"/>
    <n v="100"/>
    <n v="11600"/>
    <s v="Continued"/>
    <n v="0"/>
    <n v="0"/>
    <n v="100"/>
    <n v="100"/>
    <n v="116"/>
    <n v="11600"/>
    <m/>
    <n v="0"/>
    <n v="0"/>
    <n v="0"/>
    <n v="0"/>
    <n v="100"/>
    <n v="11600"/>
    <n v="100"/>
    <n v="11600"/>
    <n v="558"/>
    <n v="60000"/>
    <n v="11.111111111111111"/>
  </r>
  <r>
    <x v="156"/>
    <s v="Completed"/>
    <m/>
    <n v="512605"/>
    <d v="2017-07-05T00:00:00"/>
    <d v="2018-05-30T00:00:00"/>
    <s v="09"/>
    <x v="3"/>
    <x v="0"/>
    <x v="1"/>
    <n v="30000"/>
    <m/>
    <x v="139"/>
    <x v="141"/>
    <s v="Composition I and II"/>
    <s v="ENGL 1101, ENGL 1102"/>
    <s v="English"/>
    <s v="English Composition I &amp; II"/>
    <s v="Created Materials"/>
    <s v="N"/>
    <s v="Open Comp-Owl-Sition"/>
    <x v="2"/>
    <s v="Neutral"/>
    <s v="Neutral"/>
    <n v="82360.2"/>
    <n v="676"/>
    <n v="121.83461538461538"/>
    <n v="225.33333333333334"/>
    <n v="225.33333333333334"/>
    <n v="225.33333333333334"/>
    <s v="Spring 2018"/>
    <s v="N"/>
    <m/>
    <m/>
    <s v="Continued"/>
    <n v="0"/>
    <n v="0"/>
    <n v="0"/>
    <n v="0"/>
    <n v="0"/>
    <n v="0"/>
    <n v="0"/>
    <n v="0"/>
    <n v="0"/>
    <n v="0"/>
    <n v="0"/>
    <n v="0"/>
    <n v="0"/>
    <n v="0"/>
    <n v="0"/>
    <n v="0"/>
    <n v="0"/>
    <n v="0"/>
    <n v="0"/>
    <n v="0"/>
    <n v="0"/>
    <n v="0"/>
    <n v="0"/>
    <n v="0"/>
    <n v="225.33333333333334"/>
    <n v="27453.399999999998"/>
    <n v="225.33333333333334"/>
    <n v="27453.399999999998"/>
    <x v="0"/>
    <n v="78"/>
    <n v="156"/>
    <n v="182"/>
    <n v="416"/>
    <n v="122.01"/>
    <n v="50756.160000000003"/>
    <n v="78"/>
    <n v="9516.7800000000007"/>
    <n v="156"/>
    <n v="19033.560000000001"/>
    <n v="182"/>
    <n v="22205.82"/>
    <n v="416"/>
    <n v="50756.160000000003"/>
    <s v="Continued"/>
    <n v="78"/>
    <n v="156"/>
    <n v="182"/>
    <n v="416"/>
    <n v="121.83"/>
    <n v="50681.279999999999"/>
    <s v="Spring 2018"/>
    <n v="78"/>
    <n v="9502.74"/>
    <n v="156"/>
    <n v="19005.48"/>
    <n v="182"/>
    <n v="22173.06"/>
    <n v="416"/>
    <n v="50681.279999999999"/>
    <s v="Continued"/>
    <n v="78"/>
    <n v="156"/>
    <n v="182"/>
    <n v="416"/>
    <n v="121.83"/>
    <n v="50681.279999999999"/>
    <m/>
    <n v="78"/>
    <n v="9502.74"/>
    <n v="156"/>
    <n v="19005.48"/>
    <n v="182"/>
    <n v="22173.06"/>
    <n v="416"/>
    <n v="50681.279999999999"/>
    <n v="1473.3333333333335"/>
    <n v="179572.12"/>
    <n v="5.9857373333333328"/>
  </r>
  <r>
    <x v="157"/>
    <s v="Completed"/>
    <m/>
    <n v="512606"/>
    <d v="2017-06-26T00:00:00"/>
    <d v="2018-07-18T00:00:00"/>
    <s v="09"/>
    <x v="3"/>
    <x v="0"/>
    <x v="21"/>
    <n v="10800"/>
    <m/>
    <x v="140"/>
    <x v="142"/>
    <s v="Web Technologies"/>
    <s v="ITEC 2130"/>
    <s v="Computing Disciplines"/>
    <s v="N"/>
    <s v="Created Materials"/>
    <s v="N"/>
    <s v="Web Technologies Course Materials"/>
    <x v="2"/>
    <s v="Positive"/>
    <s v="Neutral"/>
    <n v="71240.399999999994"/>
    <n v="252"/>
    <n v="282.7"/>
    <n v="84"/>
    <n v="84"/>
    <n v="84"/>
    <s v="Spring 2018"/>
    <s v="N"/>
    <m/>
    <m/>
    <s v="Continued"/>
    <n v="0"/>
    <n v="0"/>
    <n v="0"/>
    <n v="0"/>
    <n v="0"/>
    <n v="0"/>
    <n v="0"/>
    <n v="0"/>
    <n v="0"/>
    <n v="0"/>
    <n v="0"/>
    <n v="0"/>
    <n v="0"/>
    <n v="0"/>
    <n v="0"/>
    <n v="0"/>
    <n v="0"/>
    <n v="0"/>
    <n v="0"/>
    <n v="0"/>
    <n v="0"/>
    <n v="0"/>
    <n v="0"/>
    <n v="0"/>
    <n v="84"/>
    <n v="23746.799999999999"/>
    <n v="84"/>
    <n v="23746.799999999999"/>
    <x v="1"/>
    <n v="0"/>
    <n v="0"/>
    <n v="0"/>
    <n v="0"/>
    <n v="284.88"/>
    <n v="0"/>
    <n v="0"/>
    <n v="0"/>
    <n v="0"/>
    <n v="0"/>
    <n v="0"/>
    <n v="0"/>
    <n v="0"/>
    <n v="0"/>
    <s v="Discontinued"/>
    <n v="0"/>
    <n v="0"/>
    <n v="0"/>
    <n v="0"/>
    <m/>
    <n v="0"/>
    <s v="Spring 2018"/>
    <n v="0"/>
    <n v="0"/>
    <n v="0"/>
    <n v="0"/>
    <n v="0"/>
    <n v="0"/>
    <n v="0"/>
    <n v="0"/>
    <s v="Discontinued"/>
    <n v="0"/>
    <n v="0"/>
    <n v="0"/>
    <n v="0"/>
    <n v="0"/>
    <n v="0"/>
    <m/>
    <n v="0"/>
    <n v="0"/>
    <n v="0"/>
    <n v="0"/>
    <n v="0"/>
    <n v="0"/>
    <n v="0"/>
    <n v="0"/>
    <n v="84"/>
    <n v="23746.799999999999"/>
    <n v="2.1987777777777775"/>
  </r>
  <r>
    <x v="158"/>
    <s v="Completed"/>
    <m/>
    <n v="512607"/>
    <d v="2017-06-23T00:00:00"/>
    <d v="2018-05-30T00:00:00"/>
    <s v="09"/>
    <x v="3"/>
    <x v="0"/>
    <x v="10"/>
    <n v="12800"/>
    <m/>
    <x v="141"/>
    <x v="143"/>
    <s v="Science Methods for Elementary School Teachers; Science Methods for Teachers (P-12)"/>
    <s v="SIED 4184, SIED 4500"/>
    <s v="Educator Preparation"/>
    <s v="N"/>
    <s v="N"/>
    <s v="N"/>
    <s v="Various OER"/>
    <x v="0"/>
    <s v="Neutral"/>
    <s v="Neutral"/>
    <n v="23100"/>
    <n v="210"/>
    <n v="110"/>
    <n v="70"/>
    <n v="70"/>
    <n v="70"/>
    <s v="Fall 2017"/>
    <s v="N"/>
    <m/>
    <m/>
    <s v="Continued"/>
    <n v="0"/>
    <n v="0"/>
    <n v="0"/>
    <n v="0"/>
    <n v="0"/>
    <n v="0"/>
    <n v="0"/>
    <n v="0"/>
    <n v="0"/>
    <n v="0"/>
    <n v="0"/>
    <n v="0"/>
    <n v="0"/>
    <n v="0"/>
    <n v="0"/>
    <n v="0"/>
    <n v="0"/>
    <n v="0"/>
    <n v="0"/>
    <n v="0"/>
    <n v="0"/>
    <n v="0"/>
    <n v="70"/>
    <n v="7700"/>
    <n v="70"/>
    <n v="7700"/>
    <n v="140"/>
    <n v="15400"/>
    <x v="0"/>
    <n v="0"/>
    <n v="200"/>
    <n v="0"/>
    <n v="200"/>
    <n v="138.65"/>
    <n v="27730"/>
    <n v="0"/>
    <n v="0"/>
    <n v="200"/>
    <n v="27730"/>
    <n v="0"/>
    <n v="0"/>
    <n v="200"/>
    <n v="27730"/>
    <s v="Continued"/>
    <n v="0"/>
    <n v="200"/>
    <n v="0"/>
    <n v="200"/>
    <n v="110"/>
    <n v="22000"/>
    <s v="Fall 2017"/>
    <n v="0"/>
    <n v="0"/>
    <n v="200"/>
    <n v="22000"/>
    <n v="0"/>
    <n v="0"/>
    <n v="200"/>
    <n v="22000"/>
    <s v="Continued"/>
    <n v="0"/>
    <n v="200"/>
    <n v="0"/>
    <n v="200"/>
    <n v="110"/>
    <n v="22000"/>
    <m/>
    <n v="0"/>
    <n v="0"/>
    <n v="200"/>
    <n v="22000"/>
    <n v="0"/>
    <n v="0"/>
    <n v="200"/>
    <n v="22000"/>
    <n v="740"/>
    <n v="87130"/>
    <n v="6.8070312499999996"/>
  </r>
  <r>
    <x v="159"/>
    <s v="Completed"/>
    <m/>
    <n v="512608"/>
    <d v="2017-06-23T00:00:00"/>
    <d v="2018-05-30T00:00:00"/>
    <s v="09"/>
    <x v="3"/>
    <x v="0"/>
    <x v="10"/>
    <n v="30000"/>
    <m/>
    <x v="142"/>
    <x v="144"/>
    <s v="World Literature II"/>
    <s v="ENGL 2112"/>
    <s v="English"/>
    <s v="World Literature II"/>
    <s v="Created Materials"/>
    <s v="N"/>
    <s v="World Literature II (Delayed)"/>
    <x v="2"/>
    <s v="Positive"/>
    <s v="Positive"/>
    <n v="52125"/>
    <n v="750"/>
    <n v="69.5"/>
    <n v="250"/>
    <n v="250"/>
    <n v="250"/>
    <s v="Spring 2018"/>
    <s v="N"/>
    <m/>
    <m/>
    <s v="Continued"/>
    <n v="0"/>
    <n v="0"/>
    <n v="0"/>
    <n v="0"/>
    <n v="0"/>
    <n v="0"/>
    <n v="0"/>
    <n v="0"/>
    <n v="0"/>
    <n v="0"/>
    <n v="0"/>
    <n v="0"/>
    <n v="0"/>
    <n v="0"/>
    <n v="0"/>
    <n v="0"/>
    <n v="0"/>
    <n v="0"/>
    <n v="0"/>
    <n v="0"/>
    <n v="0"/>
    <n v="0"/>
    <n v="0"/>
    <n v="0"/>
    <n v="250"/>
    <n v="17375"/>
    <n v="250"/>
    <n v="17375"/>
    <x v="0"/>
    <n v="25"/>
    <n v="50"/>
    <n v="50"/>
    <n v="125"/>
    <n v="69.5"/>
    <n v="8687.5"/>
    <n v="25"/>
    <n v="1737.5"/>
    <n v="50"/>
    <n v="3475"/>
    <n v="50"/>
    <n v="3475"/>
    <n v="125"/>
    <n v="8687.5"/>
    <s v="Continued"/>
    <n v="42"/>
    <n v="132"/>
    <n v="93"/>
    <n v="267"/>
    <n v="84"/>
    <n v="22428"/>
    <s v="Spring 2018"/>
    <n v="42"/>
    <n v="3528"/>
    <n v="132"/>
    <n v="11088"/>
    <n v="93"/>
    <n v="7812"/>
    <n v="267"/>
    <n v="22428"/>
    <s v="Continued"/>
    <n v="50"/>
    <n v="75"/>
    <n v="92"/>
    <n v="217"/>
    <n v="80"/>
    <n v="17360"/>
    <m/>
    <n v="50"/>
    <n v="4000"/>
    <n v="75"/>
    <n v="6000"/>
    <n v="92"/>
    <n v="7360"/>
    <n v="217"/>
    <n v="17360"/>
    <n v="859"/>
    <n v="65850.5"/>
    <n v="2.1950166666666666"/>
  </r>
  <r>
    <x v="160"/>
    <s v="Completed"/>
    <m/>
    <n v="512609"/>
    <d v="2017-08-07T00:00:00"/>
    <d v="2018-05-30T00:00:00"/>
    <s v="09"/>
    <x v="3"/>
    <x v="0"/>
    <x v="8"/>
    <n v="15120"/>
    <m/>
    <x v="143"/>
    <x v="145"/>
    <s v="First Year Seminar"/>
    <s v="GT 1000"/>
    <s v="Arts and Sciences"/>
    <s v="N"/>
    <s v="Created Materials"/>
    <s v="N"/>
    <s v="GT1000: First-Year Seminar"/>
    <x v="0"/>
    <s v="Neutral"/>
    <s v="Positive"/>
    <n v="70775"/>
    <n v="1900"/>
    <n v="37.25"/>
    <n v="633.33333333333337"/>
    <n v="633.33333333333337"/>
    <n v="633.33333333333337"/>
    <s v="Fall 2017"/>
    <s v="N"/>
    <m/>
    <m/>
    <s v="Continued"/>
    <n v="0"/>
    <n v="0"/>
    <n v="0"/>
    <n v="0"/>
    <n v="0"/>
    <n v="0"/>
    <n v="0"/>
    <n v="0"/>
    <n v="0"/>
    <n v="0"/>
    <n v="0"/>
    <n v="0"/>
    <n v="0"/>
    <n v="0"/>
    <n v="0"/>
    <n v="0"/>
    <n v="0"/>
    <n v="0"/>
    <n v="0"/>
    <n v="0"/>
    <n v="0"/>
    <n v="0"/>
    <n v="633.33333333333337"/>
    <n v="23591.666666666668"/>
    <n v="633.33333333333337"/>
    <n v="23591.666666666668"/>
    <n v="1266.6666666666667"/>
    <n v="47183.333333333336"/>
    <x v="0"/>
    <n v="400"/>
    <n v="1800"/>
    <n v="50"/>
    <n v="2250"/>
    <n v="37.25"/>
    <n v="83812.5"/>
    <n v="400"/>
    <n v="14900"/>
    <n v="1800"/>
    <n v="67050"/>
    <n v="50"/>
    <n v="1862.5"/>
    <n v="2250"/>
    <n v="83812.5"/>
    <s v="Continued"/>
    <n v="500"/>
    <n v="1700"/>
    <n v="100"/>
    <n v="2300"/>
    <n v="37.25"/>
    <n v="85675"/>
    <s v="Fall 2017"/>
    <n v="500"/>
    <n v="18625"/>
    <n v="1700"/>
    <n v="63325"/>
    <n v="100"/>
    <n v="3725"/>
    <n v="2300"/>
    <n v="85675"/>
    <s v="Timed Out"/>
    <n v="500"/>
    <n v="1700"/>
    <n v="100"/>
    <n v="0"/>
    <n v="0"/>
    <n v="0"/>
    <m/>
    <n v="0"/>
    <n v="0"/>
    <n v="0"/>
    <n v="0"/>
    <n v="0"/>
    <n v="0"/>
    <n v="0"/>
    <n v="0"/>
    <n v="5816.666666666667"/>
    <n v="216670.83333333334"/>
    <n v="14.330081569664904"/>
  </r>
  <r>
    <x v="161"/>
    <s v="Completed"/>
    <m/>
    <n v="512610"/>
    <d v="2017-06-28T00:00:00"/>
    <d v="2018-05-30T00:00:00"/>
    <s v="09"/>
    <x v="3"/>
    <x v="0"/>
    <x v="3"/>
    <n v="15800"/>
    <m/>
    <x v="144"/>
    <x v="146"/>
    <s v="Microbiology; General Microbiology"/>
    <s v="BIOL 2215, 3340"/>
    <s v="Biological Sciences"/>
    <s v="N"/>
    <s v="N"/>
    <s v="N"/>
    <s v="OpenStax Microbiology"/>
    <x v="2"/>
    <s v="Neutral"/>
    <s v="Neutral"/>
    <n v="53200"/>
    <n v="200"/>
    <n v="266"/>
    <n v="66.666666666666671"/>
    <n v="66.666666666666671"/>
    <n v="66.666666666666671"/>
    <s v="Spring 2018"/>
    <s v="N"/>
    <m/>
    <m/>
    <s v="Continued"/>
    <n v="0"/>
    <n v="0"/>
    <n v="0"/>
    <n v="0"/>
    <n v="0"/>
    <n v="0"/>
    <n v="0"/>
    <n v="0"/>
    <n v="0"/>
    <n v="0"/>
    <n v="0"/>
    <n v="0"/>
    <n v="0"/>
    <n v="0"/>
    <n v="0"/>
    <n v="0"/>
    <n v="0"/>
    <n v="0"/>
    <n v="0"/>
    <n v="0"/>
    <n v="0"/>
    <n v="0"/>
    <n v="0"/>
    <n v="0"/>
    <n v="66.666666666666671"/>
    <n v="17733.333333333336"/>
    <n v="66.666666666666671"/>
    <n v="17733.333333333336"/>
    <x v="0"/>
    <n v="24"/>
    <n v="120"/>
    <n v="120"/>
    <n v="264"/>
    <n v="199.5"/>
    <n v="52668"/>
    <n v="24"/>
    <n v="4788"/>
    <n v="120"/>
    <n v="23940"/>
    <n v="120"/>
    <n v="23940"/>
    <n v="264"/>
    <n v="52668"/>
    <s v="Continued"/>
    <n v="17"/>
    <n v="115"/>
    <n v="120"/>
    <n v="252"/>
    <n v="266"/>
    <n v="67032"/>
    <s v="Spring 2018"/>
    <n v="17"/>
    <n v="4522"/>
    <n v="115"/>
    <n v="30590"/>
    <n v="120"/>
    <n v="31920"/>
    <n v="252"/>
    <n v="67032"/>
    <s v="Continued"/>
    <n v="17"/>
    <n v="115"/>
    <n v="120"/>
    <n v="252"/>
    <n v="266"/>
    <n v="67032"/>
    <m/>
    <n v="17"/>
    <n v="4522"/>
    <n v="115"/>
    <n v="30590"/>
    <n v="120"/>
    <n v="31920"/>
    <n v="252"/>
    <n v="67032"/>
    <n v="834.66666666666674"/>
    <n v="204465.33333333334"/>
    <n v="12.940843881856541"/>
  </r>
  <r>
    <x v="162"/>
    <s v="Completed"/>
    <m/>
    <n v="512611"/>
    <d v="2017-06-26T00:00:00"/>
    <d v="2018-05-30T00:00:00"/>
    <s v="09"/>
    <x v="3"/>
    <x v="0"/>
    <x v="14"/>
    <n v="29000"/>
    <m/>
    <x v="145"/>
    <x v="147"/>
    <s v="Introduction to Human Development"/>
    <s v="PSYC 2103"/>
    <s v="Psychology"/>
    <s v="Introduction to Human Development"/>
    <s v="Created Materials"/>
    <s v="N"/>
    <s v="PsychWiki"/>
    <x v="2"/>
    <s v="Neutral"/>
    <s v="Negative"/>
    <n v="211837.5"/>
    <n v="1050"/>
    <n v="201.75"/>
    <n v="350"/>
    <n v="350"/>
    <n v="350"/>
    <s v="Spring 2018"/>
    <s v="N"/>
    <m/>
    <m/>
    <s v="Continued"/>
    <n v="0"/>
    <n v="0"/>
    <n v="0"/>
    <n v="0"/>
    <n v="0"/>
    <n v="0"/>
    <n v="0"/>
    <n v="0"/>
    <n v="0"/>
    <n v="0"/>
    <n v="0"/>
    <n v="0"/>
    <n v="0"/>
    <n v="0"/>
    <n v="0"/>
    <n v="0"/>
    <n v="0"/>
    <n v="0"/>
    <n v="0"/>
    <n v="0"/>
    <n v="0"/>
    <n v="0"/>
    <n v="0"/>
    <n v="0"/>
    <n v="350"/>
    <n v="70612.5"/>
    <n v="350"/>
    <n v="70612.5"/>
    <x v="0"/>
    <n v="160"/>
    <n v="300"/>
    <n v="300"/>
    <n v="760"/>
    <n v="176.74"/>
    <n v="134322.4"/>
    <n v="160"/>
    <n v="28278.400000000001"/>
    <n v="300"/>
    <n v="53022"/>
    <n v="300"/>
    <n v="53022"/>
    <n v="760"/>
    <n v="134322.4"/>
    <s v="Continued"/>
    <n v="34"/>
    <n v="312"/>
    <n v="319"/>
    <n v="665"/>
    <n v="201.75"/>
    <n v="134163.75"/>
    <s v="Spring 2018"/>
    <n v="34"/>
    <n v="6859.5"/>
    <n v="312"/>
    <n v="62946"/>
    <n v="319"/>
    <n v="64358.25"/>
    <n v="665"/>
    <n v="134163.75"/>
    <s v="Continued"/>
    <n v="34"/>
    <n v="312"/>
    <n v="319"/>
    <n v="665"/>
    <n v="201.75"/>
    <n v="134163.75"/>
    <m/>
    <n v="34"/>
    <n v="6859.5"/>
    <n v="312"/>
    <n v="62946"/>
    <n v="319"/>
    <n v="64358.25"/>
    <n v="665"/>
    <n v="134163.75"/>
    <n v="2440"/>
    <n v="473262.4"/>
    <n v="16.319393103448277"/>
  </r>
  <r>
    <x v="163"/>
    <s v="Completed"/>
    <m/>
    <n v="512670"/>
    <d v="2017-07-28T00:00:00"/>
    <d v="2018-06-14T00:00:00"/>
    <s v="09"/>
    <x v="3"/>
    <x v="0"/>
    <x v="14"/>
    <n v="30000"/>
    <m/>
    <x v="120"/>
    <x v="121"/>
    <s v="Principles of Nutrition, Principles of Human Nutrition"/>
    <s v="BIOL 2190, PHED 2202"/>
    <s v="Biological Sciences"/>
    <s v="N"/>
    <s v="Created Materials"/>
    <s v="N"/>
    <s v="Principles of Nutrition"/>
    <x v="2"/>
    <s v="Positive"/>
    <s v="Positive"/>
    <n v="97890"/>
    <n v="785"/>
    <n v="124.70063694267516"/>
    <n v="261.66666666666669"/>
    <n v="261.66666666666669"/>
    <n v="261.66666666666669"/>
    <s v="Spring 2018"/>
    <s v="N"/>
    <m/>
    <m/>
    <s v="Continued"/>
    <n v="0"/>
    <n v="0"/>
    <n v="0"/>
    <n v="0"/>
    <n v="0"/>
    <n v="0"/>
    <n v="0"/>
    <n v="0"/>
    <n v="0"/>
    <n v="0"/>
    <n v="0"/>
    <n v="0"/>
    <n v="0"/>
    <n v="0"/>
    <n v="0"/>
    <n v="0"/>
    <n v="0"/>
    <n v="0"/>
    <n v="0"/>
    <n v="0"/>
    <n v="0"/>
    <n v="0"/>
    <n v="0"/>
    <n v="0"/>
    <n v="261.66666666666669"/>
    <n v="32630.000000000004"/>
    <n v="261.66666666666669"/>
    <n v="32630.000000000004"/>
    <x v="0"/>
    <n v="293"/>
    <n v="293"/>
    <n v="293"/>
    <n v="879"/>
    <n v="134"/>
    <n v="117786"/>
    <n v="293"/>
    <n v="39262"/>
    <n v="293"/>
    <n v="39262"/>
    <n v="293"/>
    <n v="39262"/>
    <n v="879"/>
    <n v="117786"/>
    <s v="Continued"/>
    <n v="293"/>
    <n v="293"/>
    <n v="293"/>
    <n v="879"/>
    <n v="145"/>
    <n v="127455"/>
    <s v="Spring 2018"/>
    <n v="293"/>
    <n v="42485"/>
    <n v="293"/>
    <n v="42485"/>
    <n v="293"/>
    <n v="42485"/>
    <n v="879"/>
    <n v="127455"/>
    <s v="Continued"/>
    <n v="293"/>
    <n v="293"/>
    <n v="293"/>
    <n v="879"/>
    <n v="145"/>
    <n v="127455"/>
    <m/>
    <n v="293"/>
    <n v="42485"/>
    <n v="293"/>
    <n v="42485"/>
    <n v="293"/>
    <n v="42485"/>
    <n v="879"/>
    <n v="127455"/>
    <n v="2898.666666666667"/>
    <n v="405326"/>
    <n v="13.510866666666667"/>
  </r>
  <r>
    <x v="164"/>
    <s v="Completed"/>
    <m/>
    <n v="512671"/>
    <d v="2017-06-29T00:00:00"/>
    <d v="2018-01-09T00:00:00"/>
    <s v="09"/>
    <x v="3"/>
    <x v="0"/>
    <x v="6"/>
    <n v="10800"/>
    <m/>
    <x v="40"/>
    <x v="40"/>
    <s v="Social Psychology"/>
    <s v="PSYC 3311, SOCI 3311"/>
    <s v="Psychology"/>
    <s v="N"/>
    <s v="Created Materials"/>
    <s v="N"/>
    <s v="Principles of Social Psychology"/>
    <x v="2"/>
    <s v="Positive"/>
    <s v="Positive"/>
    <n v="30240"/>
    <n v="126"/>
    <n v="240"/>
    <n v="42"/>
    <n v="42"/>
    <n v="42"/>
    <s v="Fall 2017"/>
    <s v="N"/>
    <m/>
    <m/>
    <s v="Continued"/>
    <n v="0"/>
    <n v="0"/>
    <n v="0"/>
    <n v="0"/>
    <n v="0"/>
    <n v="0"/>
    <n v="0"/>
    <n v="0"/>
    <n v="0"/>
    <n v="0"/>
    <n v="0"/>
    <n v="0"/>
    <n v="0"/>
    <n v="0"/>
    <n v="0"/>
    <n v="0"/>
    <n v="0"/>
    <n v="0"/>
    <n v="0"/>
    <n v="0"/>
    <n v="0"/>
    <n v="0"/>
    <n v="42"/>
    <n v="10080"/>
    <n v="42"/>
    <n v="10080"/>
    <n v="84"/>
    <n v="20160"/>
    <x v="0"/>
    <n v="30"/>
    <n v="42"/>
    <n v="0"/>
    <n v="72"/>
    <n v="164"/>
    <n v="11808"/>
    <n v="30"/>
    <n v="4920"/>
    <n v="42"/>
    <n v="6888"/>
    <n v="0"/>
    <n v="0"/>
    <n v="72"/>
    <n v="11808"/>
    <s v="Continued"/>
    <n v="35"/>
    <n v="0"/>
    <n v="45"/>
    <n v="80"/>
    <n v="135"/>
    <n v="10800"/>
    <s v="Fall 2017"/>
    <n v="35"/>
    <n v="4725"/>
    <n v="0"/>
    <n v="0"/>
    <n v="45"/>
    <n v="6075"/>
    <n v="80"/>
    <n v="10800"/>
    <s v="Continued"/>
    <n v="35"/>
    <n v="0"/>
    <n v="45"/>
    <n v="80"/>
    <n v="135"/>
    <n v="10800"/>
    <m/>
    <n v="35"/>
    <n v="4725"/>
    <n v="0"/>
    <n v="0"/>
    <n v="45"/>
    <n v="6075"/>
    <n v="80"/>
    <n v="10800"/>
    <n v="316"/>
    <n v="53568"/>
    <n v="4.96"/>
  </r>
  <r>
    <x v="165"/>
    <s v="Completed"/>
    <m/>
    <n v="512672"/>
    <d v="2017-06-26T00:00:00"/>
    <d v="2018-06-14T00:00:00"/>
    <s v="09"/>
    <x v="3"/>
    <x v="0"/>
    <x v="14"/>
    <n v="22826"/>
    <m/>
    <x v="146"/>
    <x v="148"/>
    <s v="Anatomy and Physiology I and II"/>
    <s v="BIOL 2121, BIOL 2122"/>
    <s v="Biological Sciences"/>
    <s v="N"/>
    <s v="Created Materials"/>
    <s v="Y"/>
    <s v="OpenStax Anatomy and Physiology"/>
    <x v="2"/>
    <s v="Neutral"/>
    <s v="Positive"/>
    <n v="284184"/>
    <n v="1440"/>
    <n v="197.35"/>
    <n v="480"/>
    <n v="480"/>
    <n v="480"/>
    <s v="Fall 2017"/>
    <s v="N"/>
    <m/>
    <m/>
    <s v="Continued"/>
    <n v="0"/>
    <n v="0"/>
    <n v="0"/>
    <n v="0"/>
    <n v="0"/>
    <n v="0"/>
    <n v="0"/>
    <n v="0"/>
    <n v="0"/>
    <n v="0"/>
    <n v="0"/>
    <n v="0"/>
    <n v="0"/>
    <n v="0"/>
    <n v="0"/>
    <n v="0"/>
    <n v="0"/>
    <n v="0"/>
    <n v="0"/>
    <n v="0"/>
    <n v="0"/>
    <n v="0"/>
    <n v="480"/>
    <n v="94728"/>
    <n v="480"/>
    <n v="94728"/>
    <n v="960"/>
    <n v="189456"/>
    <x v="0"/>
    <n v="480"/>
    <n v="480"/>
    <n v="480"/>
    <n v="1440"/>
    <n v="320.52999999999997"/>
    <n v="461563.19999999995"/>
    <n v="480"/>
    <n v="153854.39999999999"/>
    <n v="480"/>
    <n v="153854.39999999999"/>
    <n v="480"/>
    <n v="153854.39999999999"/>
    <n v="1440"/>
    <n v="461563.19999999995"/>
    <s v="Unknown"/>
    <m/>
    <m/>
    <m/>
    <n v="0"/>
    <m/>
    <n v="0"/>
    <s v="Fall 2017"/>
    <n v="0"/>
    <n v="0"/>
    <n v="0"/>
    <n v="0"/>
    <n v="0"/>
    <n v="0"/>
    <n v="0"/>
    <n v="0"/>
    <s v="Timed Out"/>
    <m/>
    <m/>
    <m/>
    <n v="0"/>
    <m/>
    <n v="0"/>
    <m/>
    <n v="0"/>
    <n v="0"/>
    <n v="0"/>
    <n v="0"/>
    <n v="0"/>
    <n v="0"/>
    <n v="0"/>
    <n v="0"/>
    <n v="2400"/>
    <n v="651019.19999999995"/>
    <n v="28.520949794094452"/>
  </r>
  <r>
    <x v="166"/>
    <s v="Completed"/>
    <m/>
    <n v="512673"/>
    <d v="2017-06-26T00:00:00"/>
    <d v="2018-05-30T00:00:00"/>
    <s v="09"/>
    <x v="3"/>
    <x v="0"/>
    <x v="9"/>
    <n v="10800"/>
    <m/>
    <x v="13"/>
    <x v="13"/>
    <s v="Psychological Adjustment"/>
    <s v="PSYC 2101"/>
    <s v="Psychology"/>
    <s v="Introduction to the Psychology of Adjustment"/>
    <s v="Created Materials"/>
    <s v="N"/>
    <s v="Psychological Adjustment"/>
    <x v="2"/>
    <s v="Positive"/>
    <s v="Positive"/>
    <n v="29280"/>
    <n v="175"/>
    <n v="167.31428571428572"/>
    <n v="58.333333333333336"/>
    <n v="58.333333333333336"/>
    <n v="58.333333333333336"/>
    <s v="Spring 2018"/>
    <s v="N"/>
    <m/>
    <m/>
    <s v="Continued"/>
    <n v="0"/>
    <n v="0"/>
    <n v="0"/>
    <n v="0"/>
    <n v="0"/>
    <n v="0"/>
    <n v="0"/>
    <n v="0"/>
    <n v="0"/>
    <n v="0"/>
    <n v="0"/>
    <n v="0"/>
    <n v="0"/>
    <n v="0"/>
    <n v="0"/>
    <n v="0"/>
    <n v="0"/>
    <n v="0"/>
    <n v="0"/>
    <n v="0"/>
    <n v="0"/>
    <n v="0"/>
    <n v="0"/>
    <n v="0"/>
    <n v="58.333333333333336"/>
    <n v="9760"/>
    <n v="58.333333333333336"/>
    <n v="9760"/>
    <x v="0"/>
    <n v="0"/>
    <n v="60"/>
    <n v="55"/>
    <n v="115"/>
    <n v="199.95"/>
    <n v="22994.25"/>
    <n v="0"/>
    <n v="0"/>
    <n v="60"/>
    <n v="11997"/>
    <n v="55"/>
    <n v="10997.25"/>
    <n v="115"/>
    <n v="22994.25"/>
    <s v="Continued"/>
    <n v="0"/>
    <n v="29"/>
    <n v="60"/>
    <n v="89"/>
    <n v="29.71"/>
    <n v="2644.19"/>
    <s v="Spring 2018"/>
    <n v="0"/>
    <n v="0"/>
    <n v="29"/>
    <n v="861.59"/>
    <n v="60"/>
    <n v="1782.6000000000001"/>
    <n v="89"/>
    <n v="2644.19"/>
    <s v="Continued"/>
    <n v="0"/>
    <n v="29"/>
    <n v="60"/>
    <n v="89"/>
    <n v="29.71"/>
    <n v="2644.19"/>
    <m/>
    <n v="0"/>
    <n v="0"/>
    <n v="29"/>
    <n v="861.59"/>
    <n v="60"/>
    <n v="1782.6000000000001"/>
    <n v="89"/>
    <n v="2644.19"/>
    <n v="351.33333333333337"/>
    <n v="38042.630000000005"/>
    <n v="3.5224657407407411"/>
  </r>
  <r>
    <x v="167"/>
    <s v="Completed"/>
    <m/>
    <n v="512674"/>
    <d v="2017-08-04T00:00:00"/>
    <d v="2018-05-30T00:00:00"/>
    <s v="09"/>
    <x v="3"/>
    <x v="0"/>
    <x v="5"/>
    <n v="10800"/>
    <m/>
    <x v="147"/>
    <x v="149"/>
    <s v="Resources, Society, and Environment (Introduction to Environmental Geosciences)"/>
    <s v="GEOG 1125"/>
    <s v="Geological Sciences and Geography"/>
    <s v="Resources, Society, and the Environment"/>
    <s v="Created Materials"/>
    <s v="N"/>
    <s v="Introduction to Environmental Science"/>
    <x v="2"/>
    <s v="Positive"/>
    <s v="Positive"/>
    <n v="25035"/>
    <n v="150"/>
    <n v="166.9"/>
    <n v="50"/>
    <n v="50"/>
    <n v="50"/>
    <s v="Fall 2017"/>
    <s v="N"/>
    <m/>
    <m/>
    <s v="Continued"/>
    <n v="0"/>
    <n v="0"/>
    <n v="0"/>
    <n v="0"/>
    <n v="0"/>
    <n v="0"/>
    <n v="0"/>
    <n v="0"/>
    <n v="0"/>
    <n v="0"/>
    <n v="0"/>
    <n v="0"/>
    <n v="0"/>
    <n v="0"/>
    <n v="0"/>
    <n v="0"/>
    <n v="0"/>
    <n v="0"/>
    <n v="0"/>
    <n v="0"/>
    <n v="0"/>
    <n v="0"/>
    <n v="50"/>
    <n v="8345"/>
    <n v="50"/>
    <n v="8345"/>
    <n v="100"/>
    <n v="16690"/>
    <x v="0"/>
    <n v="50"/>
    <n v="50"/>
    <n v="30"/>
    <n v="130"/>
    <n v="176.99"/>
    <n v="23008.7"/>
    <n v="50"/>
    <n v="8849.5"/>
    <n v="50"/>
    <n v="8849.5"/>
    <n v="30"/>
    <n v="5309.7000000000007"/>
    <n v="130"/>
    <n v="23008.7"/>
    <s v="Continued"/>
    <n v="30"/>
    <n v="60"/>
    <n v="60"/>
    <n v="150"/>
    <n v="166.9"/>
    <n v="25035"/>
    <s v="Fall 2017"/>
    <n v="30"/>
    <n v="5007"/>
    <n v="60"/>
    <n v="10014"/>
    <n v="60"/>
    <n v="10014"/>
    <n v="150"/>
    <n v="25035"/>
    <s v="Continued"/>
    <n v="30"/>
    <n v="60"/>
    <n v="60"/>
    <n v="150"/>
    <n v="166.9"/>
    <n v="25035"/>
    <m/>
    <n v="30"/>
    <n v="5007"/>
    <n v="60"/>
    <n v="10014"/>
    <n v="60"/>
    <n v="10014"/>
    <n v="150"/>
    <n v="25035"/>
    <n v="530"/>
    <n v="89768.7"/>
    <n v="8.3119166666666668"/>
  </r>
  <r>
    <x v="168"/>
    <s v="Completed"/>
    <m/>
    <s v="513976A"/>
    <d v="2018-04-11T00:00:00"/>
    <d v="2019-01-07T00:00:00"/>
    <n v="10"/>
    <x v="4"/>
    <x v="0"/>
    <x v="3"/>
    <n v="10800"/>
    <m/>
    <x v="148"/>
    <x v="150"/>
    <s v="Introduction to Psychology"/>
    <s v="PSYC 1101"/>
    <s v="Psychology"/>
    <s v="Introduction to General Psychology"/>
    <s v="In-Progress"/>
    <s v="In-Progress"/>
    <s v="In-Progress"/>
    <x v="2"/>
    <s v="Neutral"/>
    <s v="Negative"/>
    <n v="115571"/>
    <n v="494"/>
    <n v="234"/>
    <n v="38"/>
    <n v="228"/>
    <n v="228"/>
    <s v="Summer 2018"/>
    <s v="N"/>
    <m/>
    <m/>
    <s v="Continued"/>
    <n v="0"/>
    <n v="0"/>
    <n v="0"/>
    <n v="0"/>
    <n v="0"/>
    <n v="0"/>
    <n v="0"/>
    <n v="0"/>
    <n v="0"/>
    <n v="0"/>
    <n v="0"/>
    <n v="0"/>
    <n v="0"/>
    <n v="0"/>
    <n v="0"/>
    <n v="0"/>
    <n v="0"/>
    <n v="0"/>
    <n v="0"/>
    <n v="0"/>
    <n v="0"/>
    <n v="0"/>
    <n v="0"/>
    <n v="0"/>
    <n v="0"/>
    <n v="0"/>
    <n v="0"/>
    <n v="0"/>
    <x v="0"/>
    <n v="38"/>
    <n v="228"/>
    <n v="228"/>
    <n v="494"/>
    <n v="234"/>
    <n v="115596"/>
    <n v="38"/>
    <n v="8892"/>
    <n v="228"/>
    <n v="53352"/>
    <n v="228"/>
    <n v="53352"/>
    <n v="494"/>
    <n v="115596"/>
    <s v="Continued"/>
    <n v="20"/>
    <n v="160"/>
    <n v="160"/>
    <n v="340"/>
    <n v="100"/>
    <n v="34000"/>
    <s v="Summer 2018"/>
    <n v="20"/>
    <n v="2000"/>
    <n v="160"/>
    <n v="16000"/>
    <n v="160"/>
    <n v="16000"/>
    <n v="340"/>
    <n v="34000"/>
    <s v="Continued"/>
    <n v="20"/>
    <n v="160"/>
    <n v="160"/>
    <n v="340"/>
    <n v="100"/>
    <n v="34000"/>
    <m/>
    <n v="20"/>
    <n v="2000"/>
    <n v="160"/>
    <n v="16000"/>
    <n v="160"/>
    <n v="16000"/>
    <n v="340"/>
    <n v="34000"/>
    <n v="1174"/>
    <n v="183596"/>
    <n v="16.999629629629631"/>
  </r>
  <r>
    <x v="169"/>
    <s v="Completed"/>
    <m/>
    <n v="513789"/>
    <d v="2018-01-22T00:00:00"/>
    <d v="2019-01-07T00:00:00"/>
    <n v="10"/>
    <x v="4"/>
    <x v="0"/>
    <x v="19"/>
    <n v="10800"/>
    <m/>
    <x v="149"/>
    <x v="151"/>
    <s v="Elementary Statistics, Calculus III"/>
    <s v="MATH 2113, MATH 2174"/>
    <s v="Mathematical Subjects"/>
    <s v="Calculus III"/>
    <s v="In-Progress"/>
    <s v="In-Progress"/>
    <s v="In-Progress"/>
    <x v="2"/>
    <s v="Positive"/>
    <s v="Negative"/>
    <n v="51960"/>
    <n v="210"/>
    <n v="247"/>
    <n v="30"/>
    <n v="90"/>
    <n v="90"/>
    <s v="Fall 2018"/>
    <s v="N"/>
    <m/>
    <m/>
    <s v="Continued"/>
    <n v="0"/>
    <n v="0"/>
    <n v="0"/>
    <n v="0"/>
    <n v="0"/>
    <n v="0"/>
    <n v="0"/>
    <n v="0"/>
    <n v="0"/>
    <n v="0"/>
    <n v="0"/>
    <n v="0"/>
    <n v="0"/>
    <n v="0"/>
    <n v="0"/>
    <n v="0"/>
    <n v="0"/>
    <n v="0"/>
    <n v="0"/>
    <n v="0"/>
    <n v="0"/>
    <n v="0"/>
    <n v="0"/>
    <n v="0"/>
    <n v="0"/>
    <n v="0"/>
    <n v="0"/>
    <n v="0"/>
    <x v="0"/>
    <n v="30"/>
    <n v="90"/>
    <n v="90"/>
    <n v="210"/>
    <n v="247"/>
    <n v="51870"/>
    <n v="0"/>
    <n v="0"/>
    <n v="90"/>
    <n v="22230"/>
    <n v="90"/>
    <n v="22230"/>
    <n v="180"/>
    <n v="44460"/>
    <s v="Continued"/>
    <n v="0"/>
    <n v="90"/>
    <n v="90"/>
    <n v="180"/>
    <n v="247"/>
    <n v="44460"/>
    <s v="Fall 2018"/>
    <n v="0"/>
    <n v="0"/>
    <n v="90"/>
    <n v="22230"/>
    <n v="90"/>
    <n v="22230"/>
    <n v="180"/>
    <n v="44460"/>
    <s v="Continued"/>
    <n v="0"/>
    <n v="90"/>
    <n v="90"/>
    <n v="180"/>
    <n v="247"/>
    <n v="44460"/>
    <m/>
    <n v="0"/>
    <n v="0"/>
    <n v="90"/>
    <n v="22230"/>
    <n v="90"/>
    <n v="22230"/>
    <n v="180"/>
    <n v="44460"/>
    <n v="540"/>
    <n v="133380"/>
    <n v="12.35"/>
  </r>
  <r>
    <x v="170"/>
    <s v="Completed"/>
    <m/>
    <n v="513573"/>
    <d v="2017-12-01T00:00:00"/>
    <d v="2019-01-07T00:00:00"/>
    <n v="10"/>
    <x v="4"/>
    <x v="0"/>
    <x v="1"/>
    <n v="30000"/>
    <m/>
    <x v="150"/>
    <x v="152"/>
    <s v="Overview of Mobile Systems, Data Communication and Networking, Wireless Security, IT Design Studio, Information Security Concepts and Administration"/>
    <s v="CSE 3203, IT 4323, IT 4833, IT 6203, IT 6823"/>
    <s v="Computing Disciplines"/>
    <s v="N"/>
    <s v="In-Progress"/>
    <s v="In-Progress"/>
    <s v="In-Progress"/>
    <x v="2"/>
    <s v="Neutral"/>
    <s v="Neutral"/>
    <n v="74411"/>
    <n v="600"/>
    <n v="124"/>
    <n v="95"/>
    <n v="253"/>
    <n v="253"/>
    <s v="Summer 2018"/>
    <s v="N"/>
    <m/>
    <m/>
    <s v="Continued"/>
    <n v="0"/>
    <n v="0"/>
    <n v="0"/>
    <n v="0"/>
    <n v="0"/>
    <n v="0"/>
    <n v="0"/>
    <n v="0"/>
    <n v="0"/>
    <n v="0"/>
    <n v="0"/>
    <n v="0"/>
    <n v="0"/>
    <n v="0"/>
    <n v="0"/>
    <n v="0"/>
    <n v="0"/>
    <n v="0"/>
    <n v="0"/>
    <n v="0"/>
    <n v="0"/>
    <n v="0"/>
    <n v="0"/>
    <n v="0"/>
    <n v="0"/>
    <n v="0"/>
    <n v="0"/>
    <n v="0"/>
    <x v="0"/>
    <n v="95"/>
    <n v="253"/>
    <n v="253"/>
    <n v="601"/>
    <n v="124"/>
    <n v="74524"/>
    <n v="95"/>
    <n v="11780"/>
    <n v="253"/>
    <n v="31372"/>
    <n v="253"/>
    <n v="31372"/>
    <n v="601"/>
    <n v="74524"/>
    <s v="Continued"/>
    <n v="95"/>
    <n v="253"/>
    <n v="253"/>
    <n v="601"/>
    <n v="124"/>
    <n v="74524"/>
    <s v="Summer 2018"/>
    <n v="95"/>
    <n v="11780"/>
    <n v="253"/>
    <n v="31372"/>
    <n v="253"/>
    <n v="31372"/>
    <n v="601"/>
    <n v="74524"/>
    <s v="Continued"/>
    <n v="95"/>
    <n v="253"/>
    <n v="253"/>
    <n v="601"/>
    <n v="124"/>
    <n v="74524"/>
    <m/>
    <n v="95"/>
    <n v="11780"/>
    <n v="253"/>
    <n v="31372"/>
    <n v="253"/>
    <n v="31372"/>
    <n v="601"/>
    <n v="74524"/>
    <n v="1803"/>
    <n v="223572"/>
    <n v="7.4523999999999999"/>
  </r>
  <r>
    <x v="171"/>
    <s v="Completed"/>
    <m/>
    <n v="513852"/>
    <d v="2018-02-14T00:00:00"/>
    <d v="2018-08-27T00:00:00"/>
    <n v="10"/>
    <x v="4"/>
    <x v="0"/>
    <x v="18"/>
    <n v="25800"/>
    <m/>
    <x v="107"/>
    <x v="107"/>
    <s v="Supervision in the Workforce, Ethics for Administrative and Technical Managers, Applied Economics, Global Technology"/>
    <s v="TECH 3101, TECH 3104, TECH 3111, TECH 4115"/>
    <s v="Computing Disciplines"/>
    <s v="N"/>
    <s v="In-Progress"/>
    <s v="In-Progress"/>
    <s v="In-Progress"/>
    <x v="2"/>
    <s v="Neutral"/>
    <s v="Neutral"/>
    <n v="81930"/>
    <n v="534"/>
    <n v="153"/>
    <n v="148"/>
    <n v="178"/>
    <n v="208"/>
    <s v="Summer 2018"/>
    <s v="N"/>
    <m/>
    <m/>
    <s v="Continued"/>
    <n v="0"/>
    <n v="0"/>
    <n v="0"/>
    <n v="0"/>
    <n v="0"/>
    <n v="0"/>
    <n v="0"/>
    <n v="0"/>
    <n v="0"/>
    <n v="0"/>
    <n v="0"/>
    <n v="0"/>
    <n v="0"/>
    <n v="0"/>
    <n v="0"/>
    <n v="0"/>
    <n v="0"/>
    <n v="0"/>
    <n v="0"/>
    <n v="0"/>
    <n v="0"/>
    <n v="0"/>
    <n v="0"/>
    <n v="0"/>
    <n v="0"/>
    <n v="0"/>
    <n v="0"/>
    <n v="0"/>
    <x v="0"/>
    <n v="118"/>
    <n v="203"/>
    <n v="132"/>
    <n v="453"/>
    <n v="153"/>
    <n v="69309"/>
    <n v="118"/>
    <n v="18054"/>
    <n v="203"/>
    <n v="31059"/>
    <n v="132"/>
    <n v="20196"/>
    <n v="453"/>
    <n v="69309"/>
    <s v="Continued"/>
    <n v="73"/>
    <n v="139"/>
    <n v="139"/>
    <n v="351"/>
    <n v="184.21"/>
    <n v="64657.710000000006"/>
    <s v="Summer 2018"/>
    <n v="73"/>
    <n v="13447.33"/>
    <n v="139"/>
    <n v="25605.190000000002"/>
    <n v="139"/>
    <n v="25605.190000000002"/>
    <n v="351"/>
    <n v="64657.710000000006"/>
    <s v="Continued"/>
    <n v="73"/>
    <n v="139"/>
    <n v="139"/>
    <n v="351"/>
    <n v="184.21"/>
    <n v="64657.710000000006"/>
    <m/>
    <n v="73"/>
    <n v="13447.33"/>
    <n v="139"/>
    <n v="25605.190000000002"/>
    <n v="139"/>
    <n v="25605.190000000002"/>
    <n v="351"/>
    <n v="64657.710000000006"/>
    <n v="1155"/>
    <n v="198624.42000000004"/>
    <n v="7.6986209302325594"/>
  </r>
  <r>
    <x v="172"/>
    <s v="Completed"/>
    <m/>
    <s v="514193A"/>
    <d v="2018-04-11T00:00:00"/>
    <d v="2018-08-21T00:00:00"/>
    <n v="10"/>
    <x v="4"/>
    <x v="0"/>
    <x v="7"/>
    <n v="10800"/>
    <m/>
    <x v="151"/>
    <x v="153"/>
    <s v="Principles of Physics I"/>
    <s v="PHYS 2211K"/>
    <s v="Physics and Astronomy"/>
    <s v="Principles of Physics I"/>
    <s v="In-Progress"/>
    <s v="In-Progress"/>
    <s v="In-Progress"/>
    <x v="0"/>
    <s v="Neutral"/>
    <s v="Negative"/>
    <n v="7100"/>
    <n v="77"/>
    <n v="92"/>
    <n v="26"/>
    <n v="51"/>
    <n v="51"/>
    <s v="Summer 2018"/>
    <s v="N"/>
    <m/>
    <m/>
    <s v="Continued"/>
    <n v="0"/>
    <n v="0"/>
    <n v="0"/>
    <n v="0"/>
    <n v="0"/>
    <n v="0"/>
    <n v="0"/>
    <n v="0"/>
    <n v="0"/>
    <n v="0"/>
    <n v="0"/>
    <n v="0"/>
    <n v="0"/>
    <n v="0"/>
    <n v="0"/>
    <n v="0"/>
    <n v="0"/>
    <n v="0"/>
    <n v="0"/>
    <n v="0"/>
    <n v="0"/>
    <n v="0"/>
    <n v="0"/>
    <n v="0"/>
    <n v="0"/>
    <n v="0"/>
    <n v="0"/>
    <n v="0"/>
    <x v="0"/>
    <n v="26"/>
    <n v="51"/>
    <n v="51"/>
    <n v="128"/>
    <n v="92"/>
    <n v="11776"/>
    <n v="26"/>
    <n v="2392"/>
    <n v="51"/>
    <n v="4692"/>
    <n v="51"/>
    <n v="4692"/>
    <n v="128"/>
    <n v="11776"/>
    <s v="Continued"/>
    <n v="13"/>
    <n v="49"/>
    <n v="60"/>
    <n v="122"/>
    <n v="92"/>
    <n v="11224"/>
    <s v="Summer 2018"/>
    <n v="13"/>
    <n v="1196"/>
    <n v="49"/>
    <n v="4508"/>
    <n v="60"/>
    <n v="5520"/>
    <n v="122"/>
    <n v="11224"/>
    <s v="Continued"/>
    <n v="13"/>
    <n v="49"/>
    <n v="60"/>
    <n v="122"/>
    <n v="92"/>
    <n v="11224"/>
    <m/>
    <n v="13"/>
    <n v="1196"/>
    <n v="49"/>
    <n v="4508"/>
    <n v="60"/>
    <n v="5520"/>
    <n v="122"/>
    <n v="11224"/>
    <n v="372"/>
    <n v="34224"/>
    <n v="3.1688888888888891"/>
  </r>
  <r>
    <x v="173"/>
    <s v="Completed"/>
    <m/>
    <n v="513850"/>
    <d v="2018-02-01T00:00:00"/>
    <d v="2018-06-06T00:00:00"/>
    <n v="10"/>
    <x v="4"/>
    <x v="0"/>
    <x v="12"/>
    <n v="10800"/>
    <m/>
    <x v="152"/>
    <x v="154"/>
    <s v="Physical Science II"/>
    <s v="PHYS 1012"/>
    <s v="Physics and Astronomy"/>
    <s v="Physical Science II"/>
    <s v="N"/>
    <s v="N"/>
    <s v="Various OER"/>
    <x v="2"/>
    <s v="Neutral"/>
    <s v="Negative"/>
    <n v="83300"/>
    <n v="350"/>
    <n v="238"/>
    <n v="175"/>
    <n v="175"/>
    <n v="175"/>
    <s v="Spring 2018"/>
    <s v="N"/>
    <m/>
    <m/>
    <s v="Continued"/>
    <n v="0"/>
    <n v="0"/>
    <n v="0"/>
    <n v="0"/>
    <n v="0"/>
    <n v="0"/>
    <n v="0"/>
    <n v="0"/>
    <n v="0"/>
    <n v="0"/>
    <n v="0"/>
    <n v="0"/>
    <n v="0"/>
    <n v="0"/>
    <n v="0"/>
    <n v="0"/>
    <n v="0"/>
    <n v="0"/>
    <n v="0"/>
    <n v="0"/>
    <n v="0"/>
    <n v="0"/>
    <n v="0"/>
    <n v="0"/>
    <n v="175"/>
    <n v="41650"/>
    <n v="175"/>
    <n v="41650"/>
    <x v="0"/>
    <n v="175"/>
    <n v="175"/>
    <n v="175"/>
    <n v="525"/>
    <n v="238"/>
    <n v="124950"/>
    <n v="175"/>
    <n v="41650"/>
    <n v="175"/>
    <n v="41650"/>
    <n v="175"/>
    <n v="41650"/>
    <n v="525"/>
    <n v="124950"/>
    <s v="Continued"/>
    <n v="33"/>
    <n v="123"/>
    <n v="100"/>
    <n v="256"/>
    <n v="55"/>
    <n v="14080"/>
    <s v="Spring 2018"/>
    <n v="33"/>
    <n v="1815"/>
    <n v="123"/>
    <n v="6765"/>
    <n v="100"/>
    <n v="5500"/>
    <n v="256"/>
    <n v="14080"/>
    <s v="Timed Out"/>
    <n v="33"/>
    <n v="123"/>
    <n v="100"/>
    <n v="0"/>
    <n v="0"/>
    <n v="0"/>
    <m/>
    <n v="0"/>
    <n v="0"/>
    <n v="0"/>
    <n v="0"/>
    <n v="0"/>
    <n v="0"/>
    <n v="0"/>
    <n v="0"/>
    <n v="956"/>
    <n v="180680"/>
    <n v="16.729629629629631"/>
  </r>
  <r>
    <x v="174"/>
    <s v="Completed"/>
    <m/>
    <n v="513787"/>
    <d v="2018-01-22T00:00:00"/>
    <d v="2018-08-21T00:00:00"/>
    <n v="10"/>
    <x v="4"/>
    <x v="0"/>
    <x v="16"/>
    <n v="10800"/>
    <m/>
    <x v="153"/>
    <x v="155"/>
    <s v="Bioethics"/>
    <s v="BIOL 4310, BIOL 5310"/>
    <s v="Biological Sciences"/>
    <s v="N"/>
    <s v="In-Progress"/>
    <s v="In-Progress"/>
    <s v="In-Progress"/>
    <x v="2"/>
    <s v="Positive"/>
    <s v="Positive"/>
    <n v="1874"/>
    <n v="25"/>
    <n v="75"/>
    <n v="25"/>
    <n v="0"/>
    <n v="0"/>
    <s v="Summer 2018"/>
    <s v="N"/>
    <m/>
    <m/>
    <s v="Continued"/>
    <n v="0"/>
    <n v="0"/>
    <n v="0"/>
    <n v="0"/>
    <n v="0"/>
    <n v="0"/>
    <n v="0"/>
    <n v="0"/>
    <n v="0"/>
    <n v="0"/>
    <n v="0"/>
    <n v="0"/>
    <n v="0"/>
    <n v="0"/>
    <n v="0"/>
    <n v="0"/>
    <n v="0"/>
    <n v="0"/>
    <n v="0"/>
    <n v="0"/>
    <n v="0"/>
    <n v="0"/>
    <n v="0"/>
    <n v="0"/>
    <n v="0"/>
    <n v="0"/>
    <n v="0"/>
    <n v="0"/>
    <x v="0"/>
    <n v="25"/>
    <n v="0"/>
    <n v="0"/>
    <n v="25"/>
    <n v="75"/>
    <n v="1875"/>
    <n v="25"/>
    <n v="1875"/>
    <n v="0"/>
    <n v="0"/>
    <n v="0"/>
    <n v="0"/>
    <n v="25"/>
    <n v="1875"/>
    <s v="Continued"/>
    <n v="25"/>
    <n v="0"/>
    <n v="0"/>
    <n v="25"/>
    <n v="75"/>
    <n v="1875"/>
    <s v="Summer 2018"/>
    <n v="25"/>
    <n v="1875"/>
    <n v="0"/>
    <n v="0"/>
    <n v="0"/>
    <n v="0"/>
    <n v="25"/>
    <n v="1875"/>
    <s v="Continued"/>
    <n v="25"/>
    <n v="0"/>
    <n v="0"/>
    <n v="25"/>
    <n v="75"/>
    <n v="1875"/>
    <m/>
    <n v="25"/>
    <n v="1875"/>
    <n v="0"/>
    <n v="0"/>
    <n v="0"/>
    <n v="0"/>
    <n v="25"/>
    <n v="1875"/>
    <n v="75"/>
    <n v="5625"/>
    <n v="0.52083333333333337"/>
  </r>
  <r>
    <x v="175"/>
    <s v="Completed"/>
    <m/>
    <n v="513582"/>
    <d v="2018-01-10T00:00:00"/>
    <d v="2019-01-07T00:00:00"/>
    <n v="10"/>
    <x v="4"/>
    <x v="0"/>
    <x v="1"/>
    <n v="10800"/>
    <m/>
    <x v="154"/>
    <x v="156"/>
    <s v="Aural Skills I, Aural Skills II, Aural Skills III, Aural Skills IV"/>
    <s v="MUSI 1111, MUSI 1112, MUSI 2111, MUSI 2112"/>
    <s v="Fine and Applied Arts"/>
    <s v="N"/>
    <s v="In-Progress"/>
    <s v="In-Progress"/>
    <s v="In-Progress"/>
    <x v="2"/>
    <s v="Neutral"/>
    <s v="Neutral"/>
    <n v="19277"/>
    <n v="120"/>
    <n v="161"/>
    <n v="0"/>
    <n v="60"/>
    <n v="60"/>
    <s v="Fall 2018"/>
    <s v="N"/>
    <m/>
    <m/>
    <s v="Continued"/>
    <n v="0"/>
    <n v="0"/>
    <n v="0"/>
    <n v="0"/>
    <n v="0"/>
    <n v="0"/>
    <n v="0"/>
    <n v="0"/>
    <n v="0"/>
    <n v="0"/>
    <n v="0"/>
    <n v="0"/>
    <n v="0"/>
    <n v="0"/>
    <n v="0"/>
    <n v="0"/>
    <n v="0"/>
    <n v="0"/>
    <n v="0"/>
    <n v="0"/>
    <n v="0"/>
    <n v="0"/>
    <n v="0"/>
    <n v="0"/>
    <n v="0"/>
    <n v="0"/>
    <n v="0"/>
    <n v="0"/>
    <x v="0"/>
    <n v="0"/>
    <n v="60"/>
    <n v="60"/>
    <n v="120"/>
    <n v="161"/>
    <n v="19320"/>
    <n v="0"/>
    <n v="0"/>
    <n v="60"/>
    <n v="9660"/>
    <n v="60"/>
    <n v="9660"/>
    <n v="120"/>
    <n v="19320"/>
    <s v="Continued"/>
    <n v="0"/>
    <n v="60"/>
    <n v="60"/>
    <n v="120"/>
    <n v="161"/>
    <n v="19320"/>
    <s v="Fall 2018"/>
    <n v="0"/>
    <n v="0"/>
    <n v="60"/>
    <n v="9660"/>
    <n v="60"/>
    <n v="9660"/>
    <n v="120"/>
    <n v="19320"/>
    <s v="Continued"/>
    <n v="0"/>
    <n v="60"/>
    <n v="60"/>
    <n v="120"/>
    <n v="161"/>
    <n v="19320"/>
    <m/>
    <n v="0"/>
    <n v="0"/>
    <n v="60"/>
    <n v="9660"/>
    <n v="60"/>
    <n v="9660"/>
    <n v="120"/>
    <n v="19320"/>
    <n v="360"/>
    <n v="57960"/>
    <n v="5.3666666666666663"/>
  </r>
  <r>
    <x v="176"/>
    <s v="Completed"/>
    <m/>
    <n v="513572"/>
    <d v="2017-12-01T00:00:00"/>
    <d v="2019-01-07T00:00:00"/>
    <n v="10"/>
    <x v="4"/>
    <x v="0"/>
    <x v="1"/>
    <n v="10800"/>
    <m/>
    <x v="68"/>
    <x v="68"/>
    <s v="Foundation of Criminal Justice"/>
    <s v="CRJU 1101"/>
    <s v="Criminal Justice"/>
    <s v="N"/>
    <s v="In-Progress"/>
    <s v="In-Progress"/>
    <s v="In-Progress"/>
    <x v="2"/>
    <s v="Negative"/>
    <s v="Neutral"/>
    <n v="55086"/>
    <n v="290"/>
    <n v="190"/>
    <n v="58"/>
    <n v="116"/>
    <n v="116"/>
    <s v="Fall 2018"/>
    <s v="N"/>
    <m/>
    <m/>
    <s v="Continued"/>
    <n v="0"/>
    <n v="0"/>
    <n v="0"/>
    <n v="0"/>
    <n v="0"/>
    <n v="0"/>
    <n v="0"/>
    <n v="0"/>
    <n v="0"/>
    <n v="0"/>
    <n v="0"/>
    <n v="0"/>
    <n v="0"/>
    <n v="0"/>
    <n v="0"/>
    <n v="0"/>
    <n v="0"/>
    <n v="0"/>
    <n v="0"/>
    <n v="0"/>
    <n v="0"/>
    <n v="0"/>
    <n v="0"/>
    <n v="0"/>
    <n v="0"/>
    <n v="0"/>
    <n v="0"/>
    <n v="0"/>
    <x v="0"/>
    <n v="58"/>
    <n v="116"/>
    <n v="116"/>
    <n v="290"/>
    <n v="190"/>
    <n v="55100"/>
    <n v="0"/>
    <n v="0"/>
    <n v="116"/>
    <n v="22040"/>
    <n v="116"/>
    <n v="22040"/>
    <n v="232"/>
    <n v="44080"/>
    <s v="Discontinued"/>
    <n v="0"/>
    <n v="0"/>
    <n v="0"/>
    <n v="0"/>
    <n v="0"/>
    <n v="0"/>
    <s v="Fall 2018"/>
    <n v="0"/>
    <n v="0"/>
    <n v="0"/>
    <n v="0"/>
    <n v="0"/>
    <n v="0"/>
    <n v="0"/>
    <n v="0"/>
    <s v="Discontinued"/>
    <n v="0"/>
    <n v="0"/>
    <n v="0"/>
    <n v="0"/>
    <n v="0"/>
    <n v="0"/>
    <m/>
    <n v="0"/>
    <n v="0"/>
    <n v="0"/>
    <n v="0"/>
    <n v="0"/>
    <n v="0"/>
    <n v="0"/>
    <n v="0"/>
    <n v="232"/>
    <n v="44080"/>
    <n v="4.0814814814814815"/>
  </r>
  <r>
    <x v="177"/>
    <s v="Completed"/>
    <m/>
    <n v="513916"/>
    <d v="2018-03-13T00:00:00"/>
    <m/>
    <n v="10"/>
    <x v="4"/>
    <x v="0"/>
    <x v="4"/>
    <n v="10500"/>
    <m/>
    <x v="155"/>
    <x v="157"/>
    <s v="Introduction to Sociology"/>
    <s v="SOCI 1101"/>
    <s v="Sociology"/>
    <s v="Introduction to Sociology"/>
    <s v="N"/>
    <s v="Y"/>
    <s v="OpenStax Sociology"/>
    <x v="2"/>
    <s v="Positive"/>
    <s v="Positive"/>
    <n v="73660"/>
    <n v="580"/>
    <n v="127"/>
    <n v="116"/>
    <n v="116"/>
    <n v="348"/>
    <s v="Spring 2018"/>
    <s v="N"/>
    <m/>
    <m/>
    <s v="Continued"/>
    <n v="0"/>
    <n v="0"/>
    <n v="0"/>
    <n v="0"/>
    <n v="0"/>
    <n v="0"/>
    <n v="0"/>
    <n v="0"/>
    <n v="0"/>
    <n v="0"/>
    <n v="0"/>
    <n v="0"/>
    <n v="0"/>
    <n v="0"/>
    <n v="0"/>
    <n v="0"/>
    <n v="0"/>
    <n v="0"/>
    <n v="0"/>
    <n v="0"/>
    <n v="0"/>
    <n v="0"/>
    <n v="0"/>
    <n v="0"/>
    <n v="348"/>
    <n v="44196"/>
    <n v="348"/>
    <n v="44196"/>
    <x v="0"/>
    <n v="125"/>
    <n v="125"/>
    <n v="125"/>
    <n v="375"/>
    <n v="175"/>
    <n v="65625"/>
    <n v="125"/>
    <n v="21875"/>
    <n v="125"/>
    <n v="21875"/>
    <n v="125"/>
    <n v="21875"/>
    <n v="375"/>
    <n v="65625"/>
    <s v="Continued"/>
    <n v="0"/>
    <n v="250"/>
    <n v="167"/>
    <n v="417"/>
    <n v="75"/>
    <n v="31275"/>
    <s v="Spring 2018"/>
    <n v="0"/>
    <n v="0"/>
    <n v="250"/>
    <n v="18750"/>
    <n v="167"/>
    <n v="12525"/>
    <n v="417"/>
    <n v="31275"/>
    <s v="Continued"/>
    <n v="0"/>
    <n v="250"/>
    <n v="167"/>
    <n v="0"/>
    <n v="75"/>
    <n v="0"/>
    <m/>
    <n v="0"/>
    <n v="0"/>
    <n v="0"/>
    <n v="0"/>
    <n v="0"/>
    <n v="0"/>
    <n v="0"/>
    <n v="0"/>
    <n v="1140"/>
    <n v="141096"/>
    <n v="13.437714285714286"/>
  </r>
  <r>
    <x v="178"/>
    <s v="Completed"/>
    <m/>
    <n v="513975"/>
    <d v="2018-02-27T00:00:00"/>
    <d v="2019-01-07T00:00:00"/>
    <n v="10"/>
    <x v="4"/>
    <x v="0"/>
    <x v="6"/>
    <n v="10800"/>
    <m/>
    <x v="10"/>
    <x v="10"/>
    <s v="Abnormal Psychology Cross-Cultural Psychology"/>
    <s v="PSYC 3390, PSYC 4401"/>
    <s v="Psychology"/>
    <s v="N"/>
    <s v="In-Progress"/>
    <s v="In-Progress"/>
    <s v="In-Progress"/>
    <x v="2"/>
    <s v="Positive"/>
    <s v="Positive"/>
    <n v="29026"/>
    <n v="210"/>
    <n v="138"/>
    <n v="42"/>
    <n v="84"/>
    <n v="84"/>
    <s v="Fall 2018"/>
    <s v="N"/>
    <m/>
    <m/>
    <s v="Continued"/>
    <n v="0"/>
    <n v="0"/>
    <n v="0"/>
    <n v="0"/>
    <n v="0"/>
    <n v="0"/>
    <n v="0"/>
    <n v="0"/>
    <n v="0"/>
    <n v="0"/>
    <n v="0"/>
    <n v="0"/>
    <n v="0"/>
    <n v="0"/>
    <n v="0"/>
    <n v="0"/>
    <n v="0"/>
    <n v="0"/>
    <n v="0"/>
    <n v="0"/>
    <n v="0"/>
    <n v="0"/>
    <n v="0"/>
    <n v="0"/>
    <n v="0"/>
    <n v="0"/>
    <n v="0"/>
    <n v="0"/>
    <x v="0"/>
    <n v="42"/>
    <n v="84"/>
    <n v="84"/>
    <n v="210"/>
    <n v="138"/>
    <n v="28980"/>
    <n v="0"/>
    <n v="0"/>
    <n v="84"/>
    <n v="11592"/>
    <n v="84"/>
    <n v="11592"/>
    <n v="168"/>
    <n v="23184"/>
    <s v="Continued"/>
    <n v="42"/>
    <n v="84"/>
    <n v="84"/>
    <n v="210"/>
    <n v="138"/>
    <n v="28980"/>
    <s v="Fall 2018"/>
    <n v="42"/>
    <n v="5796"/>
    <n v="84"/>
    <n v="11592"/>
    <n v="84"/>
    <n v="11592"/>
    <n v="210"/>
    <n v="28980"/>
    <s v="Continued"/>
    <n v="42"/>
    <n v="84"/>
    <n v="84"/>
    <n v="210"/>
    <n v="138"/>
    <n v="28980"/>
    <m/>
    <n v="42"/>
    <n v="5796"/>
    <n v="84"/>
    <n v="11592"/>
    <n v="84"/>
    <n v="11592"/>
    <n v="210"/>
    <n v="28980"/>
    <n v="588"/>
    <n v="81144"/>
    <n v="7.5133333333333336"/>
  </r>
  <r>
    <x v="179"/>
    <s v="Completed"/>
    <m/>
    <n v="513619"/>
    <d v="2018-01-09T00:00:00"/>
    <d v="2019-01-07T00:00:00"/>
    <n v="10"/>
    <x v="4"/>
    <x v="0"/>
    <x v="14"/>
    <n v="10800"/>
    <m/>
    <x v="156"/>
    <x v="158"/>
    <s v="Fundamentals of Computer Applications"/>
    <s v="BUSA 2205"/>
    <s v="Business Administration, Management, and Economics"/>
    <s v="N"/>
    <s v="In-Progress"/>
    <s v="In-Progress"/>
    <s v="In-progress"/>
    <x v="2"/>
    <s v="Positive"/>
    <s v="Positive"/>
    <n v="26754"/>
    <n v="312"/>
    <n v="86"/>
    <n v="26"/>
    <n v="130"/>
    <n v="156"/>
    <s v="Spring 2018"/>
    <s v="N"/>
    <m/>
    <m/>
    <s v="Continued"/>
    <n v="0"/>
    <n v="0"/>
    <n v="0"/>
    <n v="0"/>
    <n v="0"/>
    <n v="0"/>
    <n v="0"/>
    <n v="0"/>
    <n v="0"/>
    <n v="0"/>
    <n v="0"/>
    <n v="0"/>
    <n v="0"/>
    <n v="0"/>
    <n v="0"/>
    <n v="0"/>
    <n v="0"/>
    <n v="0"/>
    <n v="0"/>
    <n v="0"/>
    <n v="0"/>
    <n v="0"/>
    <n v="0"/>
    <n v="0"/>
    <n v="156"/>
    <n v="13416"/>
    <n v="156"/>
    <n v="13416"/>
    <x v="0"/>
    <n v="26"/>
    <n v="130"/>
    <n v="156"/>
    <n v="312"/>
    <n v="86"/>
    <n v="26832"/>
    <n v="26"/>
    <n v="2236"/>
    <n v="130"/>
    <n v="11180"/>
    <n v="156"/>
    <n v="13416"/>
    <n v="312"/>
    <n v="26832"/>
    <s v="Discontinued"/>
    <n v="0"/>
    <n v="0"/>
    <n v="0"/>
    <n v="0"/>
    <n v="0"/>
    <n v="0"/>
    <s v="Spring 2018"/>
    <n v="0"/>
    <n v="0"/>
    <n v="0"/>
    <n v="0"/>
    <n v="0"/>
    <n v="0"/>
    <n v="0"/>
    <n v="0"/>
    <s v="Discontinued"/>
    <n v="0"/>
    <n v="0"/>
    <n v="0"/>
    <n v="0"/>
    <n v="0"/>
    <n v="0"/>
    <m/>
    <n v="0"/>
    <n v="0"/>
    <n v="0"/>
    <n v="0"/>
    <n v="0"/>
    <n v="0"/>
    <n v="0"/>
    <n v="0"/>
    <n v="468"/>
    <n v="40248"/>
    <n v="3.7266666666666666"/>
  </r>
  <r>
    <x v="180"/>
    <s v="Completed"/>
    <m/>
    <n v="514044"/>
    <d v="2018-03-12T00:00:00"/>
    <d v="2019-02-01T00:00:00"/>
    <n v="10"/>
    <x v="4"/>
    <x v="0"/>
    <x v="24"/>
    <n v="26636"/>
    <m/>
    <x v="102"/>
    <x v="102"/>
    <s v="College Algebra, Trigonometry, Statistics"/>
    <s v="MATH 1111, MATH 1112, MATH 2000"/>
    <s v="Mathematical Subjects"/>
    <s v="College Algebra, Trigonometry"/>
    <s v="In-Progress"/>
    <s v="In-Progress"/>
    <s v="In-Progress"/>
    <x v="2"/>
    <s v="Positive"/>
    <s v="Positive"/>
    <n v="300000"/>
    <n v="1650"/>
    <n v="182"/>
    <n v="150"/>
    <n v="1110"/>
    <n v="750"/>
    <s v="Fall 2018"/>
    <s v="N"/>
    <m/>
    <m/>
    <s v="Continued"/>
    <n v="0"/>
    <n v="0"/>
    <n v="0"/>
    <n v="0"/>
    <n v="0"/>
    <n v="0"/>
    <n v="0"/>
    <n v="0"/>
    <n v="0"/>
    <n v="0"/>
    <n v="0"/>
    <n v="0"/>
    <n v="0"/>
    <n v="0"/>
    <n v="0"/>
    <n v="0"/>
    <n v="0"/>
    <n v="0"/>
    <n v="0"/>
    <n v="0"/>
    <n v="0"/>
    <n v="0"/>
    <n v="0"/>
    <n v="0"/>
    <n v="0"/>
    <n v="0"/>
    <n v="0"/>
    <n v="0"/>
    <x v="0"/>
    <n v="150"/>
    <n v="1110"/>
    <n v="750"/>
    <n v="2010"/>
    <n v="182"/>
    <n v="365820"/>
    <n v="0"/>
    <n v="0"/>
    <n v="1110"/>
    <n v="202020"/>
    <n v="750"/>
    <n v="136500"/>
    <n v="1860"/>
    <n v="338520"/>
    <s v="Continued"/>
    <n v="150"/>
    <n v="1110"/>
    <n v="750"/>
    <n v="2010"/>
    <n v="86"/>
    <n v="172860"/>
    <s v="Fall 2018"/>
    <n v="150"/>
    <n v="12900"/>
    <n v="1110"/>
    <n v="95460"/>
    <n v="750"/>
    <n v="64500"/>
    <n v="2010"/>
    <n v="172860"/>
    <s v="Continued"/>
    <n v="150"/>
    <n v="1110"/>
    <n v="750"/>
    <n v="2010"/>
    <n v="86"/>
    <n v="172860"/>
    <m/>
    <n v="150"/>
    <n v="12900"/>
    <n v="1110"/>
    <n v="95460"/>
    <n v="750"/>
    <n v="64500"/>
    <n v="2010"/>
    <n v="172860"/>
    <n v="5880"/>
    <n v="684240"/>
    <n v="25.688541823096561"/>
  </r>
  <r>
    <x v="181"/>
    <s v="Completed"/>
    <m/>
    <n v="513851"/>
    <d v="2018-03-12T00:00:00"/>
    <d v="2019-02-15T00:00:00"/>
    <n v="10"/>
    <x v="4"/>
    <x v="0"/>
    <x v="12"/>
    <n v="30000"/>
    <m/>
    <x v="78"/>
    <x v="78"/>
    <s v="College Algebra"/>
    <s v="MATH 1111"/>
    <s v="Mathematical Subjects"/>
    <s v="College Algebra"/>
    <s v="In-Progress"/>
    <s v="In-Progress"/>
    <s v="In-Progress"/>
    <x v="2"/>
    <s v="Positive"/>
    <s v="Positive"/>
    <n v="405000"/>
    <n v="2700"/>
    <n v="150"/>
    <n v="300"/>
    <n v="1200"/>
    <n v="1200"/>
    <s v="Fall 2018"/>
    <s v="N"/>
    <m/>
    <m/>
    <s v="Continued"/>
    <n v="0"/>
    <n v="0"/>
    <n v="0"/>
    <n v="0"/>
    <n v="0"/>
    <n v="0"/>
    <n v="0"/>
    <n v="0"/>
    <n v="0"/>
    <n v="0"/>
    <n v="0"/>
    <n v="0"/>
    <n v="0"/>
    <n v="0"/>
    <n v="0"/>
    <n v="0"/>
    <n v="0"/>
    <n v="0"/>
    <n v="0"/>
    <n v="0"/>
    <n v="0"/>
    <n v="0"/>
    <n v="0"/>
    <n v="0"/>
    <n v="0"/>
    <n v="0"/>
    <n v="0"/>
    <n v="0"/>
    <x v="0"/>
    <n v="300"/>
    <n v="1200"/>
    <n v="1200"/>
    <n v="2700"/>
    <n v="150"/>
    <n v="405000"/>
    <n v="0"/>
    <n v="0"/>
    <n v="1200"/>
    <n v="180000"/>
    <n v="1200"/>
    <n v="180000"/>
    <n v="2400"/>
    <n v="360000"/>
    <s v="Continued"/>
    <n v="300"/>
    <n v="1200"/>
    <n v="1200"/>
    <n v="2700"/>
    <n v="150"/>
    <n v="405000"/>
    <s v="Fall 2018"/>
    <n v="300"/>
    <n v="45000"/>
    <n v="1200"/>
    <n v="180000"/>
    <n v="1200"/>
    <n v="180000"/>
    <n v="2700"/>
    <n v="405000"/>
    <s v="Continued"/>
    <n v="300"/>
    <n v="1200"/>
    <n v="1200"/>
    <n v="2700"/>
    <n v="150"/>
    <n v="405000"/>
    <m/>
    <n v="300"/>
    <n v="45000"/>
    <n v="1200"/>
    <n v="180000"/>
    <n v="1200"/>
    <n v="180000"/>
    <n v="2700"/>
    <n v="405000"/>
    <n v="7800"/>
    <n v="1170000"/>
    <n v="39"/>
  </r>
  <r>
    <x v="182"/>
    <s v="Completed"/>
    <m/>
    <n v="513703"/>
    <d v="2018-02-01T00:00:00"/>
    <d v="2019-02-18T00:00:00"/>
    <n v="10"/>
    <x v="4"/>
    <x v="0"/>
    <x v="14"/>
    <n v="30000"/>
    <m/>
    <x v="133"/>
    <x v="135"/>
    <s v="World Civilizations I, World Civilizations II"/>
    <s v="HIST 1111, HIST 1112"/>
    <s v="History"/>
    <s v="Survey of World History I &amp; II"/>
    <s v="In-Progress"/>
    <s v="In-Progress"/>
    <s v="In-progress"/>
    <x v="2"/>
    <s v="Positive"/>
    <s v="Positive"/>
    <n v="77333"/>
    <n v="735"/>
    <n v="105"/>
    <n v="70"/>
    <n v="385"/>
    <n v="280"/>
    <s v="Fall 2018"/>
    <s v="N"/>
    <m/>
    <m/>
    <s v="Continued"/>
    <n v="0"/>
    <n v="0"/>
    <n v="0"/>
    <n v="0"/>
    <n v="0"/>
    <n v="0"/>
    <n v="0"/>
    <n v="0"/>
    <n v="0"/>
    <n v="0"/>
    <n v="0"/>
    <n v="0"/>
    <n v="0"/>
    <n v="0"/>
    <n v="0"/>
    <n v="0"/>
    <n v="0"/>
    <n v="0"/>
    <n v="0"/>
    <n v="0"/>
    <n v="0"/>
    <n v="0"/>
    <n v="0"/>
    <n v="0"/>
    <n v="0"/>
    <n v="0"/>
    <n v="0"/>
    <n v="0"/>
    <x v="0"/>
    <n v="70"/>
    <n v="385"/>
    <n v="280"/>
    <n v="735"/>
    <n v="105"/>
    <n v="77175"/>
    <n v="0"/>
    <n v="0"/>
    <n v="385"/>
    <n v="40425"/>
    <n v="280"/>
    <n v="29400"/>
    <n v="665"/>
    <n v="69825"/>
    <s v="Continued"/>
    <n v="70"/>
    <n v="385"/>
    <n v="280"/>
    <n v="735"/>
    <n v="105"/>
    <n v="77175"/>
    <s v="Fall 2018"/>
    <n v="70"/>
    <n v="7350"/>
    <n v="385"/>
    <n v="40425"/>
    <n v="280"/>
    <n v="29400"/>
    <n v="735"/>
    <n v="77175"/>
    <s v="Continued"/>
    <n v="70"/>
    <n v="385"/>
    <n v="280"/>
    <n v="735"/>
    <n v="105"/>
    <n v="77175"/>
    <m/>
    <n v="70"/>
    <n v="7350"/>
    <n v="385"/>
    <n v="40425"/>
    <n v="280"/>
    <n v="29400"/>
    <n v="735"/>
    <n v="77175"/>
    <n v="2135"/>
    <n v="224175"/>
    <n v="7.4725000000000001"/>
  </r>
  <r>
    <x v="183"/>
    <s v="Completed"/>
    <m/>
    <n v="514222"/>
    <d v="2018-05-14T00:00:00"/>
    <d v="2019-01-14T00:00:00"/>
    <n v="10"/>
    <x v="4"/>
    <x v="1"/>
    <x v="10"/>
    <n v="4800"/>
    <m/>
    <x v="70"/>
    <x v="70"/>
    <s v="Elementary French I, Elementary French II"/>
    <s v="FREN 1001, FREN 1002"/>
    <s v="Foreign Languages"/>
    <s v="Elementary French I &amp; II"/>
    <s v="Created Materials"/>
    <s v="N"/>
    <s v="Liberte"/>
    <x v="3"/>
    <s v="Not Measured"/>
    <s v="Not Measured"/>
    <n v="0"/>
    <n v="0"/>
    <n v="0"/>
    <n v="0"/>
    <n v="0"/>
    <n v="0"/>
    <m/>
    <s v="N"/>
    <m/>
    <m/>
    <s v="Mini-Grant"/>
    <n v="0"/>
    <n v="0"/>
    <n v="0"/>
    <n v="0"/>
    <n v="0"/>
    <n v="0"/>
    <n v="0"/>
    <n v="0"/>
    <n v="0"/>
    <n v="0"/>
    <n v="0"/>
    <n v="0"/>
    <n v="0"/>
    <n v="0"/>
    <n v="0"/>
    <n v="0"/>
    <n v="0"/>
    <n v="0"/>
    <n v="0"/>
    <n v="0"/>
    <n v="0"/>
    <n v="0"/>
    <n v="0"/>
    <n v="0"/>
    <n v="0"/>
    <n v="0"/>
    <n v="0"/>
    <n v="0"/>
    <x v="4"/>
    <n v="0"/>
    <n v="0"/>
    <n v="0"/>
    <n v="0"/>
    <n v="0"/>
    <n v="0"/>
    <n v="0"/>
    <n v="0"/>
    <n v="0"/>
    <n v="0"/>
    <n v="0"/>
    <n v="0"/>
    <n v="0"/>
    <n v="0"/>
    <s v="Mini-Grant"/>
    <m/>
    <m/>
    <m/>
    <n v="0"/>
    <m/>
    <n v="0"/>
    <m/>
    <n v="0"/>
    <n v="0"/>
    <n v="0"/>
    <n v="0"/>
    <n v="0"/>
    <n v="0"/>
    <n v="0"/>
    <n v="0"/>
    <s v="Mini-Grant"/>
    <m/>
    <m/>
    <m/>
    <n v="0"/>
    <m/>
    <n v="0"/>
    <m/>
    <n v="0"/>
    <n v="0"/>
    <n v="0"/>
    <n v="0"/>
    <n v="0"/>
    <n v="0"/>
    <n v="0"/>
    <n v="0"/>
    <n v="0"/>
    <n v="0"/>
    <n v="0"/>
  </r>
  <r>
    <x v="184"/>
    <s v="Completed"/>
    <m/>
    <n v="513824"/>
    <d v="2018-02-05T00:00:00"/>
    <d v="2019-01-25T00:00:00"/>
    <n v="10"/>
    <x v="4"/>
    <x v="1"/>
    <x v="2"/>
    <n v="4800"/>
    <m/>
    <x v="85"/>
    <x v="85"/>
    <s v="Anatomy and Physiology I, Anatomy and Physiology II"/>
    <s v="CBIO 2200, CBIO 2210"/>
    <s v="Biological Sciences"/>
    <s v="N"/>
    <s v="In-Progress"/>
    <s v="In-Progress"/>
    <s v="In-Progress"/>
    <x v="3"/>
    <s v="Not Measured"/>
    <s v="Not Measured"/>
    <n v="0"/>
    <n v="0"/>
    <n v="0"/>
    <n v="0"/>
    <n v="0"/>
    <n v="0"/>
    <m/>
    <s v="N"/>
    <m/>
    <m/>
    <s v="Mini-Grant"/>
    <n v="0"/>
    <n v="0"/>
    <n v="0"/>
    <n v="0"/>
    <n v="0"/>
    <n v="0"/>
    <n v="0"/>
    <n v="0"/>
    <n v="0"/>
    <n v="0"/>
    <n v="0"/>
    <n v="0"/>
    <n v="0"/>
    <n v="0"/>
    <n v="0"/>
    <n v="0"/>
    <n v="0"/>
    <n v="0"/>
    <n v="0"/>
    <n v="0"/>
    <n v="0"/>
    <n v="0"/>
    <n v="0"/>
    <n v="0"/>
    <n v="0"/>
    <n v="0"/>
    <n v="0"/>
    <n v="0"/>
    <x v="4"/>
    <n v="0"/>
    <n v="0"/>
    <n v="0"/>
    <n v="0"/>
    <n v="0"/>
    <n v="0"/>
    <n v="0"/>
    <n v="0"/>
    <n v="0"/>
    <n v="0"/>
    <n v="0"/>
    <n v="0"/>
    <n v="0"/>
    <n v="0"/>
    <s v="Mini-Grant"/>
    <m/>
    <m/>
    <m/>
    <n v="0"/>
    <m/>
    <n v="0"/>
    <m/>
    <n v="0"/>
    <n v="0"/>
    <n v="0"/>
    <n v="0"/>
    <n v="0"/>
    <n v="0"/>
    <n v="0"/>
    <n v="0"/>
    <s v="Mini-Grant"/>
    <m/>
    <m/>
    <m/>
    <n v="0"/>
    <m/>
    <n v="0"/>
    <m/>
    <n v="0"/>
    <n v="0"/>
    <n v="0"/>
    <n v="0"/>
    <n v="0"/>
    <n v="0"/>
    <n v="0"/>
    <n v="0"/>
    <n v="0"/>
    <n v="0"/>
    <n v="0"/>
  </r>
  <r>
    <x v="185"/>
    <s v="Completed"/>
    <m/>
    <n v="513788"/>
    <d v="2018-01-22T00:00:00"/>
    <d v="2019-01-07T00:00:00"/>
    <n v="10"/>
    <x v="4"/>
    <x v="1"/>
    <x v="9"/>
    <n v="4000"/>
    <m/>
    <x v="115"/>
    <x v="115"/>
    <s v="Principles of Biology"/>
    <s v="BIOL 1107"/>
    <s v="Biological Sciences"/>
    <s v="Principles of Biology I"/>
    <s v="In-Progress"/>
    <s v="In-Progress"/>
    <s v="In-Progress"/>
    <x v="3"/>
    <s v="Not Measured"/>
    <s v="Not Measured"/>
    <n v="0"/>
    <n v="0"/>
    <n v="0"/>
    <n v="0"/>
    <n v="0"/>
    <n v="0"/>
    <m/>
    <s v="N"/>
    <m/>
    <m/>
    <s v="Mini-Grant"/>
    <n v="0"/>
    <n v="0"/>
    <n v="0"/>
    <n v="0"/>
    <n v="0"/>
    <n v="0"/>
    <n v="0"/>
    <n v="0"/>
    <n v="0"/>
    <n v="0"/>
    <n v="0"/>
    <n v="0"/>
    <n v="0"/>
    <n v="0"/>
    <n v="0"/>
    <n v="0"/>
    <n v="0"/>
    <n v="0"/>
    <n v="0"/>
    <n v="0"/>
    <n v="0"/>
    <n v="0"/>
    <n v="0"/>
    <n v="0"/>
    <n v="0"/>
    <n v="0"/>
    <n v="0"/>
    <n v="0"/>
    <x v="4"/>
    <n v="0"/>
    <n v="0"/>
    <n v="0"/>
    <n v="0"/>
    <n v="0"/>
    <n v="0"/>
    <n v="0"/>
    <n v="0"/>
    <n v="0"/>
    <n v="0"/>
    <n v="0"/>
    <n v="0"/>
    <n v="0"/>
    <n v="0"/>
    <s v="Mini-Grant"/>
    <m/>
    <m/>
    <m/>
    <n v="0"/>
    <m/>
    <n v="0"/>
    <m/>
    <n v="0"/>
    <n v="0"/>
    <n v="0"/>
    <n v="0"/>
    <n v="0"/>
    <n v="0"/>
    <n v="0"/>
    <n v="0"/>
    <s v="Mini-Grant"/>
    <m/>
    <m/>
    <m/>
    <n v="0"/>
    <m/>
    <n v="0"/>
    <m/>
    <n v="0"/>
    <n v="0"/>
    <n v="0"/>
    <n v="0"/>
    <n v="0"/>
    <n v="0"/>
    <n v="0"/>
    <n v="0"/>
    <n v="0"/>
    <n v="0"/>
    <n v="0"/>
  </r>
  <r>
    <x v="186"/>
    <s v="Completed"/>
    <m/>
    <n v="513581"/>
    <d v="2018-02-09T00:00:00"/>
    <d v="2018-07-18T00:00:00"/>
    <n v="10"/>
    <x v="4"/>
    <x v="1"/>
    <x v="21"/>
    <n v="4800"/>
    <m/>
    <x v="63"/>
    <x v="63"/>
    <s v="Digital Media"/>
    <s v="ITEC 2110"/>
    <s v="Computing Disciplines"/>
    <s v="N"/>
    <s v="Created Materials"/>
    <s v="N"/>
    <s v="ITEC 2110 Revised"/>
    <x v="3"/>
    <s v="Not Measured"/>
    <s v="Not Measured"/>
    <n v="0"/>
    <n v="0"/>
    <n v="0"/>
    <n v="0"/>
    <n v="0"/>
    <n v="0"/>
    <m/>
    <s v="N"/>
    <m/>
    <m/>
    <s v="Mini-Grant"/>
    <n v="0"/>
    <n v="0"/>
    <n v="0"/>
    <n v="0"/>
    <n v="0"/>
    <n v="0"/>
    <n v="0"/>
    <n v="0"/>
    <n v="0"/>
    <n v="0"/>
    <n v="0"/>
    <n v="0"/>
    <n v="0"/>
    <n v="0"/>
    <n v="0"/>
    <n v="0"/>
    <n v="0"/>
    <n v="0"/>
    <n v="0"/>
    <n v="0"/>
    <n v="0"/>
    <n v="0"/>
    <n v="0"/>
    <n v="0"/>
    <n v="0"/>
    <n v="0"/>
    <n v="0"/>
    <n v="0"/>
    <x v="4"/>
    <n v="0"/>
    <n v="0"/>
    <n v="0"/>
    <n v="0"/>
    <n v="0"/>
    <n v="0"/>
    <n v="0"/>
    <n v="0"/>
    <n v="0"/>
    <n v="0"/>
    <n v="0"/>
    <n v="0"/>
    <n v="0"/>
    <n v="0"/>
    <s v="Mini-Grant"/>
    <m/>
    <m/>
    <m/>
    <n v="0"/>
    <m/>
    <n v="0"/>
    <m/>
    <n v="0"/>
    <n v="0"/>
    <n v="0"/>
    <n v="0"/>
    <n v="0"/>
    <n v="0"/>
    <n v="0"/>
    <n v="0"/>
    <s v="Mini-Grant"/>
    <m/>
    <m/>
    <m/>
    <n v="0"/>
    <m/>
    <n v="0"/>
    <m/>
    <n v="0"/>
    <n v="0"/>
    <n v="0"/>
    <n v="0"/>
    <n v="0"/>
    <n v="0"/>
    <n v="0"/>
    <n v="0"/>
    <n v="0"/>
    <n v="0"/>
    <n v="0"/>
  </r>
  <r>
    <x v="187"/>
    <s v="Completed"/>
    <m/>
    <n v="513574"/>
    <d v="2017-11-28T00:00:00"/>
    <d v="2018-05-30T00:00:00"/>
    <n v="10"/>
    <x v="4"/>
    <x v="1"/>
    <x v="3"/>
    <n v="4800"/>
    <m/>
    <x v="5"/>
    <x v="5"/>
    <s v="Exploring Teaching and Learning"/>
    <s v="EDUC 2130"/>
    <s v="Educator Preparation"/>
    <s v="N"/>
    <s v="Created Materials"/>
    <s v="N"/>
    <s v="Educational Learning Theories"/>
    <x v="3"/>
    <s v="Not Measured"/>
    <s v="Not Measured"/>
    <n v="0"/>
    <n v="0"/>
    <n v="0"/>
    <n v="0"/>
    <n v="0"/>
    <n v="0"/>
    <m/>
    <s v="N"/>
    <m/>
    <m/>
    <s v="Mini-Grant"/>
    <n v="0"/>
    <n v="0"/>
    <n v="0"/>
    <n v="0"/>
    <n v="0"/>
    <n v="0"/>
    <n v="0"/>
    <n v="0"/>
    <n v="0"/>
    <n v="0"/>
    <n v="0"/>
    <n v="0"/>
    <n v="0"/>
    <n v="0"/>
    <n v="0"/>
    <n v="0"/>
    <n v="0"/>
    <n v="0"/>
    <n v="0"/>
    <n v="0"/>
    <n v="0"/>
    <n v="0"/>
    <n v="0"/>
    <n v="0"/>
    <n v="0"/>
    <n v="0"/>
    <n v="0"/>
    <n v="0"/>
    <x v="4"/>
    <n v="0"/>
    <n v="0"/>
    <n v="0"/>
    <n v="0"/>
    <n v="0"/>
    <n v="0"/>
    <n v="0"/>
    <n v="0"/>
    <n v="0"/>
    <n v="0"/>
    <n v="0"/>
    <n v="0"/>
    <n v="0"/>
    <n v="0"/>
    <s v="Mini-Grant"/>
    <m/>
    <m/>
    <m/>
    <n v="0"/>
    <m/>
    <n v="0"/>
    <m/>
    <n v="0"/>
    <n v="0"/>
    <n v="0"/>
    <n v="0"/>
    <n v="0"/>
    <n v="0"/>
    <n v="0"/>
    <n v="0"/>
    <s v="Mini-Grant"/>
    <m/>
    <m/>
    <m/>
    <n v="0"/>
    <m/>
    <n v="0"/>
    <m/>
    <n v="0"/>
    <n v="0"/>
    <n v="0"/>
    <n v="0"/>
    <n v="0"/>
    <n v="0"/>
    <n v="0"/>
    <n v="0"/>
    <n v="0"/>
    <n v="0"/>
    <n v="0"/>
  </r>
  <r>
    <x v="188"/>
    <s v="Completed"/>
    <m/>
    <n v="513789"/>
    <d v="2018-01-22T00:00:00"/>
    <d v="2019-04-04T00:00:00"/>
    <n v="10"/>
    <x v="4"/>
    <x v="1"/>
    <x v="7"/>
    <n v="4800"/>
    <m/>
    <x v="11"/>
    <x v="11"/>
    <s v="Elementary Statistics"/>
    <s v="MATH 2200"/>
    <s v="Mathematical Subjects"/>
    <s v="N"/>
    <s v="In-Progress"/>
    <s v="In-Progress"/>
    <s v="In-Progress"/>
    <x v="3"/>
    <s v="Not Measured"/>
    <s v="Not Measured"/>
    <n v="0"/>
    <n v="0"/>
    <n v="0"/>
    <n v="0"/>
    <n v="0"/>
    <n v="0"/>
    <m/>
    <s v="N"/>
    <m/>
    <m/>
    <s v="Mini-Grant"/>
    <n v="0"/>
    <n v="0"/>
    <n v="0"/>
    <n v="0"/>
    <n v="0"/>
    <n v="0"/>
    <n v="0"/>
    <n v="0"/>
    <n v="0"/>
    <n v="0"/>
    <n v="0"/>
    <n v="0"/>
    <n v="0"/>
    <n v="0"/>
    <n v="0"/>
    <n v="0"/>
    <n v="0"/>
    <n v="0"/>
    <n v="0"/>
    <n v="0"/>
    <n v="0"/>
    <n v="0"/>
    <n v="0"/>
    <n v="0"/>
    <n v="0"/>
    <n v="0"/>
    <n v="0"/>
    <n v="0"/>
    <x v="4"/>
    <n v="0"/>
    <n v="0"/>
    <n v="0"/>
    <n v="0"/>
    <n v="0"/>
    <n v="0"/>
    <n v="0"/>
    <n v="0"/>
    <n v="0"/>
    <n v="0"/>
    <n v="0"/>
    <n v="0"/>
    <n v="0"/>
    <n v="0"/>
    <s v="Mini-Grant"/>
    <m/>
    <m/>
    <m/>
    <n v="0"/>
    <m/>
    <n v="0"/>
    <m/>
    <n v="0"/>
    <n v="0"/>
    <n v="0"/>
    <n v="0"/>
    <n v="0"/>
    <n v="0"/>
    <n v="0"/>
    <n v="0"/>
    <s v="Mini-Grant"/>
    <m/>
    <m/>
    <m/>
    <n v="0"/>
    <m/>
    <n v="0"/>
    <m/>
    <n v="0"/>
    <n v="0"/>
    <n v="0"/>
    <n v="0"/>
    <n v="0"/>
    <n v="0"/>
    <n v="0"/>
    <n v="0"/>
    <n v="0"/>
    <n v="0"/>
    <n v="0"/>
  </r>
  <r>
    <x v="189"/>
    <s v="Completed"/>
    <m/>
    <n v="513620"/>
    <d v="2018-01-23T00:00:00"/>
    <d v="2019-01-15T00:00:00"/>
    <n v="10"/>
    <x v="4"/>
    <x v="1"/>
    <x v="14"/>
    <n v="4495"/>
    <m/>
    <x v="66"/>
    <x v="66"/>
    <s v="Introduction to General Psychology, Introduction to Sociology"/>
    <s v="PSYC 1101, SOCI 1101"/>
    <s v="Psychology"/>
    <s v="Introduction to General Psychology, Introduction to Sociology"/>
    <s v="In-Progress"/>
    <s v="In-Progress"/>
    <s v="In-progress"/>
    <x v="3"/>
    <s v="Not Measured"/>
    <s v="Not Measured"/>
    <n v="0"/>
    <n v="0"/>
    <n v="0"/>
    <n v="0"/>
    <n v="0"/>
    <n v="0"/>
    <m/>
    <s v="N"/>
    <m/>
    <m/>
    <s v="Mini-Grant"/>
    <n v="0"/>
    <n v="0"/>
    <n v="0"/>
    <n v="0"/>
    <n v="0"/>
    <n v="0"/>
    <n v="0"/>
    <n v="0"/>
    <n v="0"/>
    <n v="0"/>
    <n v="0"/>
    <n v="0"/>
    <n v="0"/>
    <n v="0"/>
    <n v="0"/>
    <n v="0"/>
    <n v="0"/>
    <n v="0"/>
    <n v="0"/>
    <n v="0"/>
    <n v="0"/>
    <n v="0"/>
    <n v="0"/>
    <n v="0"/>
    <n v="0"/>
    <n v="0"/>
    <n v="0"/>
    <n v="0"/>
    <x v="4"/>
    <n v="0"/>
    <n v="0"/>
    <n v="0"/>
    <n v="0"/>
    <n v="0"/>
    <n v="0"/>
    <n v="0"/>
    <n v="0"/>
    <n v="0"/>
    <n v="0"/>
    <n v="0"/>
    <n v="0"/>
    <n v="0"/>
    <n v="0"/>
    <s v="Mini-Grant"/>
    <m/>
    <m/>
    <m/>
    <n v="0"/>
    <m/>
    <n v="0"/>
    <m/>
    <n v="0"/>
    <n v="0"/>
    <n v="0"/>
    <n v="0"/>
    <n v="0"/>
    <n v="0"/>
    <n v="0"/>
    <n v="0"/>
    <s v="Mini-Grant"/>
    <m/>
    <m/>
    <m/>
    <n v="0"/>
    <m/>
    <n v="0"/>
    <m/>
    <n v="0"/>
    <n v="0"/>
    <n v="0"/>
    <n v="0"/>
    <n v="0"/>
    <n v="0"/>
    <n v="0"/>
    <n v="0"/>
    <n v="0"/>
    <n v="0"/>
    <n v="0"/>
  </r>
  <r>
    <x v="190"/>
    <s v="Completed"/>
    <m/>
    <n v="514223"/>
    <d v="2018-05-14T00:00:00"/>
    <d v="2019-01-07T00:00:00"/>
    <n v="10"/>
    <x v="4"/>
    <x v="1"/>
    <x v="1"/>
    <n v="4800"/>
    <m/>
    <x v="23"/>
    <x v="23"/>
    <s v="Introduction to Web Development"/>
    <s v="IT 3502"/>
    <s v="Computing Disciplines"/>
    <s v="N"/>
    <s v="In-Progress"/>
    <s v="In-Progress"/>
    <s v="In-Progress"/>
    <x v="3"/>
    <s v="Not Measured"/>
    <s v="Not Measured"/>
    <n v="0"/>
    <n v="0"/>
    <n v="0"/>
    <n v="0"/>
    <n v="0"/>
    <n v="0"/>
    <m/>
    <s v="N"/>
    <m/>
    <m/>
    <s v="Mini-Grant"/>
    <n v="0"/>
    <n v="0"/>
    <n v="0"/>
    <n v="0"/>
    <n v="0"/>
    <n v="0"/>
    <n v="0"/>
    <n v="0"/>
    <n v="0"/>
    <n v="0"/>
    <n v="0"/>
    <n v="0"/>
    <n v="0"/>
    <n v="0"/>
    <n v="0"/>
    <n v="0"/>
    <n v="0"/>
    <n v="0"/>
    <n v="0"/>
    <n v="0"/>
    <n v="0"/>
    <n v="0"/>
    <n v="0"/>
    <n v="0"/>
    <n v="0"/>
    <n v="0"/>
    <n v="0"/>
    <n v="0"/>
    <x v="4"/>
    <n v="0"/>
    <n v="0"/>
    <n v="0"/>
    <n v="0"/>
    <n v="0"/>
    <n v="0"/>
    <n v="0"/>
    <n v="0"/>
    <n v="0"/>
    <n v="0"/>
    <n v="0"/>
    <n v="0"/>
    <n v="0"/>
    <n v="0"/>
    <s v="Mini-Grant"/>
    <m/>
    <m/>
    <m/>
    <n v="0"/>
    <m/>
    <n v="0"/>
    <m/>
    <n v="0"/>
    <n v="0"/>
    <n v="0"/>
    <n v="0"/>
    <n v="0"/>
    <n v="0"/>
    <n v="0"/>
    <n v="0"/>
    <s v="Mini-Grant"/>
    <m/>
    <m/>
    <m/>
    <n v="0"/>
    <m/>
    <n v="0"/>
    <m/>
    <n v="0"/>
    <n v="0"/>
    <n v="0"/>
    <n v="0"/>
    <n v="0"/>
    <n v="0"/>
    <n v="0"/>
    <n v="0"/>
    <n v="0"/>
    <n v="0"/>
    <n v="0"/>
  </r>
  <r>
    <x v="191"/>
    <s v="Completed"/>
    <m/>
    <n v="513696"/>
    <d v="2018-01-09T00:00:00"/>
    <d v="2019-01-07T00:00:00"/>
    <n v="10"/>
    <x v="4"/>
    <x v="1"/>
    <x v="16"/>
    <n v="4800"/>
    <m/>
    <x v="45"/>
    <x v="45"/>
    <s v="Introduction to Environmental Science"/>
    <s v="ENSC 1000"/>
    <s v="English"/>
    <s v="N"/>
    <s v="In-Progress"/>
    <s v="In-Progress"/>
    <s v="In-Progress"/>
    <x v="3"/>
    <s v="Not Measured"/>
    <s v="Not Measured"/>
    <n v="0"/>
    <n v="0"/>
    <n v="0"/>
    <n v="0"/>
    <n v="0"/>
    <n v="0"/>
    <m/>
    <s v="N"/>
    <m/>
    <m/>
    <s v="Mini-Grant"/>
    <n v="0"/>
    <n v="0"/>
    <n v="0"/>
    <n v="0"/>
    <n v="0"/>
    <n v="0"/>
    <n v="0"/>
    <n v="0"/>
    <n v="0"/>
    <n v="0"/>
    <n v="0"/>
    <n v="0"/>
    <n v="0"/>
    <n v="0"/>
    <n v="0"/>
    <n v="0"/>
    <n v="0"/>
    <n v="0"/>
    <n v="0"/>
    <n v="0"/>
    <n v="0"/>
    <n v="0"/>
    <n v="0"/>
    <n v="0"/>
    <n v="0"/>
    <n v="0"/>
    <n v="0"/>
    <n v="0"/>
    <x v="4"/>
    <n v="0"/>
    <n v="0"/>
    <n v="0"/>
    <n v="0"/>
    <n v="0"/>
    <n v="0"/>
    <n v="0"/>
    <n v="0"/>
    <n v="0"/>
    <n v="0"/>
    <n v="0"/>
    <n v="0"/>
    <n v="0"/>
    <n v="0"/>
    <s v="Mini-Grant"/>
    <m/>
    <m/>
    <m/>
    <n v="0"/>
    <m/>
    <n v="0"/>
    <m/>
    <n v="0"/>
    <n v="0"/>
    <n v="0"/>
    <n v="0"/>
    <n v="0"/>
    <n v="0"/>
    <n v="0"/>
    <n v="0"/>
    <s v="Mini-Grant"/>
    <m/>
    <m/>
    <m/>
    <n v="0"/>
    <m/>
    <n v="0"/>
    <m/>
    <n v="0"/>
    <n v="0"/>
    <n v="0"/>
    <n v="0"/>
    <n v="0"/>
    <n v="0"/>
    <n v="0"/>
    <n v="0"/>
    <n v="0"/>
    <n v="0"/>
    <n v="0"/>
  </r>
  <r>
    <x v="192"/>
    <s v="Completed"/>
    <m/>
    <n v="514134"/>
    <d v="2018-04-03T00:00:00"/>
    <m/>
    <n v="11"/>
    <x v="4"/>
    <x v="0"/>
    <x v="7"/>
    <n v="10800"/>
    <m/>
    <x v="157"/>
    <x v="159"/>
    <s v="World History II: The Emergence of the Modern Global Community (World Civilizations II)"/>
    <s v="HIST 1112"/>
    <s v="History"/>
    <s v="Survey of World History II"/>
    <s v="In-Progress"/>
    <s v="In-Progress"/>
    <s v="In-Progress"/>
    <x v="2"/>
    <s v="Positive"/>
    <s v="Neutral"/>
    <n v="50942"/>
    <n v="324"/>
    <n v="127.78"/>
    <n v="0"/>
    <n v="202"/>
    <n v="122"/>
    <s v="Fall 2018"/>
    <s v="N"/>
    <m/>
    <m/>
    <s v="Continued"/>
    <n v="0"/>
    <n v="0"/>
    <n v="0"/>
    <n v="0"/>
    <n v="0"/>
    <n v="0"/>
    <n v="0"/>
    <n v="0"/>
    <n v="0"/>
    <n v="0"/>
    <n v="0"/>
    <n v="0"/>
    <n v="0"/>
    <n v="0"/>
    <n v="0"/>
    <n v="0"/>
    <n v="0"/>
    <n v="0"/>
    <n v="0"/>
    <n v="0"/>
    <n v="0"/>
    <n v="0"/>
    <n v="0"/>
    <n v="0"/>
    <n v="0"/>
    <n v="0"/>
    <n v="0"/>
    <n v="0"/>
    <x v="0"/>
    <n v="0"/>
    <n v="202"/>
    <n v="122"/>
    <n v="324"/>
    <n v="128"/>
    <n v="41472"/>
    <n v="0"/>
    <n v="0"/>
    <n v="202"/>
    <n v="25856"/>
    <n v="122"/>
    <n v="15616"/>
    <n v="324"/>
    <n v="41472"/>
    <s v="Continued"/>
    <n v="0"/>
    <n v="202"/>
    <n v="122"/>
    <n v="324"/>
    <n v="128"/>
    <n v="41472"/>
    <s v="Fall 2018"/>
    <n v="0"/>
    <n v="0"/>
    <n v="202"/>
    <n v="25856"/>
    <n v="122"/>
    <n v="15616"/>
    <n v="324"/>
    <n v="41472"/>
    <s v="Continued"/>
    <n v="0"/>
    <n v="202"/>
    <n v="122"/>
    <n v="324"/>
    <n v="128"/>
    <n v="41472"/>
    <m/>
    <n v="0"/>
    <n v="0"/>
    <n v="202"/>
    <n v="25856"/>
    <n v="122"/>
    <n v="15616"/>
    <n v="324"/>
    <n v="41472"/>
    <n v="972"/>
    <n v="124416"/>
    <n v="11.52"/>
  </r>
  <r>
    <x v="193"/>
    <s v="Completed"/>
    <m/>
    <n v="514194"/>
    <d v="2018-04-11T00:00:00"/>
    <d v="2019-01-25T00:00:00"/>
    <n v="11"/>
    <x v="4"/>
    <x v="0"/>
    <x v="7"/>
    <n v="10800"/>
    <m/>
    <x v="125"/>
    <x v="126"/>
    <s v="Calculus I for Engineers (special sections)"/>
    <s v="MATH 1441"/>
    <s v="Mathematical Subjects"/>
    <s v="Calculus I"/>
    <s v="In-Progress"/>
    <s v="In-Progress"/>
    <s v="In-Progress"/>
    <x v="2"/>
    <s v="Positive"/>
    <s v="Not Measured"/>
    <n v="19765"/>
    <n v="100"/>
    <n v="197.65"/>
    <n v="0"/>
    <n v="100"/>
    <n v="0"/>
    <s v="Fall 2018"/>
    <s v="N"/>
    <m/>
    <m/>
    <s v="Continued"/>
    <n v="0"/>
    <n v="0"/>
    <n v="0"/>
    <n v="0"/>
    <n v="0"/>
    <n v="0"/>
    <n v="0"/>
    <n v="0"/>
    <n v="0"/>
    <n v="0"/>
    <n v="0"/>
    <n v="0"/>
    <n v="0"/>
    <n v="0"/>
    <n v="0"/>
    <n v="0"/>
    <n v="0"/>
    <n v="0"/>
    <n v="0"/>
    <n v="0"/>
    <n v="0"/>
    <n v="0"/>
    <n v="0"/>
    <n v="0"/>
    <n v="0"/>
    <n v="0"/>
    <n v="0"/>
    <n v="0"/>
    <x v="0"/>
    <n v="0"/>
    <n v="100"/>
    <n v="0"/>
    <n v="100"/>
    <n v="198"/>
    <n v="19800"/>
    <n v="0"/>
    <n v="0"/>
    <n v="100"/>
    <n v="19800"/>
    <n v="0"/>
    <n v="0"/>
    <n v="100"/>
    <n v="19800"/>
    <s v="Continued"/>
    <n v="0"/>
    <n v="100"/>
    <n v="0"/>
    <n v="100"/>
    <n v="198"/>
    <n v="19800"/>
    <s v="Fall 2018"/>
    <n v="0"/>
    <n v="0"/>
    <n v="100"/>
    <n v="19800"/>
    <n v="0"/>
    <n v="0"/>
    <n v="100"/>
    <n v="19800"/>
    <s v="Continued"/>
    <n v="0"/>
    <n v="100"/>
    <n v="0"/>
    <n v="100"/>
    <n v="198"/>
    <n v="19800"/>
    <m/>
    <n v="0"/>
    <n v="0"/>
    <n v="100"/>
    <n v="19800"/>
    <n v="0"/>
    <n v="0"/>
    <n v="100"/>
    <n v="19800"/>
    <n v="300"/>
    <n v="59400"/>
    <n v="5.5"/>
  </r>
  <r>
    <x v="194"/>
    <s v="Completed"/>
    <m/>
    <n v="514133"/>
    <d v="2018-05-24T00:00:00"/>
    <m/>
    <n v="11"/>
    <x v="4"/>
    <x v="0"/>
    <x v="4"/>
    <n v="10800"/>
    <m/>
    <x v="158"/>
    <x v="160"/>
    <s v="Introduction to Biology I"/>
    <s v="BIOL 1103"/>
    <s v="Biological Sciences"/>
    <s v="Introductory Biology I"/>
    <s v="In-Progress"/>
    <s v="In-Progress"/>
    <s v="In-Progress"/>
    <x v="3"/>
    <s v="Not Measured"/>
    <s v="Not Measured"/>
    <n v="39300"/>
    <n v="1009"/>
    <n v="32.75"/>
    <n v="215"/>
    <n v="494"/>
    <n v="515"/>
    <s v="Fall 2018"/>
    <s v="N"/>
    <m/>
    <m/>
    <s v="Continued"/>
    <n v="0"/>
    <n v="0"/>
    <n v="0"/>
    <n v="0"/>
    <n v="0"/>
    <n v="0"/>
    <n v="0"/>
    <n v="0"/>
    <n v="0"/>
    <n v="0"/>
    <n v="0"/>
    <n v="0"/>
    <n v="0"/>
    <n v="0"/>
    <n v="0"/>
    <n v="0"/>
    <n v="0"/>
    <n v="0"/>
    <n v="0"/>
    <n v="0"/>
    <n v="0"/>
    <n v="0"/>
    <n v="0"/>
    <n v="0"/>
    <n v="0"/>
    <n v="0"/>
    <n v="0"/>
    <n v="0"/>
    <x v="0"/>
    <n v="215"/>
    <n v="494"/>
    <n v="515"/>
    <n v="1224"/>
    <n v="33"/>
    <n v="40392"/>
    <n v="0"/>
    <n v="0"/>
    <n v="494"/>
    <n v="16302"/>
    <n v="515"/>
    <n v="16995"/>
    <n v="1009"/>
    <n v="33297"/>
    <s v="Continued"/>
    <n v="215"/>
    <n v="494"/>
    <n v="515"/>
    <n v="1224"/>
    <n v="33"/>
    <n v="40392"/>
    <s v="Fall 2018"/>
    <n v="215"/>
    <n v="7095"/>
    <n v="494"/>
    <n v="16302"/>
    <n v="515"/>
    <n v="16995"/>
    <n v="1224"/>
    <n v="40392"/>
    <s v="Unknown"/>
    <n v="215"/>
    <n v="494"/>
    <n v="515"/>
    <n v="0"/>
    <n v="33"/>
    <n v="0"/>
    <m/>
    <n v="0"/>
    <n v="0"/>
    <n v="0"/>
    <n v="0"/>
    <n v="0"/>
    <n v="0"/>
    <n v="0"/>
    <n v="0"/>
    <n v="2233"/>
    <n v="73689"/>
    <n v="6.8230555555555554"/>
  </r>
  <r>
    <x v="195"/>
    <s v="Completed"/>
    <m/>
    <n v="514139"/>
    <d v="2018-04-03T00:00:00"/>
    <d v="2019-01-14T00:00:00"/>
    <n v="11"/>
    <x v="4"/>
    <x v="0"/>
    <x v="21"/>
    <n v="10800"/>
    <m/>
    <x v="128"/>
    <x v="129"/>
    <s v="Intermediate Spanish I &amp; II"/>
    <s v="SPAN 2001, SPAN 2002"/>
    <s v="Foreign Languages"/>
    <s v="Intermediate Spanish I &amp; II"/>
    <s v="In-Progress"/>
    <s v="In-Progress"/>
    <s v="In-Progress"/>
    <x v="2"/>
    <s v="Positive"/>
    <s v="Neutral"/>
    <n v="42000"/>
    <n v="168"/>
    <n v="250"/>
    <n v="84"/>
    <n v="84"/>
    <n v="0"/>
    <s v="Summer 2018"/>
    <s v="N"/>
    <m/>
    <m/>
    <s v="Continued"/>
    <n v="0"/>
    <n v="0"/>
    <n v="0"/>
    <n v="0"/>
    <n v="0"/>
    <n v="0"/>
    <n v="0"/>
    <n v="0"/>
    <n v="0"/>
    <n v="0"/>
    <n v="0"/>
    <n v="0"/>
    <n v="0"/>
    <n v="0"/>
    <n v="0"/>
    <n v="0"/>
    <n v="0"/>
    <n v="0"/>
    <n v="0"/>
    <n v="0"/>
    <n v="0"/>
    <n v="0"/>
    <n v="0"/>
    <n v="0"/>
    <n v="0"/>
    <n v="0"/>
    <n v="0"/>
    <n v="0"/>
    <x v="0"/>
    <n v="84"/>
    <n v="84"/>
    <n v="0"/>
    <n v="168"/>
    <n v="250"/>
    <n v="42000"/>
    <n v="84"/>
    <n v="21000"/>
    <n v="84"/>
    <n v="21000"/>
    <n v="0"/>
    <n v="0"/>
    <n v="168"/>
    <n v="42000"/>
    <s v="Continued"/>
    <n v="84"/>
    <n v="84"/>
    <n v="0"/>
    <n v="168"/>
    <n v="250"/>
    <n v="42000"/>
    <s v="Summer 2018"/>
    <n v="84"/>
    <n v="21000"/>
    <n v="84"/>
    <n v="21000"/>
    <n v="0"/>
    <n v="0"/>
    <n v="168"/>
    <n v="42000"/>
    <s v="Continued"/>
    <n v="84"/>
    <n v="84"/>
    <n v="0"/>
    <n v="168"/>
    <n v="250"/>
    <n v="42000"/>
    <m/>
    <n v="84"/>
    <n v="21000"/>
    <n v="84"/>
    <n v="21000"/>
    <n v="0"/>
    <n v="0"/>
    <n v="168"/>
    <n v="42000"/>
    <n v="504"/>
    <n v="126000"/>
    <n v="11.666666666666666"/>
  </r>
  <r>
    <x v="196"/>
    <s v="Completed"/>
    <m/>
    <n v="514202"/>
    <d v="2018-04-16T00:00:00"/>
    <d v="2019-01-07T00:00:00"/>
    <n v="11"/>
    <x v="4"/>
    <x v="0"/>
    <x v="1"/>
    <n v="30000"/>
    <m/>
    <x v="159"/>
    <x v="161"/>
    <s v="Hardware/Software Concepts, Software Acquisition &amp; Project Management, Management of IT &amp; Human Computer Interaction, IT Policy and Law, Discrete Structures"/>
    <s v="IT 3123, IT 3223, IT 4683, IT 4723, CSE 2300"/>
    <s v="Computing Disciplines"/>
    <s v="N"/>
    <s v="In-Progress"/>
    <s v="In-Progress"/>
    <s v="In-Progress"/>
    <x v="2"/>
    <s v="Positive"/>
    <s v="Neutral"/>
    <n v="144325"/>
    <n v="1125"/>
    <n v="128.29"/>
    <n v="216"/>
    <n v="420"/>
    <n v="425"/>
    <s v="Summer 2018"/>
    <s v="N"/>
    <m/>
    <m/>
    <s v="Continued"/>
    <n v="0"/>
    <n v="0"/>
    <n v="0"/>
    <n v="0"/>
    <n v="0"/>
    <n v="0"/>
    <n v="0"/>
    <n v="0"/>
    <n v="0"/>
    <n v="0"/>
    <n v="0"/>
    <n v="0"/>
    <n v="0"/>
    <n v="0"/>
    <n v="0"/>
    <n v="0"/>
    <n v="0"/>
    <n v="0"/>
    <n v="0"/>
    <n v="0"/>
    <n v="0"/>
    <n v="0"/>
    <n v="0"/>
    <n v="0"/>
    <n v="0"/>
    <n v="0"/>
    <n v="0"/>
    <n v="0"/>
    <x v="0"/>
    <n v="216"/>
    <n v="420"/>
    <n v="425"/>
    <n v="1061"/>
    <n v="128"/>
    <n v="135808"/>
    <n v="216"/>
    <n v="27648"/>
    <n v="420"/>
    <n v="53760"/>
    <n v="425"/>
    <n v="54400"/>
    <n v="1061"/>
    <n v="135808"/>
    <s v="Continued"/>
    <n v="216"/>
    <n v="420"/>
    <n v="425"/>
    <n v="1061"/>
    <n v="128"/>
    <n v="135808"/>
    <s v="Summer 2018"/>
    <n v="216"/>
    <n v="27648"/>
    <n v="420"/>
    <n v="53760"/>
    <n v="425"/>
    <n v="54400"/>
    <n v="1061"/>
    <n v="135808"/>
    <s v="Continued"/>
    <n v="216"/>
    <n v="420"/>
    <n v="425"/>
    <n v="1061"/>
    <n v="128"/>
    <n v="135808"/>
    <m/>
    <n v="216"/>
    <n v="27648"/>
    <n v="420"/>
    <n v="53760"/>
    <n v="425"/>
    <n v="54400"/>
    <n v="1061"/>
    <n v="135808"/>
    <n v="3183"/>
    <n v="407424"/>
    <n v="13.5808"/>
  </r>
  <r>
    <x v="197"/>
    <s v="Completed"/>
    <m/>
    <n v="514196"/>
    <d v="2016-04-16T00:00:00"/>
    <d v="2019-01-07T00:00:00"/>
    <n v="11"/>
    <x v="4"/>
    <x v="0"/>
    <x v="1"/>
    <n v="30000"/>
    <m/>
    <x v="139"/>
    <x v="141"/>
    <s v="Introduction to Human Geography, Earth from Above"/>
    <s v="GEOG 1101, GEOG 1102"/>
    <s v="Geological Sciences and Geography"/>
    <s v="Introduction to Human Geography"/>
    <s v="In-Progress"/>
    <s v="In-Progress"/>
    <s v="In-Progress"/>
    <x v="2"/>
    <s v="Neutral"/>
    <s v="Positive"/>
    <n v="36785"/>
    <n v="840"/>
    <n v="43.79"/>
    <n v="310"/>
    <n v="330"/>
    <n v="840"/>
    <s v="Fall 2018"/>
    <s v="N"/>
    <m/>
    <m/>
    <s v="Continued"/>
    <n v="0"/>
    <n v="0"/>
    <n v="0"/>
    <n v="0"/>
    <n v="0"/>
    <n v="0"/>
    <n v="0"/>
    <n v="0"/>
    <n v="0"/>
    <n v="0"/>
    <n v="0"/>
    <n v="0"/>
    <n v="0"/>
    <n v="0"/>
    <n v="0"/>
    <n v="0"/>
    <n v="0"/>
    <n v="0"/>
    <n v="0"/>
    <n v="0"/>
    <n v="0"/>
    <n v="0"/>
    <n v="0"/>
    <n v="0"/>
    <n v="0"/>
    <n v="0"/>
    <n v="0"/>
    <n v="0"/>
    <x v="0"/>
    <n v="310"/>
    <n v="330"/>
    <n v="840"/>
    <n v="1480"/>
    <n v="44"/>
    <n v="65120"/>
    <n v="0"/>
    <n v="0"/>
    <n v="330"/>
    <n v="14520"/>
    <n v="840"/>
    <n v="36960"/>
    <n v="1170"/>
    <n v="51480"/>
    <s v="Continued"/>
    <n v="310"/>
    <n v="330"/>
    <n v="840"/>
    <n v="1480"/>
    <n v="44"/>
    <n v="65120"/>
    <s v="Fall 2018"/>
    <n v="310"/>
    <n v="13640"/>
    <n v="330"/>
    <n v="14520"/>
    <n v="840"/>
    <n v="36960"/>
    <n v="1480"/>
    <n v="65120"/>
    <s v="Continued"/>
    <n v="310"/>
    <n v="330"/>
    <n v="840"/>
    <n v="1480"/>
    <n v="44"/>
    <n v="65120"/>
    <m/>
    <n v="310"/>
    <n v="13640"/>
    <n v="330"/>
    <n v="14520"/>
    <n v="840"/>
    <n v="36960"/>
    <n v="1480"/>
    <n v="65120"/>
    <n v="4130"/>
    <n v="181720"/>
    <n v="6.0573333333333332"/>
  </r>
  <r>
    <x v="198"/>
    <s v="Completed"/>
    <m/>
    <n v="514143"/>
    <d v="2018-04-03T00:00:00"/>
    <d v="2019-01-07T00:00:00"/>
    <n v="11"/>
    <x v="4"/>
    <x v="0"/>
    <x v="14"/>
    <n v="30000"/>
    <m/>
    <x v="160"/>
    <x v="162"/>
    <s v="Elementary Statistics"/>
    <s v="MATH 2200"/>
    <s v="Mathematical Subjects"/>
    <s v="N"/>
    <s v="In-Progress"/>
    <s v="In-Progress"/>
    <s v="In-progress"/>
    <x v="2"/>
    <s v="Negative"/>
    <s v="Negative"/>
    <n v="61811"/>
    <n v="775"/>
    <n v="149.5"/>
    <n v="150"/>
    <n v="323"/>
    <n v="305"/>
    <s v="Fall 2018"/>
    <s v="N"/>
    <m/>
    <m/>
    <s v="Continued"/>
    <n v="0"/>
    <n v="0"/>
    <n v="0"/>
    <n v="0"/>
    <n v="0"/>
    <n v="0"/>
    <n v="0"/>
    <n v="0"/>
    <n v="0"/>
    <n v="0"/>
    <n v="0"/>
    <n v="0"/>
    <n v="0"/>
    <n v="0"/>
    <n v="0"/>
    <n v="0"/>
    <n v="0"/>
    <n v="0"/>
    <n v="0"/>
    <n v="0"/>
    <n v="0"/>
    <n v="0"/>
    <n v="0"/>
    <n v="0"/>
    <n v="0"/>
    <n v="0"/>
    <n v="0"/>
    <n v="0"/>
    <x v="0"/>
    <n v="150"/>
    <n v="323"/>
    <n v="305"/>
    <n v="778"/>
    <n v="150"/>
    <n v="116700"/>
    <n v="0"/>
    <n v="0"/>
    <n v="323"/>
    <n v="48450"/>
    <n v="305"/>
    <n v="45750"/>
    <n v="628"/>
    <n v="94200"/>
    <s v="Continued"/>
    <n v="150"/>
    <n v="323"/>
    <n v="305"/>
    <n v="778"/>
    <n v="150"/>
    <n v="116700"/>
    <s v="Fall 2018"/>
    <n v="150"/>
    <n v="22500"/>
    <n v="323"/>
    <n v="48450"/>
    <n v="305"/>
    <n v="45750"/>
    <n v="778"/>
    <n v="116700"/>
    <s v="Continued"/>
    <n v="150"/>
    <n v="323"/>
    <n v="305"/>
    <n v="778"/>
    <n v="150"/>
    <n v="116700"/>
    <m/>
    <n v="150"/>
    <n v="22500"/>
    <n v="323"/>
    <n v="48450"/>
    <n v="305"/>
    <n v="45750"/>
    <n v="778"/>
    <n v="116700"/>
    <n v="2184"/>
    <n v="327600"/>
    <n v="10.92"/>
  </r>
  <r>
    <x v="199"/>
    <s v="Completed"/>
    <m/>
    <n v="514204"/>
    <d v="2018-04-11T00:00:00"/>
    <d v="2019-01-07T00:00:00"/>
    <n v="11"/>
    <x v="4"/>
    <x v="0"/>
    <x v="9"/>
    <n v="10800"/>
    <m/>
    <x v="161"/>
    <x v="110"/>
    <s v="Western Civilization since 1648 (Western Civilization II)"/>
    <s v="HIST 1112"/>
    <s v="History"/>
    <s v="Survey of Western Civilization II"/>
    <s v="In-Progress"/>
    <s v="In-Progress"/>
    <s v="In-Progress"/>
    <x v="2"/>
    <s v="Positive"/>
    <s v="Positive"/>
    <n v="16316"/>
    <n v="85"/>
    <n v="192"/>
    <n v="30"/>
    <n v="30"/>
    <n v="85"/>
    <s v="Summer 2018"/>
    <s v="N"/>
    <m/>
    <m/>
    <s v="Continued"/>
    <n v="0"/>
    <n v="0"/>
    <n v="0"/>
    <n v="0"/>
    <n v="0"/>
    <n v="0"/>
    <n v="0"/>
    <n v="0"/>
    <n v="0"/>
    <n v="0"/>
    <n v="0"/>
    <n v="0"/>
    <n v="0"/>
    <n v="0"/>
    <n v="0"/>
    <n v="0"/>
    <n v="0"/>
    <n v="0"/>
    <n v="0"/>
    <n v="0"/>
    <n v="0"/>
    <n v="0"/>
    <n v="0"/>
    <n v="0"/>
    <n v="0"/>
    <n v="0"/>
    <n v="0"/>
    <n v="0"/>
    <x v="0"/>
    <n v="30"/>
    <n v="30"/>
    <n v="85"/>
    <n v="145"/>
    <n v="192"/>
    <n v="27840"/>
    <n v="30"/>
    <n v="5760"/>
    <n v="30"/>
    <n v="5760"/>
    <n v="85"/>
    <n v="16320"/>
    <n v="145"/>
    <n v="27840"/>
    <s v="Discontinued"/>
    <n v="30"/>
    <n v="30"/>
    <n v="85"/>
    <n v="145"/>
    <n v="192"/>
    <n v="27840"/>
    <s v="Summer 2018"/>
    <n v="0"/>
    <n v="0"/>
    <n v="0"/>
    <n v="0"/>
    <n v="0"/>
    <n v="0"/>
    <n v="0"/>
    <n v="0"/>
    <s v="Discontinued"/>
    <n v="30"/>
    <n v="30"/>
    <n v="85"/>
    <n v="0"/>
    <n v="192"/>
    <n v="0"/>
    <m/>
    <n v="0"/>
    <n v="0"/>
    <n v="0"/>
    <n v="0"/>
    <n v="0"/>
    <n v="0"/>
    <n v="0"/>
    <n v="0"/>
    <n v="145"/>
    <n v="27840"/>
    <n v="2.5777777777777779"/>
  </r>
  <r>
    <x v="200"/>
    <s v="Completed"/>
    <m/>
    <n v="514142"/>
    <d v="2018-04-03T00:00:00"/>
    <d v="2019-05-02T00:00:00"/>
    <n v="11"/>
    <x v="4"/>
    <x v="0"/>
    <x v="2"/>
    <n v="30000"/>
    <m/>
    <x v="162"/>
    <x v="163"/>
    <s v="Basics of Chemistry, Freshman Chemistry I, Freshman Chemistry II"/>
    <s v="CHEM 1210, CHEM 1211, CHEM 1212"/>
    <s v="Chemistry"/>
    <s v="Principles of Chemistry I &amp; II"/>
    <s v="In-Progress"/>
    <s v="In-Progress"/>
    <s v="In-Progress"/>
    <x v="3"/>
    <s v="Not Measured"/>
    <s v="Not Measured"/>
    <n v="350000"/>
    <n v="5800"/>
    <n v="130"/>
    <n v="5800"/>
    <n v="3000"/>
    <n v="2400"/>
    <s v="Fall 2018"/>
    <s v="N"/>
    <m/>
    <m/>
    <s v="Continued"/>
    <n v="0"/>
    <n v="0"/>
    <n v="0"/>
    <n v="0"/>
    <n v="0"/>
    <n v="0"/>
    <n v="0"/>
    <n v="0"/>
    <n v="0"/>
    <n v="0"/>
    <n v="0"/>
    <n v="0"/>
    <n v="0"/>
    <n v="0"/>
    <n v="0"/>
    <n v="0"/>
    <n v="0"/>
    <n v="0"/>
    <n v="0"/>
    <n v="0"/>
    <n v="0"/>
    <n v="0"/>
    <n v="0"/>
    <n v="0"/>
    <n v="0"/>
    <n v="0"/>
    <n v="0"/>
    <n v="0"/>
    <x v="0"/>
    <n v="5800"/>
    <n v="3000"/>
    <n v="2400"/>
    <n v="11200"/>
    <n v="130"/>
    <n v="1456000"/>
    <n v="0"/>
    <n v="0"/>
    <n v="3000"/>
    <n v="390000"/>
    <n v="2400"/>
    <n v="312000"/>
    <n v="5400"/>
    <n v="702000"/>
    <s v="Continued"/>
    <n v="5800"/>
    <n v="3000"/>
    <n v="2400"/>
    <n v="11200"/>
    <n v="130"/>
    <n v="1456000"/>
    <s v="Fall 2018"/>
    <n v="5800"/>
    <n v="754000"/>
    <n v="3000"/>
    <n v="390000"/>
    <n v="2400"/>
    <n v="312000"/>
    <n v="11200"/>
    <n v="1456000"/>
    <s v="Discontinued"/>
    <n v="5800"/>
    <n v="3000"/>
    <n v="2400"/>
    <n v="0"/>
    <n v="130"/>
    <n v="0"/>
    <m/>
    <n v="0"/>
    <n v="0"/>
    <n v="0"/>
    <n v="0"/>
    <n v="0"/>
    <n v="0"/>
    <n v="0"/>
    <n v="0"/>
    <n v="16600"/>
    <n v="2158000"/>
    <n v="71.933333333333337"/>
  </r>
  <r>
    <x v="201"/>
    <s v="Completed"/>
    <m/>
    <n v="514232"/>
    <d v="2018-07-18T00:00:00"/>
    <d v="2019-01-07T00:00:00"/>
    <n v="11"/>
    <x v="4"/>
    <x v="0"/>
    <x v="1"/>
    <n v="24800"/>
    <m/>
    <x v="163"/>
    <x v="164"/>
    <s v="Behavioral and Psychological Aspects of Physical Education and Coaching, Service as Leadership, Programming and Problem Solving I"/>
    <s v="HPE 3100, LDRS 3400, CSE 1301"/>
    <s v="Kinesiology"/>
    <s v="N"/>
    <s v="In-Progress"/>
    <s v="In-Progress"/>
    <s v="In-Progress"/>
    <x v="2"/>
    <s v="Neutral"/>
    <s v="Neutral"/>
    <n v="294268"/>
    <n v="1900"/>
    <n v="154.87"/>
    <n v="190"/>
    <n v="1010"/>
    <n v="660"/>
    <s v="Fall 2018"/>
    <s v="N"/>
    <m/>
    <m/>
    <s v="Continued"/>
    <n v="0"/>
    <n v="0"/>
    <n v="0"/>
    <n v="0"/>
    <n v="0"/>
    <n v="0"/>
    <n v="0"/>
    <n v="0"/>
    <n v="0"/>
    <n v="0"/>
    <n v="0"/>
    <n v="0"/>
    <n v="0"/>
    <n v="0"/>
    <n v="0"/>
    <n v="0"/>
    <n v="0"/>
    <n v="0"/>
    <n v="0"/>
    <n v="0"/>
    <n v="0"/>
    <n v="0"/>
    <n v="0"/>
    <n v="0"/>
    <n v="0"/>
    <n v="0"/>
    <n v="0"/>
    <n v="0"/>
    <x v="0"/>
    <n v="190"/>
    <n v="1010"/>
    <n v="660"/>
    <n v="1860"/>
    <n v="155"/>
    <n v="288300"/>
    <n v="0"/>
    <n v="0"/>
    <n v="1010"/>
    <n v="156550"/>
    <n v="660"/>
    <n v="102300"/>
    <n v="1670"/>
    <n v="258850"/>
    <s v="Continued"/>
    <n v="190"/>
    <n v="1010"/>
    <n v="660"/>
    <n v="1860"/>
    <n v="155"/>
    <n v="288300"/>
    <s v="Fall 2018"/>
    <n v="190"/>
    <n v="29450"/>
    <n v="1010"/>
    <n v="156550"/>
    <n v="660"/>
    <n v="102300"/>
    <n v="1860"/>
    <n v="288300"/>
    <s v="Discontinued"/>
    <n v="190"/>
    <n v="1010"/>
    <n v="660"/>
    <n v="0"/>
    <n v="155"/>
    <n v="0"/>
    <m/>
    <n v="0"/>
    <n v="0"/>
    <n v="0"/>
    <n v="0"/>
    <n v="0"/>
    <n v="0"/>
    <n v="0"/>
    <n v="0"/>
    <n v="3530"/>
    <n v="547150"/>
    <n v="22.0625"/>
  </r>
  <r>
    <x v="202"/>
    <s v="Completed"/>
    <m/>
    <n v="514200"/>
    <d v="2018-04-11T00:00:00"/>
    <d v="2019-01-14T00:00:00"/>
    <n v="11"/>
    <x v="4"/>
    <x v="0"/>
    <x v="14"/>
    <n v="10800"/>
    <m/>
    <x v="164"/>
    <x v="165"/>
    <s v="Introduction to Philosophy"/>
    <s v="PHIL 2010"/>
    <s v="Philosophy and Religion"/>
    <s v="Introduction to Philosophy"/>
    <s v="In-Progress"/>
    <s v="In-Progress"/>
    <s v="In-progress"/>
    <x v="2"/>
    <s v="Neutral"/>
    <s v="Neutral"/>
    <n v="26376"/>
    <n v="240"/>
    <n v="111"/>
    <n v="40"/>
    <n v="100"/>
    <n v="100"/>
    <s v="Fall 2018"/>
    <s v="N"/>
    <m/>
    <m/>
    <s v="Continued"/>
    <n v="0"/>
    <n v="0"/>
    <n v="0"/>
    <n v="0"/>
    <n v="0"/>
    <n v="0"/>
    <n v="0"/>
    <n v="0"/>
    <n v="0"/>
    <n v="0"/>
    <n v="0"/>
    <n v="0"/>
    <n v="0"/>
    <n v="0"/>
    <n v="0"/>
    <n v="0"/>
    <n v="0"/>
    <n v="0"/>
    <n v="0"/>
    <n v="0"/>
    <n v="0"/>
    <n v="0"/>
    <n v="0"/>
    <n v="0"/>
    <n v="0"/>
    <n v="0"/>
    <n v="0"/>
    <n v="0"/>
    <x v="0"/>
    <n v="40"/>
    <n v="100"/>
    <n v="100"/>
    <n v="240"/>
    <n v="111"/>
    <n v="26640"/>
    <n v="0"/>
    <n v="0"/>
    <n v="100"/>
    <n v="11100"/>
    <n v="100"/>
    <n v="11100"/>
    <n v="200"/>
    <n v="22200"/>
    <s v="Continued"/>
    <n v="40"/>
    <n v="100"/>
    <n v="100"/>
    <n v="240"/>
    <n v="111"/>
    <n v="26640"/>
    <s v="Fall 2018"/>
    <n v="40"/>
    <n v="4440"/>
    <n v="100"/>
    <n v="11100"/>
    <n v="100"/>
    <n v="11100"/>
    <n v="240"/>
    <n v="26640"/>
    <s v="Continued"/>
    <n v="40"/>
    <n v="100"/>
    <n v="100"/>
    <n v="240"/>
    <n v="111"/>
    <n v="26640"/>
    <m/>
    <n v="40"/>
    <n v="4440"/>
    <n v="100"/>
    <n v="11100"/>
    <n v="100"/>
    <n v="11100"/>
    <n v="240"/>
    <n v="26640"/>
    <n v="680"/>
    <n v="75480"/>
    <n v="6.9888888888888889"/>
  </r>
  <r>
    <x v="203"/>
    <s v="Completed"/>
    <m/>
    <n v="514231"/>
    <d v="2018-09-06T00:00:00"/>
    <d v="2019-01-07T00:00:00"/>
    <n v="11"/>
    <x v="4"/>
    <x v="0"/>
    <x v="1"/>
    <n v="27300"/>
    <m/>
    <x v="165"/>
    <x v="166"/>
    <s v="Communication Sources and Investigation"/>
    <s v="COM 2020"/>
    <s v="Communication"/>
    <s v="N"/>
    <s v="In-Progress"/>
    <s v="In-Progress"/>
    <s v="In-Progress"/>
    <x v="2"/>
    <s v="Positive"/>
    <s v="Positive"/>
    <n v="87249"/>
    <n v="827"/>
    <n v="105.5"/>
    <n v="71"/>
    <n v="373"/>
    <n v="383"/>
    <s v="Fall 2018"/>
    <s v="N"/>
    <m/>
    <m/>
    <s v="Continued"/>
    <n v="0"/>
    <n v="0"/>
    <n v="0"/>
    <n v="0"/>
    <n v="0"/>
    <n v="0"/>
    <n v="0"/>
    <n v="0"/>
    <n v="0"/>
    <n v="0"/>
    <n v="0"/>
    <n v="0"/>
    <n v="0"/>
    <n v="0"/>
    <n v="0"/>
    <n v="0"/>
    <n v="0"/>
    <n v="0"/>
    <n v="0"/>
    <n v="0"/>
    <n v="0"/>
    <n v="0"/>
    <n v="0"/>
    <n v="0"/>
    <n v="0"/>
    <n v="0"/>
    <n v="0"/>
    <n v="0"/>
    <x v="0"/>
    <n v="71"/>
    <n v="373"/>
    <n v="383"/>
    <n v="827"/>
    <n v="106"/>
    <n v="87662"/>
    <n v="0"/>
    <n v="0"/>
    <n v="373"/>
    <n v="39538"/>
    <n v="383"/>
    <n v="40598"/>
    <n v="756"/>
    <n v="80136"/>
    <s v="Continued"/>
    <n v="71"/>
    <n v="373"/>
    <n v="383"/>
    <n v="827"/>
    <n v="106"/>
    <n v="87662"/>
    <s v="Fall 2018"/>
    <n v="71"/>
    <n v="7526"/>
    <n v="373"/>
    <n v="39538"/>
    <n v="383"/>
    <n v="40598"/>
    <n v="827"/>
    <n v="87662"/>
    <s v="Continued"/>
    <n v="71"/>
    <n v="373"/>
    <n v="383"/>
    <n v="827"/>
    <n v="106"/>
    <n v="87662"/>
    <m/>
    <n v="71"/>
    <n v="7526"/>
    <n v="373"/>
    <n v="39538"/>
    <n v="383"/>
    <n v="40598"/>
    <n v="827"/>
    <n v="87662"/>
    <n v="2410"/>
    <n v="255460"/>
    <n v="9.357509157509158"/>
  </r>
  <r>
    <x v="204"/>
    <s v="Completed"/>
    <m/>
    <n v="514147"/>
    <d v="2018-04-03T00:00:00"/>
    <d v="2019-01-07T00:00:00"/>
    <n v="11"/>
    <x v="4"/>
    <x v="0"/>
    <x v="14"/>
    <n v="10800"/>
    <m/>
    <x v="166"/>
    <x v="167"/>
    <s v="The American Police Systems, Exploring Teaching and Learning"/>
    <s v="CRJU 2111, EDUC 2130"/>
    <s v="Criminal Justice"/>
    <s v="N"/>
    <s v="In-Progress"/>
    <s v="In-Progress"/>
    <s v="In-progress"/>
    <x v="2"/>
    <s v="Positive"/>
    <s v="Positive"/>
    <n v="23100"/>
    <n v="180"/>
    <n v="128.33000000000001"/>
    <n v="0"/>
    <n v="90"/>
    <n v="90"/>
    <s v="Fall 2018"/>
    <s v="N"/>
    <m/>
    <m/>
    <s v="Continued"/>
    <n v="0"/>
    <n v="0"/>
    <n v="0"/>
    <n v="0"/>
    <n v="0"/>
    <n v="0"/>
    <n v="0"/>
    <n v="0"/>
    <n v="0"/>
    <n v="0"/>
    <n v="0"/>
    <n v="0"/>
    <n v="0"/>
    <n v="0"/>
    <n v="0"/>
    <n v="0"/>
    <n v="0"/>
    <n v="0"/>
    <n v="0"/>
    <n v="0"/>
    <n v="0"/>
    <n v="0"/>
    <n v="0"/>
    <n v="0"/>
    <n v="0"/>
    <n v="0"/>
    <n v="0"/>
    <n v="0"/>
    <x v="0"/>
    <n v="0"/>
    <n v="90"/>
    <n v="90"/>
    <n v="180"/>
    <n v="128"/>
    <n v="23040"/>
    <n v="0"/>
    <n v="0"/>
    <n v="90"/>
    <n v="11520"/>
    <n v="90"/>
    <n v="11520"/>
    <n v="180"/>
    <n v="23040"/>
    <s v="Continued"/>
    <n v="0"/>
    <n v="90"/>
    <n v="90"/>
    <n v="180"/>
    <n v="128"/>
    <n v="23040"/>
    <s v="Fall 2018"/>
    <n v="0"/>
    <n v="0"/>
    <n v="90"/>
    <n v="11520"/>
    <n v="90"/>
    <n v="11520"/>
    <n v="180"/>
    <n v="23040"/>
    <s v="Unknown"/>
    <n v="0"/>
    <n v="90"/>
    <n v="90"/>
    <n v="0"/>
    <n v="128"/>
    <n v="0"/>
    <m/>
    <n v="0"/>
    <n v="0"/>
    <n v="0"/>
    <n v="0"/>
    <n v="0"/>
    <n v="0"/>
    <n v="0"/>
    <n v="0"/>
    <n v="360"/>
    <n v="46080"/>
    <n v="4.2666666666666666"/>
  </r>
  <r>
    <x v="205"/>
    <s v="Completed"/>
    <m/>
    <n v="514206"/>
    <d v="2018-04-16T00:00:00"/>
    <d v="2019-01-14T00:00:00"/>
    <n v="11"/>
    <x v="4"/>
    <x v="0"/>
    <x v="1"/>
    <n v="30000"/>
    <m/>
    <x v="50"/>
    <x v="50"/>
    <s v="IT Policy and Law, IT Service Delivery, IT System Acquisition and Integration, Database Security &amp; Auditing, Data Visualization"/>
    <s v="IT 6103, IT 6413, IT 6423, IT 6863, IT 7113"/>
    <s v="Computing Disciplines"/>
    <s v="N"/>
    <s v="In-Progress"/>
    <s v="In-Progress"/>
    <s v="In-Progress"/>
    <x v="2"/>
    <s v="Positive"/>
    <s v="Neutral"/>
    <n v="39333"/>
    <n v="397"/>
    <n v="285"/>
    <n v="137"/>
    <n v="80"/>
    <n v="180"/>
    <s v="Fall 2018"/>
    <s v="N"/>
    <m/>
    <m/>
    <s v="Continued"/>
    <n v="0"/>
    <n v="0"/>
    <n v="0"/>
    <n v="0"/>
    <n v="0"/>
    <n v="0"/>
    <n v="0"/>
    <n v="0"/>
    <n v="0"/>
    <n v="0"/>
    <n v="0"/>
    <n v="0"/>
    <n v="0"/>
    <n v="0"/>
    <n v="0"/>
    <n v="0"/>
    <n v="0"/>
    <n v="0"/>
    <n v="0"/>
    <n v="0"/>
    <n v="0"/>
    <n v="0"/>
    <n v="0"/>
    <n v="0"/>
    <n v="0"/>
    <n v="0"/>
    <n v="0"/>
    <n v="0"/>
    <x v="0"/>
    <n v="137"/>
    <n v="80"/>
    <n v="180"/>
    <n v="397"/>
    <n v="285"/>
    <n v="113145"/>
    <n v="0"/>
    <n v="0"/>
    <n v="80"/>
    <n v="22800"/>
    <n v="180"/>
    <n v="51300"/>
    <n v="260"/>
    <n v="74100"/>
    <s v="Continued"/>
    <n v="137"/>
    <n v="80"/>
    <n v="180"/>
    <n v="397"/>
    <n v="285"/>
    <n v="113145"/>
    <s v="Fall 2018"/>
    <n v="137"/>
    <n v="39045"/>
    <n v="80"/>
    <n v="22800"/>
    <n v="180"/>
    <n v="51300"/>
    <n v="397"/>
    <n v="113145"/>
    <s v="Continued"/>
    <n v="137"/>
    <n v="80"/>
    <n v="180"/>
    <n v="397"/>
    <n v="285"/>
    <n v="113145"/>
    <m/>
    <n v="137"/>
    <n v="39045"/>
    <n v="80"/>
    <n v="22800"/>
    <n v="180"/>
    <n v="51300"/>
    <n v="397"/>
    <n v="113145"/>
    <n v="1054"/>
    <n v="300390"/>
    <n v="10.013"/>
  </r>
  <r>
    <x v="206"/>
    <s v="Completed"/>
    <m/>
    <n v="514138"/>
    <d v="2018-04-03T00:00:00"/>
    <d v="2019-05-08T00:00:00"/>
    <n v="11"/>
    <x v="4"/>
    <x v="0"/>
    <x v="2"/>
    <n v="30000"/>
    <m/>
    <x v="167"/>
    <x v="168"/>
    <s v="Adapted PE, Beg Badminton, Beg Basketball, Challenge Course, Beg Bowling, Outdoor Adventure, Beg Bkpkg-Hiking, Beg Golf, Intermediate Golf, Advanced Golf, Self Defense, Beg Racquetball, Inter Racquetball, Softball, Soccer, Ultimate, Beg Swimming, Inter Swimming, Beg Scuba, Beg Tennis, Inter Tennis, Beg Volleyball, Inter Volleyball, Intro to Wt Train, Fitness for Life Group Fitness, FFL Indoor Cycling, FFL Body Condition, FFL Jogging, FFL Swimming, FFL Walking, Directed Study"/>
    <s v="PEDB 1010, 1020, 1040, 1070, 1080, 1090, 1100, 1120, 1130, 1140, 1150, 1230, 1240, 1260, 1270, 1280, 1300, 1310, 1331, 1350, 1360, 1380, 1390, 1400, 1900, 1910, 1920, 1930, 1940, 1950, 1990"/>
    <s v="Kinesiology"/>
    <s v="N"/>
    <s v="In-Progress"/>
    <s v="In-Progress"/>
    <s v="In-Progress"/>
    <x v="2"/>
    <s v="Positive"/>
    <s v="Not Measured"/>
    <n v="210000"/>
    <n v="7000"/>
    <n v="30"/>
    <n v="600"/>
    <n v="3200"/>
    <n v="3200"/>
    <s v="Fall 2018"/>
    <s v="N"/>
    <m/>
    <m/>
    <s v="Continued"/>
    <n v="0"/>
    <n v="0"/>
    <n v="0"/>
    <n v="0"/>
    <n v="0"/>
    <n v="0"/>
    <n v="0"/>
    <n v="0"/>
    <n v="0"/>
    <n v="0"/>
    <n v="0"/>
    <n v="0"/>
    <n v="0"/>
    <n v="0"/>
    <n v="0"/>
    <n v="0"/>
    <n v="0"/>
    <n v="0"/>
    <n v="0"/>
    <n v="0"/>
    <n v="0"/>
    <n v="0"/>
    <n v="0"/>
    <n v="0"/>
    <n v="0"/>
    <n v="0"/>
    <n v="0"/>
    <n v="0"/>
    <x v="0"/>
    <n v="600"/>
    <n v="3200"/>
    <n v="3200"/>
    <n v="7000"/>
    <n v="30"/>
    <n v="210000"/>
    <n v="0"/>
    <n v="0"/>
    <n v="3200"/>
    <n v="96000"/>
    <n v="3200"/>
    <n v="96000"/>
    <n v="6400"/>
    <n v="192000"/>
    <s v="Continued"/>
    <n v="600"/>
    <n v="3200"/>
    <n v="3200"/>
    <n v="7000"/>
    <n v="30"/>
    <n v="210000"/>
    <s v="Fall 2018"/>
    <n v="600"/>
    <n v="18000"/>
    <n v="3200"/>
    <n v="96000"/>
    <n v="3200"/>
    <n v="96000"/>
    <n v="7000"/>
    <n v="210000"/>
    <s v="Continued"/>
    <n v="600"/>
    <n v="3200"/>
    <n v="3200"/>
    <n v="7000"/>
    <n v="30"/>
    <n v="210000"/>
    <m/>
    <n v="600"/>
    <n v="18000"/>
    <n v="3200"/>
    <n v="96000"/>
    <n v="3200"/>
    <n v="96000"/>
    <n v="7000"/>
    <n v="210000"/>
    <n v="20400"/>
    <n v="612000"/>
    <n v="20.399999999999999"/>
  </r>
  <r>
    <x v="207"/>
    <s v="Completed"/>
    <m/>
    <n v="514201"/>
    <d v="2018-04-11T00:00:00"/>
    <d v="2019-03-28T00:00:00"/>
    <n v="11"/>
    <x v="4"/>
    <x v="0"/>
    <x v="14"/>
    <n v="30000"/>
    <m/>
    <x v="168"/>
    <x v="169"/>
    <s v="Principles of Biology I &amp; II"/>
    <s v="BIOL 2107, BIOL 2108"/>
    <s v="Biological Sciences"/>
    <s v="Principles of Biology I &amp; II"/>
    <s v="In-Progress"/>
    <s v="In-Progress"/>
    <s v="In-progress"/>
    <x v="2"/>
    <s v="Neutral"/>
    <s v="Neutral"/>
    <n v="130416"/>
    <n v="528"/>
    <n v="247"/>
    <n v="96"/>
    <n v="192"/>
    <n v="204"/>
    <s v="Fall 2018"/>
    <s v="N"/>
    <m/>
    <m/>
    <s v="Continued"/>
    <n v="0"/>
    <n v="0"/>
    <n v="0"/>
    <n v="0"/>
    <n v="0"/>
    <n v="0"/>
    <n v="0"/>
    <n v="0"/>
    <n v="0"/>
    <n v="0"/>
    <n v="0"/>
    <n v="0"/>
    <n v="0"/>
    <n v="0"/>
    <n v="0"/>
    <n v="0"/>
    <n v="0"/>
    <n v="0"/>
    <n v="0"/>
    <n v="0"/>
    <n v="0"/>
    <n v="0"/>
    <n v="0"/>
    <n v="0"/>
    <n v="0"/>
    <n v="0"/>
    <n v="0"/>
    <n v="0"/>
    <x v="0"/>
    <n v="96"/>
    <n v="192"/>
    <n v="204"/>
    <n v="492"/>
    <n v="247"/>
    <n v="121524"/>
    <n v="0"/>
    <n v="0"/>
    <n v="192"/>
    <n v="47424"/>
    <n v="204"/>
    <n v="50388"/>
    <n v="396"/>
    <n v="97812"/>
    <s v="Continued"/>
    <n v="96"/>
    <n v="192"/>
    <n v="204"/>
    <n v="492"/>
    <n v="247"/>
    <n v="121524"/>
    <s v="Fall 2018"/>
    <n v="96"/>
    <n v="23712"/>
    <n v="192"/>
    <n v="47424"/>
    <n v="204"/>
    <n v="50388"/>
    <n v="492"/>
    <n v="121524"/>
    <s v="Continued"/>
    <n v="96"/>
    <n v="192"/>
    <n v="204"/>
    <n v="492"/>
    <n v="247"/>
    <n v="121524"/>
    <m/>
    <n v="96"/>
    <n v="23712"/>
    <n v="192"/>
    <n v="47424"/>
    <n v="204"/>
    <n v="50388"/>
    <n v="492"/>
    <n v="121524"/>
    <n v="1380"/>
    <n v="340860"/>
    <n v="11.362"/>
  </r>
  <r>
    <x v="208"/>
    <s v="Completed"/>
    <m/>
    <n v="514198"/>
    <d v="2018-04-11T00:00:00"/>
    <d v="2018-08-29T00:00:00"/>
    <n v="11"/>
    <x v="4"/>
    <x v="1"/>
    <x v="6"/>
    <n v="4800"/>
    <m/>
    <x v="169"/>
    <x v="39"/>
    <s v="Fundamentals of Information Literacy"/>
    <s v="LIBR 1101"/>
    <s v="Libraries"/>
    <s v="N"/>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09"/>
    <s v="Completed"/>
    <m/>
    <n v="514221"/>
    <d v="2018-05-14T00:00:00"/>
    <d v="2019-01-15T00:00:00"/>
    <n v="11"/>
    <x v="4"/>
    <x v="1"/>
    <x v="3"/>
    <n v="4800"/>
    <m/>
    <x v="170"/>
    <x v="55"/>
    <s v="Public Speaking"/>
    <s v="COMM 1110"/>
    <s v="Communication"/>
    <s v="Public Speaking"/>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10"/>
    <s v="Completed"/>
    <m/>
    <n v="514148"/>
    <d v="2018-04-03T00:00:00"/>
    <d v="2018-08-21T00:00:00"/>
    <n v="11"/>
    <x v="4"/>
    <x v="1"/>
    <x v="14"/>
    <n v="4400"/>
    <m/>
    <x v="136"/>
    <x v="138"/>
    <s v="Anatomy and Physiology I, Anatomy and Physiology II"/>
    <s v="BIOL 2121, BIOL 2122"/>
    <s v="Biological Sciences"/>
    <s v="N"/>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11"/>
    <s v="Completed"/>
    <m/>
    <n v="514199"/>
    <d v="2018-04-11T00:00:00"/>
    <d v="2019-01-14T00:00:00"/>
    <n v="11"/>
    <x v="4"/>
    <x v="1"/>
    <x v="21"/>
    <n v="2800"/>
    <m/>
    <x v="171"/>
    <x v="170"/>
    <s v="Introductory Physics I, Introductory Physics II "/>
    <s v="PHYS 1111, PHYS 1112"/>
    <s v="Physics and Astronomy"/>
    <s v="Introductory Physics I &amp; II"/>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12"/>
    <s v="Completed"/>
    <m/>
    <n v="514131"/>
    <d v="2018-04-03T00:00:00"/>
    <d v="2018-08-21T00:00:00"/>
    <n v="11"/>
    <x v="4"/>
    <x v="1"/>
    <x v="3"/>
    <n v="4800"/>
    <m/>
    <x v="5"/>
    <x v="5"/>
    <s v="Exploratory Activities in Physical Education, Art, and Music"/>
    <s v="EDUC 3214"/>
    <s v="Educator Preparation"/>
    <s v="N"/>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13"/>
    <s v="Completed"/>
    <m/>
    <n v="514132"/>
    <d v="2018-04-10T00:00:00"/>
    <d v="2019-01-07T00:00:00"/>
    <n v="11"/>
    <x v="4"/>
    <x v="1"/>
    <x v="4"/>
    <n v="4800"/>
    <m/>
    <x v="172"/>
    <x v="171"/>
    <s v="Introduction to Sociology"/>
    <s v="SOCI 1101"/>
    <s v="Sociology"/>
    <s v="Introduction to Sociology"/>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14"/>
    <s v="Completed"/>
    <m/>
    <n v="514140"/>
    <d v="2018-04-03T00:00:00"/>
    <d v="2019-01-14T00:00:00"/>
    <n v="11"/>
    <x v="4"/>
    <x v="1"/>
    <x v="21"/>
    <n v="4800"/>
    <m/>
    <x v="126"/>
    <x v="127"/>
    <s v="Introduction to Human Geography"/>
    <s v="GEOG 1101"/>
    <s v="Geological Sciences and Geography"/>
    <s v="Introduction to Human Geography"/>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15"/>
    <s v="Completed"/>
    <m/>
    <n v="514195"/>
    <d v="2018-04-11T00:00:00"/>
    <d v="2019-05-02T00:00:00"/>
    <n v="11"/>
    <x v="4"/>
    <x v="1"/>
    <x v="11"/>
    <n v="4800"/>
    <m/>
    <x v="173"/>
    <x v="172"/>
    <s v="Introduction to General Psychology"/>
    <s v="PSYC 1101"/>
    <s v="Psychology"/>
    <s v="Introduction to General Psychology"/>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16"/>
    <s v="Completed"/>
    <m/>
    <n v="514135"/>
    <d v="2018-04-03T00:00:00"/>
    <d v="2019-01-07T00:00:00"/>
    <n v="11"/>
    <x v="4"/>
    <x v="1"/>
    <x v="6"/>
    <n v="2000"/>
    <m/>
    <x v="174"/>
    <x v="173"/>
    <s v="Psychological Statistics"/>
    <s v="PSYC 3301"/>
    <s v="Psychology"/>
    <s v="N"/>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17"/>
    <s v="Completed"/>
    <m/>
    <n v="514136"/>
    <d v="2018-04-03T00:00:00"/>
    <d v="2019-01-07T00:00:00"/>
    <n v="11"/>
    <x v="4"/>
    <x v="1"/>
    <x v="6"/>
    <n v="2000"/>
    <m/>
    <x v="79"/>
    <x v="79"/>
    <s v="Introduction to Psychology"/>
    <s v="PSYC 1101"/>
    <s v="Psychology"/>
    <s v="Introduction to General Psychology"/>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18"/>
    <s v="Completed"/>
    <m/>
    <s v="514197A"/>
    <d v="2018-04-16T00:00:00"/>
    <d v="2019-01-07T00:00:00"/>
    <n v="11"/>
    <x v="4"/>
    <x v="1"/>
    <x v="1"/>
    <n v="4800"/>
    <m/>
    <x v="139"/>
    <x v="141"/>
    <s v="Technical Communication, Workplace Writing"/>
    <s v="TCOM 2010, WRIT 3140"/>
    <s v="Communication"/>
    <s v="N"/>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19"/>
    <s v="Completed"/>
    <m/>
    <n v="514325"/>
    <d v="2018-06-13T00:00:00"/>
    <d v="2019-01-07T00:00:00"/>
    <n v="11"/>
    <x v="4"/>
    <x v="1"/>
    <x v="14"/>
    <n v="4800"/>
    <m/>
    <x v="175"/>
    <x v="174"/>
    <s v="Concepts of Fitness and Health"/>
    <s v="PHED 1010"/>
    <s v="Kinesiology"/>
    <s v="N"/>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20"/>
    <s v="Completed"/>
    <m/>
    <n v="514141"/>
    <d v="2018-04-03T00:00:00"/>
    <m/>
    <n v="11"/>
    <x v="4"/>
    <x v="1"/>
    <x v="21"/>
    <n v="4800"/>
    <m/>
    <x v="176"/>
    <x v="175"/>
    <s v="American Government"/>
    <s v="POLS 1101"/>
    <s v="Political Science"/>
    <s v="American Government"/>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21"/>
    <s v="Completed"/>
    <m/>
    <n v="514203"/>
    <d v="2018-04-11T00:00:00"/>
    <d v="2019-01-07T00:00:00"/>
    <n v="11"/>
    <x v="4"/>
    <x v="1"/>
    <x v="11"/>
    <n v="2000"/>
    <m/>
    <x v="177"/>
    <x v="59"/>
    <s v="Principles of IT Management"/>
    <s v="MISM 3115"/>
    <s v="Computing Disciplines"/>
    <s v="N"/>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22"/>
    <s v="Completed"/>
    <m/>
    <n v="514149"/>
    <d v="2018-04-03T00:00:00"/>
    <m/>
    <n v="11"/>
    <x v="4"/>
    <x v="1"/>
    <x v="14"/>
    <n v="4800"/>
    <m/>
    <x v="178"/>
    <x v="176"/>
    <s v="Principles of Biology I, Principles of Biology II"/>
    <s v="BIOL 2121, BIOL 2122"/>
    <s v="Biological Sciences"/>
    <s v="Principles of Biology I &amp; II"/>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23"/>
    <s v="Completed"/>
    <m/>
    <n v="514488"/>
    <d v="2018-08-10T00:00:00"/>
    <d v="2018-08-21T00:00:00"/>
    <n v="11"/>
    <x v="4"/>
    <x v="1"/>
    <x v="10"/>
    <n v="4800"/>
    <m/>
    <x v="179"/>
    <x v="120"/>
    <s v="Calculus I, Calculus III, Linear Algebra, Differential Equations"/>
    <s v="MATH 1450, MATH 2470, MATH 3000, MATH 3650"/>
    <s v="Mathematical Subjects"/>
    <s v="Calculus I &amp; III"/>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24"/>
    <s v="Completed"/>
    <m/>
    <n v="514478"/>
    <d v="2018-06-13T00:00:00"/>
    <d v="2019-01-07T00:00:00"/>
    <n v="11"/>
    <x v="4"/>
    <x v="1"/>
    <x v="20"/>
    <n v="4800"/>
    <m/>
    <x v="180"/>
    <x v="177"/>
    <s v="Introduction to Psychology"/>
    <s v="PSYC 1101"/>
    <s v="Psychology"/>
    <s v="Introduction to General Psychology"/>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25"/>
    <s v="Completed"/>
    <m/>
    <n v="514150"/>
    <d v="2018-04-03T00:00:00"/>
    <d v="2019-01-07T00:00:00"/>
    <n v="11"/>
    <x v="4"/>
    <x v="1"/>
    <x v="14"/>
    <n v="4550"/>
    <m/>
    <x v="181"/>
    <x v="136"/>
    <s v="Principles of Chemistry I, Principles of Chemistry II "/>
    <s v="CHEM 1211, CHEM 1212"/>
    <s v="Chemistry"/>
    <s v="Principles of Chemistry I &amp; II "/>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26"/>
    <s v="Completed"/>
    <m/>
    <n v="514137"/>
    <d v="2018-04-03T00:00:00"/>
    <d v="2018-08-21T00:00:00"/>
    <n v="11"/>
    <x v="4"/>
    <x v="1"/>
    <x v="6"/>
    <n v="2000"/>
    <m/>
    <x v="182"/>
    <x v="10"/>
    <s v="Research Methods in Psychology"/>
    <s v="PSYC 2300"/>
    <s v="Psychology"/>
    <s v="N"/>
    <s v="In-Progress"/>
    <s v="In-Progress"/>
    <s v="In-Progress"/>
    <x v="3"/>
    <s v="Not Measured"/>
    <s v="Not Measured"/>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m/>
    <m/>
    <m/>
    <n v="0"/>
    <m/>
    <n v="0"/>
    <n v="0"/>
    <n v="0"/>
    <n v="0"/>
    <n v="0"/>
    <n v="0"/>
    <n v="0"/>
    <n v="0"/>
    <n v="0"/>
    <n v="0"/>
    <s v="Mini-Grant"/>
    <m/>
    <m/>
    <m/>
    <n v="0"/>
    <m/>
    <n v="0"/>
    <m/>
    <n v="0"/>
    <n v="0"/>
    <n v="0"/>
    <n v="0"/>
    <n v="0"/>
    <n v="0"/>
    <n v="0"/>
    <n v="0"/>
    <n v="0"/>
    <n v="0"/>
    <n v="0"/>
  </r>
  <r>
    <x v="227"/>
    <s v="Completed"/>
    <m/>
    <n v="514510"/>
    <d v="2018-07-18T00:00:00"/>
    <m/>
    <s v="S2018 Pilots"/>
    <x v="4"/>
    <x v="0"/>
    <x v="11"/>
    <n v="29750"/>
    <m/>
    <x v="183"/>
    <x v="178"/>
    <s v="Supplemental English Composition, Composition I, Composition II"/>
    <s v="ENGL 0999, ENGL 1101, ENGL 1102 "/>
    <s v="English"/>
    <s v="Composition I &amp; II"/>
    <s v="In-Progress"/>
    <s v="In-Progress"/>
    <s v="In-progress"/>
    <x v="0"/>
    <s v="Positive"/>
    <s v="Neutral"/>
    <n v="156300"/>
    <n v="2605"/>
    <n v="60"/>
    <n v="80"/>
    <n v="1390"/>
    <n v="1135"/>
    <s v="Fall 2019"/>
    <s v="N"/>
    <m/>
    <m/>
    <s v="Continued"/>
    <n v="0"/>
    <n v="0"/>
    <n v="0"/>
    <n v="0"/>
    <n v="0"/>
    <n v="0"/>
    <n v="0"/>
    <n v="0"/>
    <n v="0"/>
    <n v="0"/>
    <n v="0"/>
    <n v="0"/>
    <n v="0"/>
    <n v="0"/>
    <n v="0"/>
    <n v="0"/>
    <n v="0"/>
    <n v="0"/>
    <n v="0"/>
    <n v="0"/>
    <n v="0"/>
    <n v="0"/>
    <n v="0"/>
    <n v="0"/>
    <n v="0"/>
    <n v="0"/>
    <n v="0"/>
    <n v="0"/>
    <x v="0"/>
    <n v="80"/>
    <n v="1390"/>
    <n v="1135"/>
    <n v="2605"/>
    <n v="60"/>
    <n v="156300"/>
    <n v="0"/>
    <n v="0"/>
    <n v="0"/>
    <n v="0"/>
    <n v="0"/>
    <n v="0"/>
    <n v="0"/>
    <n v="0"/>
    <s v="Continued"/>
    <n v="80"/>
    <n v="1390"/>
    <n v="1135"/>
    <n v="2605"/>
    <n v="60"/>
    <n v="156300"/>
    <s v="Fall 2019"/>
    <n v="0"/>
    <n v="0"/>
    <n v="1390"/>
    <n v="83400"/>
    <n v="1135"/>
    <n v="68100"/>
    <n v="2525"/>
    <n v="151500"/>
    <s v="Continued"/>
    <n v="80"/>
    <n v="1390"/>
    <n v="1135"/>
    <n v="2605"/>
    <n v="60"/>
    <n v="156300"/>
    <m/>
    <n v="80"/>
    <n v="4800"/>
    <n v="1390"/>
    <n v="83400"/>
    <n v="1135"/>
    <n v="68100"/>
    <n v="2605"/>
    <n v="156300"/>
    <n v="5130"/>
    <n v="307800"/>
    <n v="10.346218487394959"/>
  </r>
  <r>
    <x v="228"/>
    <s v="Completed"/>
    <m/>
    <n v="514511"/>
    <d v="2018-07-18T00:00:00"/>
    <m/>
    <s v="S2018 Pilots"/>
    <x v="4"/>
    <x v="0"/>
    <x v="4"/>
    <n v="30000"/>
    <m/>
    <x v="42"/>
    <x v="179"/>
    <s v="English Composition I, English Composition II"/>
    <s v="ENGL 1101, ENGL 1102"/>
    <s v="English"/>
    <s v="Composition I &amp; II"/>
    <s v="In-Progress"/>
    <s v="In-Progress"/>
    <s v="In-progress"/>
    <x v="5"/>
    <s v="In Progress"/>
    <s v="In Progress"/>
    <n v="775200"/>
    <n v="17874"/>
    <n v="67.13"/>
    <n v="1986"/>
    <n v="8928"/>
    <n v="6880"/>
    <s v="Spring 2019"/>
    <s v="N"/>
    <m/>
    <m/>
    <s v="Continued"/>
    <n v="0"/>
    <n v="0"/>
    <n v="0"/>
    <n v="0"/>
    <n v="0"/>
    <n v="0"/>
    <n v="0"/>
    <n v="0"/>
    <n v="0"/>
    <n v="0"/>
    <n v="0"/>
    <n v="0"/>
    <n v="0"/>
    <n v="0"/>
    <n v="0"/>
    <n v="0"/>
    <n v="0"/>
    <n v="0"/>
    <n v="0"/>
    <n v="0"/>
    <n v="0"/>
    <n v="0"/>
    <n v="0"/>
    <n v="0"/>
    <n v="0"/>
    <n v="0"/>
    <n v="0"/>
    <n v="0"/>
    <x v="0"/>
    <n v="1986"/>
    <n v="8928"/>
    <n v="6880"/>
    <n v="17794"/>
    <n v="67.13"/>
    <n v="1194511.22"/>
    <n v="0"/>
    <n v="0"/>
    <n v="0"/>
    <n v="0"/>
    <n v="6880"/>
    <n v="461854.39999999997"/>
    <n v="6880"/>
    <n v="461854.39999999997"/>
    <s v="Continued"/>
    <n v="1986"/>
    <n v="8928"/>
    <n v="6880"/>
    <n v="17794"/>
    <n v="67.13"/>
    <n v="1194511.22"/>
    <s v="Spring 2019"/>
    <n v="1986"/>
    <n v="133320.18"/>
    <n v="0"/>
    <n v="0"/>
    <n v="6880"/>
    <n v="461854.39999999997"/>
    <n v="8866"/>
    <n v="595174.57999999996"/>
    <s v="Unknown"/>
    <n v="1986"/>
    <n v="8928"/>
    <n v="6880"/>
    <n v="0"/>
    <n v="67.13"/>
    <n v="0"/>
    <m/>
    <n v="0"/>
    <n v="0"/>
    <n v="0"/>
    <n v="0"/>
    <n v="0"/>
    <n v="0"/>
    <n v="0"/>
    <n v="0"/>
    <n v="15746"/>
    <n v="1057028.98"/>
    <n v="35.234299333333333"/>
  </r>
  <r>
    <x v="229"/>
    <s v="Completed"/>
    <m/>
    <n v="514563"/>
    <d v="2018-08-06T00:00:00"/>
    <m/>
    <s v="S2018 Pilots"/>
    <x v="4"/>
    <x v="0"/>
    <x v="24"/>
    <n v="30000"/>
    <m/>
    <x v="184"/>
    <x v="180"/>
    <s v="Anatomy and Physiology I, Anatomy and Physiology II"/>
    <s v="BIOL 2011, BIOL 2012"/>
    <s v="Biological Sciences"/>
    <s v="N"/>
    <s v="In-Progress"/>
    <s v="In-Progress"/>
    <s v="In-progress"/>
    <x v="0"/>
    <s v="Negative"/>
    <s v="Negative"/>
    <n v="68389"/>
    <n v="792"/>
    <n v="172.7"/>
    <n v="48"/>
    <n v="372"/>
    <n v="372"/>
    <s v="Fall 2019"/>
    <s v="N"/>
    <m/>
    <m/>
    <s v="Continued"/>
    <n v="0"/>
    <n v="0"/>
    <n v="0"/>
    <n v="0"/>
    <n v="0"/>
    <n v="0"/>
    <n v="0"/>
    <n v="0"/>
    <n v="0"/>
    <n v="0"/>
    <n v="0"/>
    <n v="0"/>
    <n v="0"/>
    <n v="0"/>
    <n v="0"/>
    <n v="0"/>
    <n v="0"/>
    <n v="0"/>
    <n v="0"/>
    <n v="0"/>
    <n v="0"/>
    <n v="0"/>
    <n v="0"/>
    <n v="0"/>
    <n v="0"/>
    <n v="0"/>
    <n v="0"/>
    <n v="0"/>
    <x v="0"/>
    <n v="48"/>
    <n v="372"/>
    <n v="372"/>
    <n v="792"/>
    <n v="172.7"/>
    <n v="136778.4"/>
    <n v="0"/>
    <n v="0"/>
    <n v="0"/>
    <n v="0"/>
    <n v="0"/>
    <n v="0"/>
    <n v="0"/>
    <n v="0"/>
    <s v="Continued"/>
    <n v="48"/>
    <n v="372"/>
    <n v="372"/>
    <n v="792"/>
    <n v="172.7"/>
    <n v="136778.4"/>
    <s v="Fall 2019"/>
    <n v="0"/>
    <n v="0"/>
    <n v="372"/>
    <n v="64244.399999999994"/>
    <n v="372"/>
    <n v="64244.399999999994"/>
    <n v="744"/>
    <n v="128488.79999999999"/>
    <s v="Continued"/>
    <n v="48"/>
    <n v="372"/>
    <n v="372"/>
    <n v="792"/>
    <n v="172.7"/>
    <n v="136778.4"/>
    <m/>
    <n v="48"/>
    <n v="8289.5999999999985"/>
    <n v="372"/>
    <n v="64244.399999999994"/>
    <n v="372"/>
    <n v="64244.399999999994"/>
    <n v="792"/>
    <n v="136778.4"/>
    <n v="1536"/>
    <n v="265267.19999999995"/>
    <n v="8.8422399999999985"/>
  </r>
  <r>
    <x v="230"/>
    <s v="Completed"/>
    <m/>
    <n v="514571"/>
    <d v="2018-07-31T00:00:00"/>
    <m/>
    <s v="S2018 Pilots"/>
    <x v="4"/>
    <x v="0"/>
    <x v="17"/>
    <n v="10800"/>
    <m/>
    <x v="185"/>
    <x v="181"/>
    <s v="American History I"/>
    <s v="HIST 2111"/>
    <s v="History"/>
    <s v="American History I "/>
    <s v="In-Progress"/>
    <s v="In-Progress"/>
    <s v="In-progress"/>
    <x v="2"/>
    <s v="Neutral"/>
    <s v="Positive"/>
    <n v="9000"/>
    <n v="90"/>
    <n v="60"/>
    <n v="20"/>
    <n v="35"/>
    <n v="35"/>
    <s v="Spring 2019"/>
    <s v="N"/>
    <m/>
    <m/>
    <s v="Continued"/>
    <n v="0"/>
    <n v="0"/>
    <n v="0"/>
    <n v="0"/>
    <n v="0"/>
    <n v="0"/>
    <n v="0"/>
    <n v="0"/>
    <n v="0"/>
    <n v="0"/>
    <n v="0"/>
    <n v="0"/>
    <n v="0"/>
    <n v="0"/>
    <n v="0"/>
    <n v="0"/>
    <n v="0"/>
    <n v="0"/>
    <n v="0"/>
    <n v="0"/>
    <n v="0"/>
    <n v="0"/>
    <n v="0"/>
    <n v="0"/>
    <n v="0"/>
    <n v="0"/>
    <n v="0"/>
    <n v="0"/>
    <x v="0"/>
    <n v="20"/>
    <n v="35"/>
    <n v="35"/>
    <n v="90"/>
    <n v="60"/>
    <n v="5400"/>
    <n v="0"/>
    <n v="0"/>
    <n v="0"/>
    <n v="0"/>
    <n v="35"/>
    <n v="2100"/>
    <n v="35"/>
    <n v="2100"/>
    <s v="Continued"/>
    <n v="20"/>
    <n v="35"/>
    <n v="35"/>
    <n v="90"/>
    <n v="60"/>
    <n v="5400"/>
    <s v="Spring 2019"/>
    <n v="20"/>
    <n v="1200"/>
    <n v="35"/>
    <n v="2100"/>
    <n v="35"/>
    <n v="2100"/>
    <n v="90"/>
    <n v="5400"/>
    <s v="Continued"/>
    <n v="20"/>
    <n v="35"/>
    <n v="35"/>
    <n v="90"/>
    <n v="60"/>
    <n v="5400"/>
    <m/>
    <n v="20"/>
    <n v="1200"/>
    <n v="35"/>
    <n v="2100"/>
    <n v="35"/>
    <n v="2100"/>
    <n v="90"/>
    <n v="5400"/>
    <n v="215"/>
    <n v="12900"/>
    <n v="1.1944444444444444"/>
  </r>
  <r>
    <x v="231"/>
    <s v="Completed"/>
    <m/>
    <n v="514512"/>
    <m/>
    <m/>
    <s v="S2018 Pilots"/>
    <x v="4"/>
    <x v="0"/>
    <x v="2"/>
    <n v="30000"/>
    <m/>
    <x v="85"/>
    <x v="85"/>
    <s v="Anatomy and Physiology I, Anatomy and Physiology II"/>
    <s v="CBIO 2200, CBIO 2210"/>
    <s v="Biological Sciences"/>
    <s v="N"/>
    <s v="In-Progress"/>
    <s v="In-Progress"/>
    <s v="In-progress"/>
    <x v="0"/>
    <s v="Neutral"/>
    <s v="Positive"/>
    <n v="98537.04"/>
    <n v="2058"/>
    <n v="47.88"/>
    <n v="686"/>
    <n v="686"/>
    <n v="686"/>
    <s v="Spring 2019"/>
    <s v="N"/>
    <m/>
    <m/>
    <s v="Continued"/>
    <n v="0"/>
    <n v="0"/>
    <n v="0"/>
    <n v="0"/>
    <n v="0"/>
    <n v="0"/>
    <n v="0"/>
    <n v="0"/>
    <n v="0"/>
    <n v="0"/>
    <n v="0"/>
    <n v="0"/>
    <n v="0"/>
    <n v="0"/>
    <n v="0"/>
    <n v="0"/>
    <n v="0"/>
    <n v="0"/>
    <n v="0"/>
    <n v="0"/>
    <n v="0"/>
    <n v="0"/>
    <n v="0"/>
    <n v="0"/>
    <n v="0"/>
    <n v="0"/>
    <n v="0"/>
    <n v="0"/>
    <x v="0"/>
    <n v="686"/>
    <n v="686"/>
    <n v="686"/>
    <n v="2058"/>
    <n v="47.88"/>
    <n v="98537.040000000008"/>
    <n v="0"/>
    <n v="0"/>
    <n v="0"/>
    <n v="0"/>
    <n v="686"/>
    <n v="32845.68"/>
    <n v="686"/>
    <n v="32845.68"/>
    <s v="Continued"/>
    <n v="686"/>
    <n v="686"/>
    <n v="686"/>
    <n v="2058"/>
    <n v="47.88"/>
    <n v="98537.040000000008"/>
    <s v="Spring 2019"/>
    <n v="686"/>
    <n v="32845.68"/>
    <n v="686"/>
    <n v="32845.68"/>
    <n v="686"/>
    <n v="32845.68"/>
    <n v="2058"/>
    <n v="98537.040000000008"/>
    <s v="Continued"/>
    <n v="686"/>
    <n v="686"/>
    <n v="686"/>
    <n v="2058"/>
    <n v="47.88"/>
    <n v="98537.040000000008"/>
    <m/>
    <n v="686"/>
    <n v="32845.68"/>
    <n v="686"/>
    <n v="32845.68"/>
    <n v="686"/>
    <n v="32845.68"/>
    <n v="2058"/>
    <n v="98537.040000000008"/>
    <n v="4802"/>
    <n v="229919.76"/>
    <n v="7.6639920000000004"/>
  </r>
  <r>
    <x v="232"/>
    <s v="Completed"/>
    <m/>
    <n v="515305"/>
    <d v="2019-01-07T00:00:00"/>
    <m/>
    <s v="12"/>
    <x v="5"/>
    <x v="0"/>
    <x v="1"/>
    <n v="30000"/>
    <m/>
    <x v="186"/>
    <x v="182"/>
    <s v="Cloud Computing Undergraduate, Cloud Computing Graduate, Mobile Software Development Undergraduate, Mobile Software Development Graduate, Computer Organization and Architecture, User Interface Engineering, Machine Learning"/>
    <s v="CS 4524, CS 7125, CS 4322, CS 7455, CS 3503, CS 4712, CS 7267"/>
    <s v="Computing Disciplines"/>
    <s v="N"/>
    <s v="In-Progress"/>
    <s v="In-Progress"/>
    <s v="In-progress"/>
    <x v="2"/>
    <s v="Positive"/>
    <s v="Neutral"/>
    <n v="46041"/>
    <n v="780"/>
    <n v="133.66999999999999"/>
    <n v="94"/>
    <n v="422"/>
    <n v="264"/>
    <s v="Spring 2019"/>
    <s v="N"/>
    <m/>
    <m/>
    <s v="Continued"/>
    <n v="0"/>
    <n v="0"/>
    <n v="0"/>
    <n v="0"/>
    <n v="0"/>
    <n v="0"/>
    <n v="0"/>
    <n v="0"/>
    <n v="0"/>
    <n v="0"/>
    <n v="0"/>
    <n v="0"/>
    <n v="0"/>
    <n v="0"/>
    <n v="0"/>
    <n v="0"/>
    <n v="0"/>
    <n v="0"/>
    <n v="0"/>
    <n v="0"/>
    <n v="0"/>
    <n v="0"/>
    <n v="0"/>
    <n v="0"/>
    <n v="0"/>
    <n v="0"/>
    <n v="0"/>
    <n v="0"/>
    <x v="0"/>
    <n v="94"/>
    <n v="422"/>
    <n v="264"/>
    <n v="780"/>
    <n v="133.66999999999999"/>
    <n v="104262.59999999999"/>
    <n v="0"/>
    <n v="0"/>
    <n v="0"/>
    <n v="0"/>
    <n v="264"/>
    <n v="35288.879999999997"/>
    <n v="264"/>
    <n v="35288.879999999997"/>
    <s v="Continued"/>
    <n v="94"/>
    <n v="422"/>
    <n v="264"/>
    <n v="780"/>
    <n v="133.66999999999999"/>
    <n v="104262.59999999999"/>
    <s v="Spring 2019"/>
    <n v="94"/>
    <n v="12564.98"/>
    <n v="422"/>
    <n v="56408.74"/>
    <n v="264"/>
    <n v="35288.879999999997"/>
    <n v="780"/>
    <n v="104262.6"/>
    <s v="Continued"/>
    <n v="94"/>
    <n v="422"/>
    <n v="264"/>
    <n v="780"/>
    <n v="133.66999999999999"/>
    <n v="104262.59999999999"/>
    <m/>
    <n v="94"/>
    <n v="12564.98"/>
    <n v="422"/>
    <n v="56408.74"/>
    <n v="264"/>
    <n v="35288.879999999997"/>
    <n v="780"/>
    <n v="104262.6"/>
    <n v="1824"/>
    <n v="243814.08000000002"/>
    <n v="8.1271360000000001"/>
  </r>
  <r>
    <x v="233"/>
    <s v="Completed"/>
    <m/>
    <n v="515304"/>
    <d v="2019-04-04T00:00:00"/>
    <m/>
    <s v="12"/>
    <x v="5"/>
    <x v="0"/>
    <x v="1"/>
    <n v="10800"/>
    <m/>
    <x v="187"/>
    <x v="183"/>
    <s v="Statistics for Sociology"/>
    <s v="SOCI 3303"/>
    <s v="Sociology"/>
    <s v="N"/>
    <s v="In-Progress"/>
    <s v="In-Progress"/>
    <s v="In-progress"/>
    <x v="0"/>
    <s v="Neutral"/>
    <s v="Neutral"/>
    <n v="6840"/>
    <n v="30"/>
    <n v="228"/>
    <n v="0"/>
    <n v="30"/>
    <n v="0"/>
    <s v="Fall 2019"/>
    <s v="N"/>
    <m/>
    <m/>
    <s v="Continued"/>
    <n v="0"/>
    <n v="0"/>
    <n v="0"/>
    <n v="0"/>
    <n v="0"/>
    <n v="0"/>
    <n v="0"/>
    <n v="0"/>
    <n v="0"/>
    <n v="0"/>
    <n v="0"/>
    <n v="0"/>
    <n v="0"/>
    <n v="0"/>
    <n v="0"/>
    <n v="0"/>
    <n v="0"/>
    <n v="0"/>
    <n v="0"/>
    <n v="0"/>
    <n v="0"/>
    <n v="0"/>
    <n v="0"/>
    <n v="0"/>
    <n v="0"/>
    <n v="0"/>
    <n v="0"/>
    <n v="0"/>
    <x v="0"/>
    <n v="0"/>
    <n v="30"/>
    <n v="0"/>
    <n v="30"/>
    <n v="228"/>
    <n v="6840"/>
    <n v="0"/>
    <n v="0"/>
    <n v="0"/>
    <n v="0"/>
    <n v="0"/>
    <n v="0"/>
    <n v="0"/>
    <n v="0"/>
    <s v="Continued"/>
    <n v="0"/>
    <n v="30"/>
    <n v="0"/>
    <n v="30"/>
    <n v="228"/>
    <n v="6840"/>
    <s v="Fall 2019"/>
    <n v="0"/>
    <n v="0"/>
    <n v="30"/>
    <n v="6840"/>
    <n v="0"/>
    <n v="0"/>
    <n v="30"/>
    <n v="6840"/>
    <s v="Discontinued"/>
    <n v="0"/>
    <n v="30"/>
    <n v="0"/>
    <n v="0"/>
    <n v="228"/>
    <n v="0"/>
    <m/>
    <n v="0"/>
    <n v="0"/>
    <n v="0"/>
    <n v="0"/>
    <n v="0"/>
    <n v="0"/>
    <n v="0"/>
    <n v="0"/>
    <n v="30"/>
    <n v="6840"/>
    <n v="0.6333333333333333"/>
  </r>
  <r>
    <x v="234"/>
    <s v="Completed"/>
    <m/>
    <n v="515311"/>
    <d v="2019-03-08T00:00:00"/>
    <m/>
    <s v="12"/>
    <x v="5"/>
    <x v="0"/>
    <x v="7"/>
    <n v="10800"/>
    <m/>
    <x v="188"/>
    <x v="184"/>
    <s v="Survey of Calculus"/>
    <s v="MATH 1232"/>
    <s v="Mathematical Subjects"/>
    <s v="N"/>
    <s v="In-Progress"/>
    <s v="In-Progress"/>
    <s v="In-progress"/>
    <x v="2"/>
    <s v="Neutral"/>
    <s v="Negative"/>
    <n v="52632.5"/>
    <n v="300"/>
    <n v="175.48"/>
    <n v="20"/>
    <n v="140"/>
    <n v="140"/>
    <s v="Spring 2019"/>
    <s v="N"/>
    <m/>
    <m/>
    <s v="Continued"/>
    <n v="0"/>
    <n v="0"/>
    <n v="0"/>
    <n v="0"/>
    <n v="0"/>
    <n v="0"/>
    <n v="0"/>
    <n v="0"/>
    <n v="0"/>
    <n v="0"/>
    <n v="0"/>
    <n v="0"/>
    <n v="0"/>
    <n v="0"/>
    <n v="0"/>
    <n v="0"/>
    <n v="0"/>
    <n v="0"/>
    <n v="0"/>
    <n v="0"/>
    <n v="0"/>
    <n v="0"/>
    <n v="0"/>
    <n v="0"/>
    <n v="0"/>
    <n v="0"/>
    <n v="0"/>
    <n v="0"/>
    <x v="0"/>
    <n v="20"/>
    <n v="140"/>
    <n v="140"/>
    <n v="300"/>
    <n v="175.48"/>
    <n v="52644"/>
    <n v="0"/>
    <n v="0"/>
    <n v="0"/>
    <n v="0"/>
    <n v="140"/>
    <n v="24567.199999999997"/>
    <n v="140"/>
    <n v="24567.199999999997"/>
    <s v="Continued"/>
    <n v="20"/>
    <n v="140"/>
    <n v="140"/>
    <n v="300"/>
    <n v="175.48"/>
    <n v="52644"/>
    <s v="Spring 2019"/>
    <n v="20"/>
    <n v="3509.6"/>
    <n v="140"/>
    <n v="24567.199999999997"/>
    <n v="140"/>
    <n v="24567.199999999997"/>
    <n v="300"/>
    <n v="52643.999999999993"/>
    <s v="Continued"/>
    <n v="20"/>
    <n v="140"/>
    <n v="140"/>
    <n v="300"/>
    <n v="175.48"/>
    <n v="52644"/>
    <m/>
    <n v="20"/>
    <n v="3509.6"/>
    <n v="140"/>
    <n v="24567.199999999997"/>
    <n v="140"/>
    <n v="24567.199999999997"/>
    <n v="300"/>
    <n v="52643.999999999993"/>
    <n v="740"/>
    <n v="129855.19999999998"/>
    <n v="12.023629629629628"/>
  </r>
  <r>
    <x v="235"/>
    <s v="Completed"/>
    <m/>
    <n v="515284"/>
    <d v="2018-12-03T00:00:00"/>
    <m/>
    <s v="12"/>
    <x v="5"/>
    <x v="0"/>
    <x v="23"/>
    <n v="20800"/>
    <m/>
    <x v="189"/>
    <x v="185"/>
    <s v="Survey of Chemistry I"/>
    <s v="CHEM 1151"/>
    <s v="Chemistry"/>
    <s v="Survey of Chemistry I "/>
    <s v="In-Progress"/>
    <s v="In-Progress"/>
    <s v="In-progress"/>
    <x v="2"/>
    <s v="Positive"/>
    <s v="Positive"/>
    <n v="44000"/>
    <n v="220"/>
    <n v="200.01"/>
    <n v="0"/>
    <n v="140"/>
    <n v="80"/>
    <s v="Fall 2019"/>
    <s v="N"/>
    <m/>
    <m/>
    <s v="Continued"/>
    <n v="0"/>
    <n v="0"/>
    <n v="0"/>
    <n v="0"/>
    <n v="0"/>
    <n v="0"/>
    <n v="0"/>
    <n v="0"/>
    <n v="0"/>
    <n v="0"/>
    <n v="0"/>
    <n v="0"/>
    <n v="0"/>
    <n v="0"/>
    <n v="0"/>
    <n v="0"/>
    <n v="0"/>
    <n v="0"/>
    <n v="0"/>
    <n v="0"/>
    <n v="0"/>
    <n v="0"/>
    <n v="0"/>
    <n v="0"/>
    <n v="0"/>
    <n v="0"/>
    <n v="0"/>
    <n v="0"/>
    <x v="0"/>
    <n v="0"/>
    <n v="140"/>
    <n v="80"/>
    <n v="220"/>
    <n v="200.01"/>
    <n v="44002.2"/>
    <n v="0"/>
    <n v="0"/>
    <n v="0"/>
    <n v="0"/>
    <n v="0"/>
    <n v="0"/>
    <n v="0"/>
    <n v="0"/>
    <s v="Continued"/>
    <n v="0"/>
    <n v="140"/>
    <n v="80"/>
    <n v="220"/>
    <n v="200.01"/>
    <n v="44002.2"/>
    <s v="Fall 2019"/>
    <n v="0"/>
    <n v="0"/>
    <n v="140"/>
    <n v="28001.399999999998"/>
    <n v="80"/>
    <n v="16000.8"/>
    <n v="220"/>
    <n v="44002.2"/>
    <s v="Continued"/>
    <n v="0"/>
    <n v="140"/>
    <n v="80"/>
    <n v="220"/>
    <n v="200.01"/>
    <n v="44002.2"/>
    <m/>
    <n v="0"/>
    <n v="0"/>
    <n v="140"/>
    <n v="28001.399999999998"/>
    <n v="80"/>
    <n v="16000.8"/>
    <n v="220"/>
    <n v="44002.2"/>
    <n v="440"/>
    <n v="88004.4"/>
    <n v="4.2309807692307686"/>
  </r>
  <r>
    <x v="236"/>
    <s v="Completed"/>
    <m/>
    <n v="515281"/>
    <d v="2018-12-03T00:00:00"/>
    <m/>
    <s v="12"/>
    <x v="5"/>
    <x v="0"/>
    <x v="23"/>
    <n v="10730"/>
    <m/>
    <x v="190"/>
    <x v="186"/>
    <s v="Educational Psychology"/>
    <s v="CEPD 4101"/>
    <s v="Educator Preparation"/>
    <s v="N"/>
    <s v="In-Progress"/>
    <s v="In-Progress"/>
    <s v="In-progress"/>
    <x v="2"/>
    <s v="Neutral"/>
    <s v="Positive"/>
    <n v="45150"/>
    <n v="175"/>
    <n v="306"/>
    <n v="35"/>
    <n v="70"/>
    <n v="70"/>
    <s v="Fall 2019"/>
    <s v="N"/>
    <m/>
    <m/>
    <s v="Continued"/>
    <n v="0"/>
    <n v="0"/>
    <n v="0"/>
    <n v="0"/>
    <n v="0"/>
    <n v="0"/>
    <n v="0"/>
    <n v="0"/>
    <n v="0"/>
    <n v="0"/>
    <n v="0"/>
    <n v="0"/>
    <n v="0"/>
    <n v="0"/>
    <n v="0"/>
    <n v="0"/>
    <n v="0"/>
    <n v="0"/>
    <n v="0"/>
    <n v="0"/>
    <n v="0"/>
    <n v="0"/>
    <n v="0"/>
    <n v="0"/>
    <n v="0"/>
    <n v="0"/>
    <n v="0"/>
    <n v="0"/>
    <x v="0"/>
    <n v="35"/>
    <n v="70"/>
    <n v="70"/>
    <n v="175"/>
    <n v="306"/>
    <n v="53550"/>
    <n v="0"/>
    <n v="0"/>
    <n v="0"/>
    <n v="0"/>
    <n v="0"/>
    <n v="0"/>
    <n v="0"/>
    <n v="0"/>
    <s v="Continued"/>
    <n v="35"/>
    <n v="70"/>
    <n v="70"/>
    <n v="175"/>
    <n v="306"/>
    <n v="53550"/>
    <s v="Fall 2019"/>
    <n v="0"/>
    <n v="0"/>
    <n v="70"/>
    <n v="21420"/>
    <n v="70"/>
    <n v="21420"/>
    <n v="140"/>
    <n v="42840"/>
    <s v="Continued"/>
    <n v="35"/>
    <n v="70"/>
    <n v="70"/>
    <n v="175"/>
    <n v="306"/>
    <n v="53550"/>
    <m/>
    <n v="35"/>
    <n v="10710"/>
    <n v="70"/>
    <n v="21420"/>
    <n v="70"/>
    <n v="21420"/>
    <n v="175"/>
    <n v="53550"/>
    <n v="315"/>
    <n v="96390"/>
    <n v="8.9832246039142589"/>
  </r>
  <r>
    <x v="237"/>
    <s v="Completed"/>
    <m/>
    <n v="515282"/>
    <d v="2018-12-03T00:00:00"/>
    <m/>
    <s v="12"/>
    <x v="5"/>
    <x v="0"/>
    <x v="9"/>
    <n v="10800"/>
    <m/>
    <x v="191"/>
    <x v="187"/>
    <s v="American Government"/>
    <s v="POLS 1101"/>
    <s v="Political Science"/>
    <s v="American Government"/>
    <s v="In-Progress"/>
    <s v="In-Progress"/>
    <s v="In-progress"/>
    <x v="2"/>
    <s v="Negative"/>
    <s v="Negative"/>
    <n v="173547"/>
    <n v="660"/>
    <n v="262.95"/>
    <n v="60"/>
    <n v="300"/>
    <n v="300"/>
    <s v="Summer 2019"/>
    <s v="Y"/>
    <n v="481"/>
    <s v="Fall 2020"/>
    <s v="Continued"/>
    <n v="0"/>
    <n v="0"/>
    <n v="0"/>
    <n v="0"/>
    <n v="0"/>
    <n v="0"/>
    <n v="0"/>
    <n v="0"/>
    <n v="0"/>
    <n v="0"/>
    <n v="0"/>
    <n v="0"/>
    <n v="0"/>
    <n v="0"/>
    <n v="0"/>
    <n v="0"/>
    <n v="0"/>
    <n v="0"/>
    <n v="0"/>
    <n v="0"/>
    <n v="0"/>
    <n v="0"/>
    <n v="0"/>
    <n v="0"/>
    <n v="0"/>
    <n v="0"/>
    <n v="0"/>
    <n v="0"/>
    <x v="0"/>
    <n v="60"/>
    <n v="300"/>
    <n v="300"/>
    <n v="660"/>
    <n v="262.95"/>
    <n v="173547"/>
    <n v="0"/>
    <n v="0"/>
    <n v="0"/>
    <n v="0"/>
    <n v="0"/>
    <n v="0"/>
    <n v="0"/>
    <n v="0"/>
    <s v="Continued"/>
    <n v="60"/>
    <n v="300"/>
    <n v="300"/>
    <n v="660"/>
    <n v="262.95"/>
    <n v="173547"/>
    <s v="Summer 2019"/>
    <n v="60"/>
    <n v="15777"/>
    <n v="300"/>
    <n v="78885"/>
    <n v="300"/>
    <n v="78885"/>
    <n v="660"/>
    <n v="173547"/>
    <s v="Unknown"/>
    <n v="60"/>
    <n v="300"/>
    <n v="300"/>
    <n v="0"/>
    <n v="262.95"/>
    <n v="0"/>
    <m/>
    <n v="0"/>
    <n v="0"/>
    <n v="0"/>
    <n v="0"/>
    <n v="0"/>
    <n v="0"/>
    <n v="0"/>
    <n v="0"/>
    <n v="660"/>
    <n v="173547"/>
    <n v="16.069166666666668"/>
  </r>
  <r>
    <x v="238"/>
    <m/>
    <m/>
    <n v="515283"/>
    <d v="2018-12-03T00:00:00"/>
    <m/>
    <s v="12"/>
    <x v="5"/>
    <x v="0"/>
    <x v="7"/>
    <n v="10800"/>
    <m/>
    <x v="151"/>
    <x v="188"/>
    <s v="Principles of Physics II"/>
    <s v="PHYS 2212K"/>
    <s v="Physics and Astronomy"/>
    <s v="Principles of Physics II"/>
    <s v="In-Progress"/>
    <s v="In-Progress"/>
    <s v="In-progress"/>
    <x v="5"/>
    <s v="In Progress"/>
    <s v="In Progress"/>
    <n v="19510"/>
    <n v="96"/>
    <n v="203.25"/>
    <n v="0"/>
    <n v="48"/>
    <n v="48"/>
    <s v="Spring 2019"/>
    <s v="N"/>
    <m/>
    <m/>
    <s v="Continued"/>
    <n v="0"/>
    <n v="0"/>
    <n v="0"/>
    <n v="0"/>
    <n v="0"/>
    <n v="0"/>
    <n v="0"/>
    <n v="0"/>
    <n v="0"/>
    <n v="0"/>
    <n v="0"/>
    <n v="0"/>
    <n v="0"/>
    <n v="0"/>
    <n v="0"/>
    <n v="0"/>
    <n v="0"/>
    <n v="0"/>
    <n v="0"/>
    <n v="0"/>
    <n v="0"/>
    <n v="0"/>
    <n v="0"/>
    <n v="0"/>
    <n v="0"/>
    <n v="0"/>
    <n v="0"/>
    <n v="0"/>
    <x v="0"/>
    <n v="0"/>
    <n v="48"/>
    <n v="48"/>
    <n v="96"/>
    <n v="203.25"/>
    <n v="19512"/>
    <n v="0"/>
    <n v="0"/>
    <n v="0"/>
    <n v="0"/>
    <n v="48"/>
    <n v="9756"/>
    <n v="48"/>
    <n v="9756"/>
    <s v="Continued"/>
    <n v="0"/>
    <n v="48"/>
    <n v="48"/>
    <n v="96"/>
    <n v="203.25"/>
    <n v="19512"/>
    <s v="Spring 2019"/>
    <n v="0"/>
    <n v="0"/>
    <n v="48"/>
    <n v="9756"/>
    <n v="48"/>
    <n v="9756"/>
    <n v="96"/>
    <n v="19512"/>
    <s v="Continued"/>
    <n v="0"/>
    <n v="48"/>
    <n v="48"/>
    <n v="96"/>
    <n v="203.25"/>
    <n v="19512"/>
    <m/>
    <n v="0"/>
    <n v="0"/>
    <n v="48"/>
    <n v="9756"/>
    <n v="48"/>
    <n v="9756"/>
    <n v="96"/>
    <n v="19512"/>
    <n v="240"/>
    <n v="48780"/>
    <n v="4.5166666666666666"/>
  </r>
  <r>
    <x v="239"/>
    <s v="Completed"/>
    <m/>
    <n v="515320"/>
    <d v="2019-04-05T00:00:00"/>
    <m/>
    <s v="12"/>
    <x v="5"/>
    <x v="0"/>
    <x v="4"/>
    <n v="10800"/>
    <m/>
    <x v="192"/>
    <x v="189"/>
    <s v="Survey of Chemistry I"/>
    <s v="CHEM 1151"/>
    <s v="Chemistry"/>
    <s v="Survey of Chemistry I"/>
    <s v="In-Progress"/>
    <s v="In-Progress"/>
    <s v="In-progress"/>
    <x v="2"/>
    <s v="Positive"/>
    <s v="Positive"/>
    <n v="104414"/>
    <n v="1156"/>
    <n v="166"/>
    <n v="262"/>
    <n v="629"/>
    <n v="527"/>
    <s v="Fall 2019"/>
    <s v="N"/>
    <m/>
    <m/>
    <s v="Continued"/>
    <n v="0"/>
    <n v="0"/>
    <n v="0"/>
    <n v="0"/>
    <n v="0"/>
    <n v="0"/>
    <n v="0"/>
    <n v="0"/>
    <n v="0"/>
    <n v="0"/>
    <n v="0"/>
    <n v="0"/>
    <n v="0"/>
    <n v="0"/>
    <n v="0"/>
    <n v="0"/>
    <n v="0"/>
    <n v="0"/>
    <n v="0"/>
    <n v="0"/>
    <n v="0"/>
    <n v="0"/>
    <n v="0"/>
    <n v="0"/>
    <n v="0"/>
    <n v="0"/>
    <n v="0"/>
    <n v="0"/>
    <x v="0"/>
    <n v="262"/>
    <n v="629"/>
    <n v="527"/>
    <n v="1418"/>
    <n v="166"/>
    <n v="235388"/>
    <n v="0"/>
    <n v="0"/>
    <n v="0"/>
    <n v="0"/>
    <n v="0"/>
    <n v="0"/>
    <n v="0"/>
    <n v="0"/>
    <s v="Continued"/>
    <n v="262"/>
    <n v="629"/>
    <n v="527"/>
    <n v="1418"/>
    <n v="166"/>
    <n v="235388"/>
    <s v="Fall 2019"/>
    <n v="0"/>
    <n v="0"/>
    <n v="629"/>
    <n v="104414"/>
    <n v="527"/>
    <n v="87482"/>
    <n v="1156"/>
    <n v="191896"/>
    <s v="Continued"/>
    <n v="262"/>
    <n v="629"/>
    <n v="527"/>
    <n v="1418"/>
    <n v="166"/>
    <n v="235388"/>
    <m/>
    <n v="262"/>
    <n v="43492"/>
    <n v="629"/>
    <n v="104414"/>
    <n v="527"/>
    <n v="87482"/>
    <n v="1418"/>
    <n v="235388"/>
    <n v="2574"/>
    <n v="427284"/>
    <n v="39.563333333333333"/>
  </r>
  <r>
    <x v="240"/>
    <s v="Completed"/>
    <m/>
    <n v="515288"/>
    <d v="2018-12-03T00:00:00"/>
    <m/>
    <s v="12"/>
    <x v="5"/>
    <x v="0"/>
    <x v="17"/>
    <n v="10800"/>
    <m/>
    <x v="193"/>
    <x v="190"/>
    <s v="Introduction to Humanities I &amp; II"/>
    <s v="HUMN 1501 and HUMN 1502"/>
    <s v="Arts and Sciences"/>
    <s v="N"/>
    <s v="In-Progress"/>
    <s v="In-Progress"/>
    <s v="In-progress"/>
    <x v="2"/>
    <s v="Positive"/>
    <s v="Positive"/>
    <n v="104482"/>
    <n v="350"/>
    <n v="298.52"/>
    <n v="35"/>
    <n v="175"/>
    <n v="140"/>
    <s v="Fall 2019"/>
    <s v="N"/>
    <m/>
    <m/>
    <s v="Continued"/>
    <n v="0"/>
    <n v="0"/>
    <n v="0"/>
    <n v="0"/>
    <n v="0"/>
    <n v="0"/>
    <n v="0"/>
    <n v="0"/>
    <n v="0"/>
    <n v="0"/>
    <n v="0"/>
    <n v="0"/>
    <n v="0"/>
    <n v="0"/>
    <n v="0"/>
    <n v="0"/>
    <n v="0"/>
    <n v="0"/>
    <n v="0"/>
    <n v="0"/>
    <n v="0"/>
    <n v="0"/>
    <n v="0"/>
    <n v="0"/>
    <n v="0"/>
    <n v="0"/>
    <n v="0"/>
    <n v="0"/>
    <x v="0"/>
    <n v="35"/>
    <n v="175"/>
    <n v="140"/>
    <n v="350"/>
    <n v="298.52"/>
    <n v="104482"/>
    <n v="0"/>
    <n v="0"/>
    <n v="0"/>
    <n v="0"/>
    <n v="0"/>
    <n v="0"/>
    <n v="0"/>
    <n v="0"/>
    <s v="Continued"/>
    <n v="35"/>
    <n v="175"/>
    <n v="140"/>
    <n v="350"/>
    <n v="298.52"/>
    <n v="104482"/>
    <s v="Fall 2019"/>
    <n v="0"/>
    <n v="0"/>
    <n v="175"/>
    <n v="52241"/>
    <n v="140"/>
    <n v="41792.799999999996"/>
    <n v="315"/>
    <n v="94033.799999999988"/>
    <s v="Unknown"/>
    <n v="35"/>
    <n v="175"/>
    <n v="140"/>
    <n v="0"/>
    <n v="298.52"/>
    <n v="0"/>
    <m/>
    <n v="0"/>
    <n v="0"/>
    <n v="0"/>
    <n v="0"/>
    <n v="0"/>
    <n v="0"/>
    <n v="0"/>
    <n v="0"/>
    <n v="315"/>
    <n v="94033.799999999988"/>
    <n v="8.7068333333333321"/>
  </r>
  <r>
    <x v="241"/>
    <s v="Completed"/>
    <m/>
    <n v="515303"/>
    <d v="2019-01-07T00:00:00"/>
    <m/>
    <s v="12"/>
    <x v="5"/>
    <x v="0"/>
    <x v="1"/>
    <n v="10800"/>
    <m/>
    <x v="150"/>
    <x v="152"/>
    <s v="Advanced Web Development, Introduction to Web Development"/>
    <s v="IT 4203, IT3203"/>
    <s v="Computing Disciplines"/>
    <s v="N"/>
    <s v="In-Progress"/>
    <s v="In-Progress"/>
    <s v="In-progress"/>
    <x v="2"/>
    <s v="Positive"/>
    <s v="Positive"/>
    <n v="45980"/>
    <n v="280"/>
    <n v="143.49"/>
    <n v="30"/>
    <n v="160"/>
    <n v="90"/>
    <s v="Spring 2019"/>
    <s v="N"/>
    <m/>
    <m/>
    <s v="Continued"/>
    <n v="0"/>
    <n v="0"/>
    <n v="0"/>
    <n v="0"/>
    <n v="0"/>
    <n v="0"/>
    <n v="0"/>
    <n v="0"/>
    <n v="0"/>
    <n v="0"/>
    <n v="0"/>
    <n v="0"/>
    <n v="0"/>
    <n v="0"/>
    <n v="0"/>
    <n v="0"/>
    <n v="0"/>
    <n v="0"/>
    <n v="0"/>
    <n v="0"/>
    <n v="0"/>
    <n v="0"/>
    <n v="0"/>
    <n v="0"/>
    <n v="0"/>
    <n v="0"/>
    <n v="0"/>
    <n v="0"/>
    <x v="0"/>
    <n v="30"/>
    <n v="160"/>
    <n v="90"/>
    <n v="280"/>
    <n v="143.49"/>
    <n v="40177.200000000004"/>
    <n v="0"/>
    <n v="0"/>
    <n v="0"/>
    <n v="0"/>
    <n v="90"/>
    <n v="12914.1"/>
    <n v="90"/>
    <n v="12914.1"/>
    <s v="Continued"/>
    <n v="30"/>
    <n v="160"/>
    <n v="90"/>
    <n v="280"/>
    <n v="143.49"/>
    <n v="40177.200000000004"/>
    <s v="Spring 2019"/>
    <n v="30"/>
    <n v="4304.7000000000007"/>
    <n v="160"/>
    <n v="22958.400000000001"/>
    <n v="90"/>
    <n v="12914.1"/>
    <n v="280"/>
    <n v="40177.200000000004"/>
    <s v="Continued"/>
    <n v="30"/>
    <n v="160"/>
    <n v="90"/>
    <n v="280"/>
    <n v="143.49"/>
    <n v="40177.200000000004"/>
    <m/>
    <n v="30"/>
    <n v="4304.7000000000007"/>
    <n v="160"/>
    <n v="22958.400000000001"/>
    <n v="90"/>
    <n v="12914.1"/>
    <n v="280"/>
    <n v="40177.200000000004"/>
    <n v="650"/>
    <n v="93268.5"/>
    <n v="8.6359722222222217"/>
  </r>
  <r>
    <x v="242"/>
    <m/>
    <m/>
    <n v="515289"/>
    <d v="2018-12-03T00:00:00"/>
    <m/>
    <s v="12"/>
    <x v="5"/>
    <x v="0"/>
    <x v="17"/>
    <n v="10700"/>
    <m/>
    <x v="194"/>
    <x v="191"/>
    <s v="Students Taking Academic Responsibility"/>
    <s v="STAR 0098"/>
    <s v="Learning Support"/>
    <s v="N"/>
    <s v="In-Progress"/>
    <s v="In-Progress"/>
    <s v="In-progress"/>
    <x v="5"/>
    <s v="In Progress"/>
    <s v="In Progress"/>
    <n v="19358.64"/>
    <n v="161"/>
    <n v="120.24"/>
    <n v="17"/>
    <n v="81"/>
    <n v="41"/>
    <s v="Spring 2019"/>
    <s v="N"/>
    <m/>
    <m/>
    <s v="Continued"/>
    <n v="0"/>
    <n v="0"/>
    <n v="0"/>
    <n v="0"/>
    <n v="0"/>
    <n v="0"/>
    <n v="0"/>
    <n v="0"/>
    <n v="0"/>
    <n v="0"/>
    <n v="0"/>
    <n v="0"/>
    <n v="0"/>
    <n v="0"/>
    <n v="0"/>
    <n v="0"/>
    <n v="0"/>
    <n v="0"/>
    <n v="0"/>
    <n v="0"/>
    <n v="0"/>
    <n v="0"/>
    <n v="0"/>
    <n v="0"/>
    <n v="0"/>
    <n v="0"/>
    <n v="0"/>
    <n v="0"/>
    <x v="0"/>
    <n v="17"/>
    <n v="81"/>
    <n v="41"/>
    <n v="139"/>
    <n v="120.24"/>
    <n v="16713.36"/>
    <n v="0"/>
    <n v="0"/>
    <n v="0"/>
    <n v="0"/>
    <n v="41"/>
    <n v="4929.84"/>
    <n v="41"/>
    <n v="4929.84"/>
    <s v="Continued"/>
    <n v="17"/>
    <n v="81"/>
    <n v="41"/>
    <n v="139"/>
    <n v="120.24"/>
    <n v="16713.36"/>
    <s v="Spring 2019"/>
    <n v="17"/>
    <n v="2044.08"/>
    <n v="81"/>
    <n v="9739.4399999999987"/>
    <n v="41"/>
    <n v="4929.84"/>
    <n v="139"/>
    <n v="16713.36"/>
    <s v="Unknown"/>
    <n v="17"/>
    <n v="81"/>
    <n v="41"/>
    <n v="0"/>
    <n v="120.24"/>
    <n v="0"/>
    <m/>
    <n v="0"/>
    <n v="0"/>
    <n v="0"/>
    <n v="0"/>
    <n v="0"/>
    <n v="0"/>
    <n v="0"/>
    <n v="0"/>
    <n v="180"/>
    <n v="21643.200000000001"/>
    <n v="2.0227289719626169"/>
  </r>
  <r>
    <x v="243"/>
    <s v="Completed"/>
    <m/>
    <n v="515381"/>
    <d v="2019-02-01T00:00:00"/>
    <m/>
    <s v="12"/>
    <x v="5"/>
    <x v="0"/>
    <x v="15"/>
    <n v="10799"/>
    <m/>
    <x v="195"/>
    <x v="192"/>
    <s v="Human Anatomy &amp; Physiology I &amp; II"/>
    <s v="BIOL 2111 &amp; BIOL 2112"/>
    <s v="Biological Sciences"/>
    <s v="N"/>
    <s v="In-Progress"/>
    <s v="In-Progress"/>
    <s v="In-progress"/>
    <x v="3"/>
    <s v="Not Measured"/>
    <s v="Not Measured"/>
    <n v="37680"/>
    <n v="830"/>
    <n v="40"/>
    <n v="112"/>
    <n v="420"/>
    <n v="416"/>
    <s v="Fall 2019"/>
    <s v="N"/>
    <m/>
    <m/>
    <s v="Continued"/>
    <n v="0"/>
    <n v="0"/>
    <n v="0"/>
    <n v="0"/>
    <n v="0"/>
    <n v="0"/>
    <n v="0"/>
    <n v="0"/>
    <n v="0"/>
    <n v="0"/>
    <n v="0"/>
    <n v="0"/>
    <n v="0"/>
    <n v="0"/>
    <n v="0"/>
    <n v="0"/>
    <n v="0"/>
    <n v="0"/>
    <n v="0"/>
    <n v="0"/>
    <n v="0"/>
    <n v="0"/>
    <n v="0"/>
    <n v="0"/>
    <n v="0"/>
    <n v="0"/>
    <n v="0"/>
    <n v="0"/>
    <x v="0"/>
    <n v="112"/>
    <n v="420"/>
    <n v="416"/>
    <n v="948"/>
    <n v="40"/>
    <n v="37920"/>
    <n v="0"/>
    <n v="0"/>
    <n v="0"/>
    <n v="0"/>
    <n v="0"/>
    <n v="0"/>
    <n v="0"/>
    <n v="0"/>
    <s v="Continued"/>
    <n v="112"/>
    <n v="420"/>
    <n v="416"/>
    <n v="948"/>
    <n v="40"/>
    <n v="37920"/>
    <s v="Fall 2019"/>
    <n v="0"/>
    <n v="0"/>
    <n v="420"/>
    <n v="16800"/>
    <n v="416"/>
    <n v="16640"/>
    <n v="836"/>
    <n v="33440"/>
    <s v="Continued"/>
    <n v="112"/>
    <n v="420"/>
    <n v="416"/>
    <n v="948"/>
    <n v="40"/>
    <n v="37920"/>
    <m/>
    <n v="112"/>
    <n v="4480"/>
    <n v="420"/>
    <n v="16800"/>
    <n v="416"/>
    <n v="16640"/>
    <n v="948"/>
    <n v="37920"/>
    <n v="1784"/>
    <n v="71360"/>
    <n v="6.6080192610426893"/>
  </r>
  <r>
    <x v="244"/>
    <s v="Completed"/>
    <m/>
    <n v="515286"/>
    <d v="2018-12-03T00:00:00"/>
    <m/>
    <s v="12"/>
    <x v="5"/>
    <x v="0"/>
    <x v="25"/>
    <n v="10800"/>
    <m/>
    <x v="196"/>
    <x v="193"/>
    <s v="Principles of Biology I, Principles of Biology I Lab, Principles of Biology II, Principles of Biology II Lab"/>
    <s v="BIOL 1107, BLAB 1107, BIOL 1108, BLAB 1108"/>
    <s v="Biological Sciences"/>
    <s v="Principles of Biology I &amp; II"/>
    <s v="In-Progress"/>
    <s v="In-Progress"/>
    <s v="In-progress"/>
    <x v="2"/>
    <s v="Neutral"/>
    <s v="Positive"/>
    <n v="220896"/>
    <n v="624"/>
    <n v="354"/>
    <n v="50"/>
    <n v="303"/>
    <n v="321"/>
    <s v="Fall 2019"/>
    <s v="N"/>
    <m/>
    <m/>
    <s v="Continued"/>
    <n v="0"/>
    <n v="0"/>
    <n v="0"/>
    <n v="0"/>
    <n v="0"/>
    <n v="0"/>
    <n v="0"/>
    <n v="0"/>
    <n v="0"/>
    <n v="0"/>
    <n v="0"/>
    <n v="0"/>
    <n v="0"/>
    <n v="0"/>
    <n v="0"/>
    <n v="0"/>
    <n v="0"/>
    <n v="0"/>
    <n v="0"/>
    <n v="0"/>
    <n v="0"/>
    <n v="0"/>
    <n v="0"/>
    <n v="0"/>
    <n v="0"/>
    <n v="0"/>
    <n v="0"/>
    <n v="0"/>
    <x v="0"/>
    <n v="50"/>
    <n v="303"/>
    <n v="321"/>
    <n v="674"/>
    <n v="354"/>
    <n v="238596"/>
    <n v="0"/>
    <n v="0"/>
    <n v="0"/>
    <n v="0"/>
    <n v="0"/>
    <n v="0"/>
    <n v="0"/>
    <n v="0"/>
    <s v="Continued"/>
    <n v="50"/>
    <n v="303"/>
    <n v="321"/>
    <n v="674"/>
    <n v="354"/>
    <n v="238596"/>
    <s v="Fall 2019"/>
    <n v="0"/>
    <n v="0"/>
    <n v="303"/>
    <n v="107262"/>
    <n v="321"/>
    <n v="113634"/>
    <n v="624"/>
    <n v="220896"/>
    <s v="Unknown"/>
    <n v="50"/>
    <n v="303"/>
    <n v="321"/>
    <n v="0"/>
    <n v="354"/>
    <n v="0"/>
    <m/>
    <n v="0"/>
    <n v="0"/>
    <n v="0"/>
    <n v="0"/>
    <n v="0"/>
    <n v="0"/>
    <n v="0"/>
    <n v="0"/>
    <n v="624"/>
    <n v="220896"/>
    <n v="20.453333333333333"/>
  </r>
  <r>
    <x v="245"/>
    <s v="Completed"/>
    <m/>
    <n v="516264"/>
    <m/>
    <m/>
    <s v="12"/>
    <x v="5"/>
    <x v="0"/>
    <x v="1"/>
    <n v="10800"/>
    <m/>
    <x v="197"/>
    <x v="194"/>
    <s v="Introduction to software engineering, Software engineering, Emerging software engineering processes"/>
    <s v="SWE 3313, SWE 6623, SWE 6733"/>
    <s v="Computing Disciplines"/>
    <s v="N"/>
    <s v="In-Progress"/>
    <s v="In-Progress"/>
    <s v="In-progress"/>
    <x v="2"/>
    <s v="Positive"/>
    <s v="Positive"/>
    <n v="94800"/>
    <n v="640"/>
    <n v="202.5"/>
    <n v="80"/>
    <n v="280"/>
    <n v="280"/>
    <s v="Fall 2019"/>
    <s v="N"/>
    <m/>
    <m/>
    <s v="Continued"/>
    <n v="0"/>
    <n v="0"/>
    <n v="0"/>
    <n v="0"/>
    <n v="0"/>
    <n v="0"/>
    <n v="0"/>
    <n v="0"/>
    <n v="0"/>
    <n v="0"/>
    <n v="0"/>
    <n v="0"/>
    <n v="0"/>
    <n v="0"/>
    <n v="0"/>
    <n v="0"/>
    <n v="0"/>
    <n v="0"/>
    <n v="0"/>
    <n v="0"/>
    <n v="0"/>
    <n v="0"/>
    <n v="0"/>
    <n v="0"/>
    <n v="0"/>
    <n v="0"/>
    <n v="0"/>
    <n v="0"/>
    <x v="0"/>
    <n v="80"/>
    <n v="280"/>
    <n v="280"/>
    <n v="640"/>
    <n v="202.5"/>
    <n v="129600"/>
    <n v="0"/>
    <n v="0"/>
    <n v="0"/>
    <n v="0"/>
    <n v="0"/>
    <n v="0"/>
    <n v="0"/>
    <n v="0"/>
    <s v="Continued"/>
    <n v="80"/>
    <n v="280"/>
    <n v="280"/>
    <n v="640"/>
    <n v="202.5"/>
    <n v="129600"/>
    <s v="Fall 2019"/>
    <n v="0"/>
    <n v="0"/>
    <n v="280"/>
    <n v="56700"/>
    <n v="280"/>
    <n v="56700"/>
    <n v="560"/>
    <n v="113400"/>
    <s v="Continued"/>
    <n v="80"/>
    <n v="280"/>
    <n v="280"/>
    <n v="640"/>
    <n v="202.5"/>
    <n v="129600"/>
    <m/>
    <n v="80"/>
    <n v="16200"/>
    <n v="280"/>
    <n v="56700"/>
    <n v="280"/>
    <n v="56700"/>
    <n v="640"/>
    <n v="129600"/>
    <n v="1200"/>
    <n v="243000"/>
    <n v="22.5"/>
  </r>
  <r>
    <x v="246"/>
    <s v="Completed"/>
    <m/>
    <n v="515521"/>
    <d v="2019-02-07T00:00:00"/>
    <m/>
    <s v="12"/>
    <x v="5"/>
    <x v="0"/>
    <x v="5"/>
    <n v="10800"/>
    <m/>
    <x v="147"/>
    <x v="149"/>
    <s v="World Regional Geography"/>
    <s v="GEOG 1102"/>
    <s v="Geological Sciences and Geography"/>
    <s v="N"/>
    <s v="In-Progress"/>
    <s v="In-Progress"/>
    <s v="In-progress"/>
    <x v="2"/>
    <s v="Positive"/>
    <s v="Positive"/>
    <n v="27714"/>
    <n v="120"/>
    <n v="230.95"/>
    <n v="0"/>
    <n v="60"/>
    <n v="60"/>
    <s v="Spring 2019"/>
    <s v="N"/>
    <m/>
    <m/>
    <s v="Continued"/>
    <n v="0"/>
    <n v="0"/>
    <n v="0"/>
    <n v="0"/>
    <n v="0"/>
    <n v="0"/>
    <n v="0"/>
    <n v="0"/>
    <n v="0"/>
    <n v="0"/>
    <n v="0"/>
    <n v="0"/>
    <n v="0"/>
    <n v="0"/>
    <n v="0"/>
    <n v="0"/>
    <n v="0"/>
    <n v="0"/>
    <n v="0"/>
    <n v="0"/>
    <n v="0"/>
    <n v="0"/>
    <n v="0"/>
    <n v="0"/>
    <n v="0"/>
    <n v="0"/>
    <n v="0"/>
    <n v="0"/>
    <x v="0"/>
    <n v="0"/>
    <n v="60"/>
    <n v="60"/>
    <n v="120"/>
    <n v="230.95"/>
    <n v="27714"/>
    <n v="0"/>
    <n v="0"/>
    <n v="0"/>
    <n v="0"/>
    <n v="60"/>
    <n v="13857"/>
    <n v="60"/>
    <n v="13857"/>
    <s v="Continued"/>
    <n v="0"/>
    <n v="60"/>
    <n v="60"/>
    <n v="120"/>
    <n v="230.95"/>
    <n v="27714"/>
    <s v="Spring 2019"/>
    <n v="0"/>
    <n v="0"/>
    <n v="60"/>
    <n v="13857"/>
    <n v="60"/>
    <n v="13857"/>
    <n v="120"/>
    <n v="27714"/>
    <s v="Continued"/>
    <n v="0"/>
    <n v="60"/>
    <n v="60"/>
    <n v="120"/>
    <n v="230.95"/>
    <n v="27714"/>
    <m/>
    <n v="0"/>
    <n v="0"/>
    <n v="60"/>
    <n v="13857"/>
    <n v="60"/>
    <n v="13857"/>
    <n v="120"/>
    <n v="27714"/>
    <n v="300"/>
    <n v="69285"/>
    <n v="6.4152777777777779"/>
  </r>
  <r>
    <x v="247"/>
    <s v="Completed"/>
    <m/>
    <n v="515302"/>
    <d v="2019-01-07T00:00:00"/>
    <m/>
    <s v="12"/>
    <x v="5"/>
    <x v="0"/>
    <x v="1"/>
    <n v="10800"/>
    <m/>
    <x v="198"/>
    <x v="195"/>
    <s v="Elementary Italian I , Elementary Italian II"/>
    <s v="ITAL 1001, ITAL 1002"/>
    <s v="Foreign Languages"/>
    <s v="Elementary Italian I &amp; II"/>
    <s v="In-Progress"/>
    <s v="In-Progress"/>
    <s v="In-progress"/>
    <x v="2"/>
    <s v="Positive"/>
    <s v="Positive"/>
    <n v="54885"/>
    <n v="300"/>
    <n v="182.95"/>
    <n v="40"/>
    <n v="140"/>
    <n v="120"/>
    <s v="Fall 2019"/>
    <s v="N"/>
    <m/>
    <m/>
    <s v="Continued"/>
    <n v="0"/>
    <n v="0"/>
    <n v="0"/>
    <n v="0"/>
    <n v="0"/>
    <n v="0"/>
    <n v="0"/>
    <n v="0"/>
    <n v="0"/>
    <n v="0"/>
    <n v="0"/>
    <n v="0"/>
    <n v="0"/>
    <n v="0"/>
    <n v="0"/>
    <n v="0"/>
    <n v="0"/>
    <n v="0"/>
    <n v="0"/>
    <n v="0"/>
    <n v="0"/>
    <n v="0"/>
    <n v="0"/>
    <n v="0"/>
    <n v="0"/>
    <n v="0"/>
    <n v="0"/>
    <n v="0"/>
    <x v="0"/>
    <n v="40"/>
    <n v="140"/>
    <n v="120"/>
    <n v="300"/>
    <n v="182.95"/>
    <n v="54885"/>
    <n v="0"/>
    <n v="0"/>
    <n v="0"/>
    <n v="0"/>
    <n v="0"/>
    <n v="0"/>
    <n v="0"/>
    <n v="0"/>
    <s v="Continued"/>
    <n v="40"/>
    <n v="140"/>
    <n v="120"/>
    <n v="300"/>
    <n v="182.95"/>
    <n v="54885"/>
    <s v="Fall 2019"/>
    <n v="0"/>
    <n v="0"/>
    <n v="140"/>
    <n v="25613"/>
    <n v="120"/>
    <n v="21954"/>
    <n v="260"/>
    <n v="47567"/>
    <s v="Continued"/>
    <n v="40"/>
    <n v="140"/>
    <n v="120"/>
    <n v="300"/>
    <n v="182.95"/>
    <n v="54885"/>
    <m/>
    <n v="40"/>
    <n v="7318"/>
    <n v="140"/>
    <n v="25613"/>
    <n v="120"/>
    <n v="21954"/>
    <n v="300"/>
    <n v="54885"/>
    <n v="560"/>
    <n v="102452"/>
    <n v="9.4862962962962971"/>
  </r>
  <r>
    <x v="248"/>
    <s v="Completed"/>
    <m/>
    <n v="515348"/>
    <d v="2019-01-15T00:00:00"/>
    <m/>
    <s v="12"/>
    <x v="5"/>
    <x v="0"/>
    <x v="14"/>
    <n v="10800"/>
    <m/>
    <x v="199"/>
    <x v="196"/>
    <s v="Clinical Calculations; Pharmacology; Conceptual Nursing for Paramedics and LPNs"/>
    <s v="NURS 1152; NURS 1002; NURS 1400"/>
    <s v="Nursing "/>
    <s v="N"/>
    <s v="In-Progress"/>
    <s v="In-Progress"/>
    <s v="In-progress"/>
    <x v="2"/>
    <s v="Positive"/>
    <s v="Positive"/>
    <n v="18788.25"/>
    <n v="235"/>
    <n v="79.95"/>
    <n v="50"/>
    <n v="50"/>
    <n v="135"/>
    <s v="Summer 2019"/>
    <s v="N"/>
    <m/>
    <m/>
    <s v="Continued"/>
    <n v="0"/>
    <n v="0"/>
    <n v="0"/>
    <n v="0"/>
    <n v="0"/>
    <n v="0"/>
    <n v="0"/>
    <n v="0"/>
    <n v="0"/>
    <n v="0"/>
    <n v="0"/>
    <n v="0"/>
    <n v="0"/>
    <n v="0"/>
    <n v="0"/>
    <n v="0"/>
    <n v="0"/>
    <n v="0"/>
    <n v="0"/>
    <n v="0"/>
    <n v="0"/>
    <n v="0"/>
    <n v="0"/>
    <n v="0"/>
    <n v="0"/>
    <n v="0"/>
    <n v="0"/>
    <n v="0"/>
    <x v="0"/>
    <n v="50"/>
    <n v="50"/>
    <n v="135"/>
    <n v="235"/>
    <n v="79.95"/>
    <n v="18788.25"/>
    <n v="0"/>
    <n v="0"/>
    <n v="0"/>
    <n v="0"/>
    <n v="0"/>
    <n v="0"/>
    <n v="0"/>
    <n v="0"/>
    <s v="Continued"/>
    <n v="50"/>
    <n v="50"/>
    <n v="135"/>
    <n v="235"/>
    <n v="79.95"/>
    <n v="18788.25"/>
    <s v="Summer 2019"/>
    <n v="50"/>
    <n v="3997.5"/>
    <n v="50"/>
    <n v="3997.5"/>
    <n v="135"/>
    <n v="10793.25"/>
    <n v="235"/>
    <n v="18788.25"/>
    <s v="Continued"/>
    <n v="50"/>
    <n v="50"/>
    <n v="135"/>
    <n v="235"/>
    <n v="79.95"/>
    <n v="18788.25"/>
    <m/>
    <n v="50"/>
    <n v="3997.5"/>
    <n v="50"/>
    <n v="3997.5"/>
    <n v="135"/>
    <n v="10793.25"/>
    <n v="235"/>
    <n v="18788.25"/>
    <n v="470"/>
    <n v="37576.5"/>
    <n v="3.4793055555555554"/>
  </r>
  <r>
    <x v="249"/>
    <s v="Completed"/>
    <m/>
    <s v="515523 (b) 515600 (a)"/>
    <s v="2/7/2019 (b) 3/4/19 (a)"/>
    <m/>
    <s v="12"/>
    <x v="5"/>
    <x v="0"/>
    <x v="14"/>
    <n v="8800"/>
    <m/>
    <x v="66"/>
    <x v="66"/>
    <s v="Introduction to Cultural Diversity"/>
    <s v="PSYC 2222"/>
    <s v="Psychology"/>
    <s v="Introduction to Cultural Diversity"/>
    <s v="In-Progress"/>
    <s v="In-Progress"/>
    <s v="In-progress"/>
    <x v="3"/>
    <s v="Not Measured"/>
    <s v="Not Measured"/>
    <n v="8668"/>
    <n v="120"/>
    <n v="69.16"/>
    <n v="40"/>
    <n v="40"/>
    <n v="40"/>
    <s v="Fall 2019"/>
    <s v="N"/>
    <m/>
    <m/>
    <s v="Continued"/>
    <n v="0"/>
    <n v="0"/>
    <n v="0"/>
    <n v="0"/>
    <n v="0"/>
    <n v="0"/>
    <n v="0"/>
    <n v="0"/>
    <n v="0"/>
    <n v="0"/>
    <n v="0"/>
    <n v="0"/>
    <n v="0"/>
    <n v="0"/>
    <n v="0"/>
    <n v="0"/>
    <n v="0"/>
    <n v="0"/>
    <n v="0"/>
    <n v="0"/>
    <n v="0"/>
    <n v="0"/>
    <n v="0"/>
    <n v="0"/>
    <n v="0"/>
    <n v="0"/>
    <n v="0"/>
    <n v="0"/>
    <x v="0"/>
    <n v="40"/>
    <n v="40"/>
    <n v="40"/>
    <n v="120"/>
    <n v="69.16"/>
    <n v="8299.1999999999989"/>
    <n v="0"/>
    <n v="0"/>
    <n v="0"/>
    <n v="0"/>
    <n v="0"/>
    <n v="0"/>
    <n v="0"/>
    <n v="0"/>
    <s v="Continued"/>
    <n v="40"/>
    <n v="40"/>
    <n v="40"/>
    <n v="120"/>
    <n v="69.16"/>
    <n v="8299.1999999999989"/>
    <s v="Fall 2019"/>
    <n v="0"/>
    <n v="0"/>
    <n v="40"/>
    <n v="2766.3999999999996"/>
    <n v="40"/>
    <n v="2766.3999999999996"/>
    <n v="80"/>
    <n v="5532.7999999999993"/>
    <s v="Continued"/>
    <n v="40"/>
    <n v="40"/>
    <n v="40"/>
    <n v="120"/>
    <n v="69.16"/>
    <n v="8299.1999999999989"/>
    <m/>
    <n v="40"/>
    <n v="2766.3999999999996"/>
    <n v="40"/>
    <n v="2766.3999999999996"/>
    <n v="40"/>
    <n v="2766.3999999999996"/>
    <n v="120"/>
    <n v="8299.1999999999989"/>
    <n v="200"/>
    <n v="13831.999999999998"/>
    <n v="1.5718181818181816"/>
  </r>
  <r>
    <x v="250"/>
    <s v="Completed"/>
    <m/>
    <n v="515287"/>
    <d v="2018-12-03T00:00:00"/>
    <m/>
    <s v="12"/>
    <x v="5"/>
    <x v="0"/>
    <x v="25"/>
    <n v="10800"/>
    <m/>
    <x v="200"/>
    <x v="197"/>
    <s v="College Algebra and Mathematical Modeling"/>
    <s v="MATH 1111, MATH 1101"/>
    <s v="Mathematical Subjects"/>
    <s v="College Algebra, Mathematical Modeling "/>
    <s v="In-Progress"/>
    <s v="In-Progress"/>
    <s v="In-progress"/>
    <x v="2"/>
    <s v="Not Measured"/>
    <s v="Not Measured"/>
    <n v="219912"/>
    <n v="924"/>
    <n v="238"/>
    <n v="308"/>
    <n v="308"/>
    <n v="308"/>
    <s v="Fall 2019"/>
    <s v="N"/>
    <m/>
    <m/>
    <s v="Continued"/>
    <n v="0"/>
    <n v="0"/>
    <n v="0"/>
    <n v="0"/>
    <n v="0"/>
    <n v="0"/>
    <n v="0"/>
    <n v="0"/>
    <n v="0"/>
    <n v="0"/>
    <n v="0"/>
    <n v="0"/>
    <n v="0"/>
    <n v="0"/>
    <n v="0"/>
    <n v="0"/>
    <n v="0"/>
    <n v="0"/>
    <n v="0"/>
    <n v="0"/>
    <n v="0"/>
    <n v="0"/>
    <n v="0"/>
    <n v="0"/>
    <n v="0"/>
    <n v="0"/>
    <n v="0"/>
    <n v="0"/>
    <x v="0"/>
    <n v="308"/>
    <n v="308"/>
    <n v="308"/>
    <m/>
    <n v="238"/>
    <n v="0"/>
    <n v="0"/>
    <n v="0"/>
    <n v="0"/>
    <n v="0"/>
    <n v="0"/>
    <n v="0"/>
    <n v="0"/>
    <n v="0"/>
    <s v="Continued"/>
    <n v="308"/>
    <n v="308"/>
    <n v="308"/>
    <n v="924"/>
    <n v="238"/>
    <n v="219912"/>
    <s v="Fall 2019"/>
    <n v="0"/>
    <n v="0"/>
    <n v="308"/>
    <n v="73304"/>
    <n v="308"/>
    <n v="73304"/>
    <n v="616"/>
    <n v="146608"/>
    <s v="Continued"/>
    <n v="308"/>
    <n v="308"/>
    <n v="308"/>
    <n v="924"/>
    <n v="238"/>
    <n v="219912"/>
    <m/>
    <n v="308"/>
    <n v="73304"/>
    <n v="308"/>
    <n v="73304"/>
    <n v="308"/>
    <n v="73304"/>
    <n v="924"/>
    <n v="219912"/>
    <n v="1540"/>
    <n v="366520"/>
    <n v="33.937037037037037"/>
  </r>
  <r>
    <x v="251"/>
    <m/>
    <m/>
    <n v="515303"/>
    <m/>
    <m/>
    <s v="12"/>
    <x v="5"/>
    <x v="1"/>
    <x v="1"/>
    <n v="4800"/>
    <m/>
    <x v="50"/>
    <x v="198"/>
    <s v="Databases: Design and Application"/>
    <s v="IT 5433"/>
    <s v="Computing Disciplines"/>
    <s v="N"/>
    <s v="In-Progress"/>
    <s v="In-Progress"/>
    <s v="In-progress"/>
    <x v="3"/>
    <s v="Not Measured"/>
    <s v="Not Measured"/>
    <n v="0"/>
    <n v="0"/>
    <n v="0"/>
    <m/>
    <m/>
    <m/>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52"/>
    <m/>
    <m/>
    <n v="515347"/>
    <d v="2019-01-15T00:00:00"/>
    <m/>
    <s v="12"/>
    <x v="5"/>
    <x v="1"/>
    <x v="14"/>
    <n v="4800"/>
    <m/>
    <x v="201"/>
    <x v="199"/>
    <s v="General Zoology"/>
    <s v="BIOL 2145"/>
    <s v="Biological Sciences"/>
    <s v="N"/>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53"/>
    <m/>
    <m/>
    <n v="515346"/>
    <d v="2019-01-15T00:00:00"/>
    <m/>
    <s v="12"/>
    <x v="5"/>
    <x v="1"/>
    <x v="14"/>
    <n v="4800"/>
    <m/>
    <x v="146"/>
    <x v="148"/>
    <s v="Principles of Biology I"/>
    <s v="BIOL 2107"/>
    <s v="Biological Sciences"/>
    <s v="Principles of Biology I "/>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54"/>
    <m/>
    <m/>
    <n v="515345"/>
    <d v="2019-01-15T00:00:00"/>
    <m/>
    <s v="12"/>
    <x v="5"/>
    <x v="1"/>
    <x v="14"/>
    <n v="4800"/>
    <m/>
    <x v="202"/>
    <x v="200"/>
    <s v="Principles of Biology II"/>
    <s v="BIOL 2108"/>
    <s v="Biological Sciences"/>
    <s v="Principles of Biology II"/>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55"/>
    <m/>
    <m/>
    <n v="515522"/>
    <d v="2019-02-07T00:00:00"/>
    <m/>
    <s v="12"/>
    <x v="5"/>
    <x v="1"/>
    <x v="14"/>
    <n v="4800"/>
    <m/>
    <x v="203"/>
    <x v="201"/>
    <s v="Introduction to Physics"/>
    <s v="PHYS 1111"/>
    <s v="Physics and Astronomy"/>
    <s v="Introduction to Physics"/>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56"/>
    <m/>
    <m/>
    <n v="515314"/>
    <d v="2019-01-07T00:00:00"/>
    <m/>
    <s v="12"/>
    <x v="5"/>
    <x v="1"/>
    <x v="1"/>
    <n v="4800"/>
    <m/>
    <x v="159"/>
    <x v="161"/>
    <s v="Database Systems"/>
    <s v="CSE 3153"/>
    <s v="Computing Disciplines"/>
    <s v="N"/>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57"/>
    <m/>
    <m/>
    <n v="515745"/>
    <d v="2019-04-04T00:00:00"/>
    <m/>
    <s v="12"/>
    <x v="5"/>
    <x v="1"/>
    <x v="5"/>
    <n v="4800"/>
    <m/>
    <x v="204"/>
    <x v="202"/>
    <s v="Principles of Microeconomics"/>
    <s v="ECON 2106"/>
    <s v="Business Administration, Management, and Economics"/>
    <s v="Principles of Microeconomics"/>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58"/>
    <m/>
    <m/>
    <n v="515300"/>
    <d v="2019-01-07T00:00:00"/>
    <m/>
    <s v="12"/>
    <x v="5"/>
    <x v="1"/>
    <x v="1"/>
    <n v="4800"/>
    <m/>
    <x v="205"/>
    <x v="203"/>
    <s v="Engineering Electronics"/>
    <s v="EE 3401"/>
    <s v="Engineering"/>
    <s v="N"/>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59"/>
    <m/>
    <m/>
    <n v="515299"/>
    <d v="2019-01-07T00:00:00"/>
    <m/>
    <s v="12"/>
    <x v="5"/>
    <x v="1"/>
    <x v="1"/>
    <n v="4800"/>
    <m/>
    <x v="206"/>
    <x v="204"/>
    <s v="Foundations of Health Information Technology"/>
    <s v="IT 3503, IT 6503"/>
    <s v="Computing Disciplines"/>
    <s v="N"/>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60"/>
    <m/>
    <m/>
    <n v="504413"/>
    <d v="2019-01-15T00:00:00"/>
    <m/>
    <s v="12"/>
    <x v="5"/>
    <x v="1"/>
    <x v="14"/>
    <n v="4800"/>
    <m/>
    <x v="133"/>
    <x v="135"/>
    <s v="American History I"/>
    <s v="HIST 2111"/>
    <s v="History"/>
    <s v="American History I "/>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61"/>
    <m/>
    <m/>
    <n v="515720"/>
    <m/>
    <m/>
    <s v="12"/>
    <x v="5"/>
    <x v="1"/>
    <x v="3"/>
    <n v="4240"/>
    <m/>
    <x v="207"/>
    <x v="54"/>
    <s v="English Composition I &amp; II"/>
    <s v="ENGL 1101, ENGL 1102"/>
    <s v="English"/>
    <s v="English Composition I &amp; II"/>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62"/>
    <m/>
    <m/>
    <n v="515351"/>
    <d v="2018-12-12T00:00:00"/>
    <m/>
    <s v="12"/>
    <x v="5"/>
    <x v="1"/>
    <x v="19"/>
    <n v="4800"/>
    <m/>
    <x v="208"/>
    <x v="151"/>
    <s v="Calculus I"/>
    <s v="MATH 1154"/>
    <s v="Mathematical Subjects"/>
    <s v="N"/>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63"/>
    <m/>
    <m/>
    <n v="515343"/>
    <d v="2019-01-15T00:00:00"/>
    <m/>
    <s v="12"/>
    <x v="5"/>
    <x v="1"/>
    <x v="14"/>
    <n v="4800"/>
    <m/>
    <x v="120"/>
    <x v="121"/>
    <s v="Principles of Nutrition, Principles of Human Nutrition"/>
    <s v="BIOL 2190, PHED 2202"/>
    <s v="Biological Sciences"/>
    <s v="N"/>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64"/>
    <m/>
    <m/>
    <n v="515312"/>
    <d v="2019-01-15T00:00:00"/>
    <m/>
    <s v="12"/>
    <x v="5"/>
    <x v="1"/>
    <x v="11"/>
    <n v="1600"/>
    <m/>
    <x v="209"/>
    <x v="205"/>
    <s v="Computer Science I"/>
    <s v="CPSC 1301"/>
    <s v="Computing Disciplines"/>
    <s v="Computer Science I"/>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65"/>
    <m/>
    <m/>
    <n v="515601"/>
    <d v="2019-03-22T00:00:00"/>
    <m/>
    <s v="12"/>
    <x v="5"/>
    <x v="1"/>
    <x v="14"/>
    <n v="4800"/>
    <m/>
    <x v="168"/>
    <x v="169"/>
    <s v="Foundations of Biology"/>
    <s v="BIOL 1010"/>
    <s v="Biological Sciences"/>
    <s v="N"/>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66"/>
    <m/>
    <m/>
    <n v="515342"/>
    <d v="2019-01-25T00:00:00"/>
    <m/>
    <s v="12"/>
    <x v="5"/>
    <x v="1"/>
    <x v="14"/>
    <n v="4800"/>
    <m/>
    <x v="136"/>
    <x v="138"/>
    <s v="Anatomy and Physiology II"/>
    <s v="BIOL 2122"/>
    <s v="Biological Sciences"/>
    <s v="N"/>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67"/>
    <m/>
    <m/>
    <n v="515285"/>
    <d v="2018-12-03T00:00:00"/>
    <m/>
    <s v="12"/>
    <x v="5"/>
    <x v="1"/>
    <x v="4"/>
    <n v="4800"/>
    <m/>
    <x v="210"/>
    <x v="206"/>
    <s v="CPR and First Aid"/>
    <s v="KH 2006"/>
    <s v="Nursing "/>
    <s v="N"/>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68"/>
    <m/>
    <m/>
    <n v="515298"/>
    <m/>
    <m/>
    <s v="12"/>
    <x v="5"/>
    <x v="1"/>
    <x v="1"/>
    <n v="2444"/>
    <m/>
    <x v="211"/>
    <x v="207"/>
    <s v="Ethical Hacking for Effective Defense"/>
    <s v="IT 4843"/>
    <s v="Computing Disciplines"/>
    <s v="N"/>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69"/>
    <m/>
    <m/>
    <n v="515313"/>
    <d v="2019-01-15T00:00:00"/>
    <m/>
    <s v="12"/>
    <x v="5"/>
    <x v="1"/>
    <x v="11"/>
    <n v="4800"/>
    <m/>
    <x v="212"/>
    <x v="208"/>
    <s v="Research Methods in Psychology"/>
    <s v="PSYC 3211"/>
    <s v="Psychology"/>
    <s v="N"/>
    <s v="In-Progress"/>
    <s v="In-Progress"/>
    <s v="In-progress"/>
    <x v="3"/>
    <s v="Not Measured"/>
    <s v="Not Measured"/>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70"/>
    <m/>
    <m/>
    <n v="515357"/>
    <d v="2019-01-25T00:00:00"/>
    <m/>
    <s v="Reacting Pilots"/>
    <x v="5"/>
    <x v="0"/>
    <x v="7"/>
    <n v="25000"/>
    <s v="Spring 2020"/>
    <x v="213"/>
    <x v="209"/>
    <s v="World History II, World Religions, Introduction to Religious Studies, First Year Experience"/>
    <s v="FYE 120, HIST 1112, IDS 2000, RELS 2100, RELS 2130, POLS 1150, CRJU 2010"/>
    <s v="History"/>
    <s v="World History II"/>
    <s v="In-Progress"/>
    <s v="In-Progress"/>
    <s v="In-progress"/>
    <x v="5"/>
    <s v="In Progress"/>
    <s v="In Progress"/>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71"/>
    <m/>
    <m/>
    <n v="515490"/>
    <d v="2019-01-25T00:00:00"/>
    <m/>
    <s v="Reacting Pilots"/>
    <x v="5"/>
    <x v="0"/>
    <x v="4"/>
    <n v="25000"/>
    <s v="Fall 2019"/>
    <x v="214"/>
    <x v="210"/>
    <s v="US History, Bills of Rights"/>
    <s v="HIST 2110, HIST 4460"/>
    <s v="History"/>
    <s v="US History II"/>
    <s v="In-Progress"/>
    <s v="In-Progress"/>
    <s v="In-progress"/>
    <x v="5"/>
    <s v="In Progress"/>
    <s v="In Progress"/>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72"/>
    <m/>
    <m/>
    <n v="515442"/>
    <d v="2019-03-01T00:00:00"/>
    <m/>
    <s v="Reacting Pilots"/>
    <x v="5"/>
    <x v="0"/>
    <x v="2"/>
    <n v="9000"/>
    <s v="Spring 2020"/>
    <x v="215"/>
    <x v="211"/>
    <s v="History of American Mass Media"/>
    <s v="JRLC 5490"/>
    <s v="Communication"/>
    <s v="N"/>
    <s v="In-Progress"/>
    <s v="In-Progress"/>
    <s v="In-progress"/>
    <x v="5"/>
    <s v="In Progress"/>
    <s v="In Progress"/>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73"/>
    <m/>
    <m/>
    <n v="515770"/>
    <m/>
    <m/>
    <s v="Reacting Pilots"/>
    <x v="5"/>
    <x v="0"/>
    <x v="2"/>
    <n v="25000"/>
    <s v="Spring 2020"/>
    <x v="216"/>
    <x v="212"/>
    <s v="Decision Making in International Relations, Crisis Diplomacy, The Politics of Cyber Security"/>
    <s v="INTL 4260, INTL 4285"/>
    <s v="Political Science"/>
    <s v="N"/>
    <s v="In-Progress"/>
    <s v="In-Progress"/>
    <s v="In-progress"/>
    <x v="5"/>
    <s v="In Progress"/>
    <s v="In Progress"/>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74"/>
    <m/>
    <m/>
    <n v="515352"/>
    <d v="2019-02-22T00:00:00"/>
    <m/>
    <s v="Reacting Pilots"/>
    <x v="5"/>
    <x v="0"/>
    <x v="2"/>
    <n v="8500"/>
    <s v="Spring 2020"/>
    <x v="217"/>
    <x v="213"/>
    <s v="Reacting to the Past"/>
    <s v="HIST 3115"/>
    <s v="History"/>
    <s v="N"/>
    <s v="In-Progress"/>
    <s v="In-Progress"/>
    <s v="In-progress"/>
    <x v="5"/>
    <s v="In Progress"/>
    <s v="In Progress"/>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75"/>
    <m/>
    <m/>
    <n v="515354"/>
    <d v="2019-01-15T00:00:00"/>
    <m/>
    <s v="Reacting Pilots"/>
    <x v="5"/>
    <x v="0"/>
    <x v="16"/>
    <n v="7500"/>
    <s v="Spring 2020"/>
    <x v="218"/>
    <x v="214"/>
    <s v="End of the British Empire in Africa"/>
    <s v="GC2Y 2000"/>
    <s v="History"/>
    <s v="N"/>
    <s v="In-Progress"/>
    <s v="In-Progress"/>
    <s v="In-progress"/>
    <x v="5"/>
    <s v="In Progress"/>
    <s v="In Progress"/>
    <n v="0"/>
    <n v="0"/>
    <n v="0"/>
    <n v="0"/>
    <n v="0"/>
    <n v="0"/>
    <s v="n/a"/>
    <s v="N"/>
    <m/>
    <m/>
    <s v="Mini-Grant"/>
    <n v="0"/>
    <n v="0"/>
    <n v="0"/>
    <n v="0"/>
    <n v="0"/>
    <n v="0"/>
    <n v="0"/>
    <n v="0"/>
    <n v="0"/>
    <n v="0"/>
    <n v="0"/>
    <n v="0"/>
    <n v="0"/>
    <n v="0"/>
    <n v="0"/>
    <n v="0"/>
    <n v="0"/>
    <n v="0"/>
    <n v="0"/>
    <n v="0"/>
    <n v="0"/>
    <n v="0"/>
    <n v="0"/>
    <n v="0"/>
    <n v="0"/>
    <n v="0"/>
    <n v="0"/>
    <n v="0"/>
    <x v="4"/>
    <n v="0"/>
    <n v="0"/>
    <n v="0"/>
    <n v="0"/>
    <n v="0"/>
    <n v="0"/>
    <n v="0"/>
    <n v="0"/>
    <n v="0"/>
    <n v="0"/>
    <n v="0"/>
    <n v="0"/>
    <n v="0"/>
    <n v="0"/>
    <s v="Mini-Grant"/>
    <n v="0"/>
    <n v="0"/>
    <n v="0"/>
    <n v="0"/>
    <n v="0"/>
    <n v="0"/>
    <n v="0"/>
    <n v="0"/>
    <n v="0"/>
    <n v="0"/>
    <n v="0"/>
    <n v="0"/>
    <n v="0"/>
    <n v="0"/>
    <n v="0"/>
    <s v="Mini-Grant"/>
    <n v="0"/>
    <n v="0"/>
    <n v="0"/>
    <n v="0"/>
    <n v="0"/>
    <n v="0"/>
    <m/>
    <n v="0"/>
    <n v="0"/>
    <n v="0"/>
    <n v="0"/>
    <n v="0"/>
    <n v="0"/>
    <n v="0"/>
    <n v="0"/>
    <n v="0"/>
    <n v="0"/>
    <n v="0"/>
  </r>
  <r>
    <x v="276"/>
    <m/>
    <s v="N"/>
    <n v="515678"/>
    <d v="2019-03-28T00:00:00"/>
    <m/>
    <s v="13"/>
    <x v="5"/>
    <x v="0"/>
    <x v="21"/>
    <n v="30000"/>
    <s v="Spring 2020"/>
    <x v="219"/>
    <x v="215"/>
    <s v="Programming Fundamentals"/>
    <s v="ITEC 2140"/>
    <s v="Computing Disciplines"/>
    <s v="N"/>
    <m/>
    <s v="N"/>
    <s v="In Progress"/>
    <x v="5"/>
    <s v="In Progress"/>
    <s v="In Progress"/>
    <n v="109200"/>
    <n v="624"/>
    <n v="175"/>
    <s v="48"/>
    <s v="288"/>
    <s v="288"/>
    <s v="Spring 2020"/>
    <s v="N"/>
    <m/>
    <m/>
    <s v="Continued"/>
    <n v="0"/>
    <n v="0"/>
    <n v="0"/>
    <n v="0"/>
    <n v="0"/>
    <n v="0"/>
    <n v="0"/>
    <n v="0"/>
    <n v="0"/>
    <n v="0"/>
    <n v="0"/>
    <n v="0"/>
    <n v="0"/>
    <n v="0"/>
    <n v="0"/>
    <n v="0"/>
    <n v="0"/>
    <n v="0"/>
    <n v="0"/>
    <n v="0"/>
    <n v="0"/>
    <n v="0"/>
    <n v="0"/>
    <n v="0"/>
    <n v="0"/>
    <n v="0"/>
    <n v="0"/>
    <n v="0"/>
    <x v="0"/>
    <n v="48"/>
    <n v="288"/>
    <n v="288"/>
    <n v="624"/>
    <n v="175"/>
    <n v="109200"/>
    <n v="0"/>
    <n v="0"/>
    <n v="0"/>
    <n v="0"/>
    <n v="0"/>
    <n v="0"/>
    <n v="0"/>
    <n v="0"/>
    <s v="Continued"/>
    <n v="48"/>
    <n v="288"/>
    <n v="288"/>
    <n v="624"/>
    <n v="175"/>
    <n v="109200"/>
    <s v="Spring 2020"/>
    <n v="0"/>
    <n v="0"/>
    <n v="0"/>
    <n v="0"/>
    <n v="288"/>
    <n v="50400"/>
    <n v="288"/>
    <n v="50400"/>
    <s v="Continued"/>
    <n v="48"/>
    <n v="288"/>
    <n v="288"/>
    <n v="624"/>
    <n v="175"/>
    <n v="109200"/>
    <m/>
    <n v="48"/>
    <n v="8400"/>
    <n v="288"/>
    <n v="50400"/>
    <n v="288"/>
    <n v="50400"/>
    <n v="624"/>
    <n v="109200"/>
    <n v="912"/>
    <n v="159600"/>
    <n v="5.32"/>
  </r>
  <r>
    <x v="277"/>
    <m/>
    <s v="N"/>
    <n v="515679"/>
    <d v="2019-03-28T00:00:00"/>
    <m/>
    <s v="13"/>
    <x v="5"/>
    <x v="0"/>
    <x v="21"/>
    <n v="10800"/>
    <s v="Spring 2020"/>
    <x v="220"/>
    <x v="216"/>
    <s v="Introduction to Databases"/>
    <s v="ITEC 3200"/>
    <s v="Computing Disciplines"/>
    <s v="N"/>
    <m/>
    <s v="N"/>
    <s v="In Progress"/>
    <x v="5"/>
    <s v="In Progress"/>
    <s v="In Progress"/>
    <n v="48048"/>
    <n v="364"/>
    <n v="132"/>
    <s v="28"/>
    <s v="168"/>
    <s v="168"/>
    <s v="Spring 2020"/>
    <s v="N"/>
    <m/>
    <m/>
    <s v="Continued"/>
    <n v="0"/>
    <n v="0"/>
    <n v="0"/>
    <n v="0"/>
    <n v="0"/>
    <n v="0"/>
    <n v="0"/>
    <n v="0"/>
    <n v="0"/>
    <n v="0"/>
    <n v="0"/>
    <n v="0"/>
    <n v="0"/>
    <n v="0"/>
    <n v="0"/>
    <n v="0"/>
    <n v="0"/>
    <n v="0"/>
    <n v="0"/>
    <n v="0"/>
    <n v="0"/>
    <n v="0"/>
    <n v="0"/>
    <n v="0"/>
    <n v="0"/>
    <n v="0"/>
    <n v="0"/>
    <n v="0"/>
    <x v="0"/>
    <n v="28"/>
    <n v="168"/>
    <n v="168"/>
    <n v="364"/>
    <n v="132"/>
    <n v="48048"/>
    <n v="0"/>
    <n v="0"/>
    <n v="0"/>
    <n v="0"/>
    <n v="0"/>
    <n v="0"/>
    <n v="0"/>
    <n v="0"/>
    <s v="Continued"/>
    <n v="28"/>
    <n v="168"/>
    <n v="168"/>
    <n v="364"/>
    <n v="132"/>
    <n v="48048"/>
    <s v="Spring 2020"/>
    <n v="0"/>
    <n v="0"/>
    <n v="0"/>
    <n v="0"/>
    <n v="168"/>
    <n v="22176"/>
    <n v="168"/>
    <n v="22176"/>
    <s v="Continued"/>
    <n v="28"/>
    <n v="168"/>
    <n v="168"/>
    <n v="364"/>
    <n v="132"/>
    <n v="48048"/>
    <m/>
    <n v="28"/>
    <n v="3696"/>
    <n v="168"/>
    <n v="22176"/>
    <n v="168"/>
    <n v="22176"/>
    <n v="364"/>
    <n v="48048"/>
    <n v="532"/>
    <n v="70224"/>
    <n v="6.5022222222222226"/>
  </r>
  <r>
    <x v="278"/>
    <m/>
    <s v="N"/>
    <n v="515680"/>
    <d v="2019-03-28T00:00:00"/>
    <m/>
    <s v="13"/>
    <x v="5"/>
    <x v="0"/>
    <x v="21"/>
    <n v="10800"/>
    <s v="Spring 2020"/>
    <x v="221"/>
    <x v="217"/>
    <s v="Introduction to Anthropology"/>
    <s v="ANTH 1102"/>
    <s v="Anthropology"/>
    <s v="Introduction to Anthropology"/>
    <m/>
    <s v="N"/>
    <s v="In Progress"/>
    <x v="5"/>
    <s v="In Progress"/>
    <s v="In Progress"/>
    <n v="67424"/>
    <n v="392"/>
    <n v="172"/>
    <s v="0"/>
    <s v="196"/>
    <s v="196"/>
    <s v="Spring 2020"/>
    <s v="N"/>
    <m/>
    <m/>
    <s v="Continued"/>
    <n v="0"/>
    <n v="0"/>
    <n v="0"/>
    <n v="0"/>
    <n v="0"/>
    <n v="0"/>
    <n v="0"/>
    <n v="0"/>
    <n v="0"/>
    <n v="0"/>
    <n v="0"/>
    <n v="0"/>
    <n v="0"/>
    <n v="0"/>
    <n v="0"/>
    <n v="0"/>
    <n v="0"/>
    <n v="0"/>
    <n v="0"/>
    <n v="0"/>
    <n v="0"/>
    <n v="0"/>
    <n v="0"/>
    <n v="0"/>
    <n v="0"/>
    <n v="0"/>
    <n v="0"/>
    <n v="0"/>
    <x v="0"/>
    <n v="0"/>
    <n v="196"/>
    <n v="196"/>
    <n v="392"/>
    <n v="172"/>
    <n v="67424"/>
    <n v="0"/>
    <n v="0"/>
    <n v="0"/>
    <n v="0"/>
    <n v="0"/>
    <n v="0"/>
    <n v="0"/>
    <n v="0"/>
    <s v="Continued"/>
    <n v="0"/>
    <n v="196"/>
    <n v="196"/>
    <n v="392"/>
    <n v="172"/>
    <n v="67424"/>
    <s v="Spring 2020"/>
    <n v="0"/>
    <n v="0"/>
    <n v="0"/>
    <n v="0"/>
    <n v="196"/>
    <n v="33712"/>
    <n v="196"/>
    <n v="33712"/>
    <s v="Continued"/>
    <n v="0"/>
    <n v="196"/>
    <n v="196"/>
    <n v="392"/>
    <n v="172"/>
    <n v="67424"/>
    <m/>
    <n v="0"/>
    <n v="0"/>
    <n v="196"/>
    <n v="33712"/>
    <n v="196"/>
    <n v="33712"/>
    <n v="392"/>
    <n v="67424"/>
    <n v="588"/>
    <n v="101136"/>
    <n v="9.3644444444444446"/>
  </r>
  <r>
    <x v="279"/>
    <m/>
    <s v="N"/>
    <n v="515681"/>
    <d v="2019-03-28T00:00:00"/>
    <m/>
    <s v="13"/>
    <x v="5"/>
    <x v="0"/>
    <x v="21"/>
    <n v="10800"/>
    <s v="Spring 2020"/>
    <x v="222"/>
    <x v="218"/>
    <s v="Introduction to Information Systems; Management Information Systems"/>
    <s v="ITEC 2201, BUSA 3100"/>
    <s v="Computing Disciplines"/>
    <s v="N"/>
    <m/>
    <s v="N"/>
    <s v="In Progress"/>
    <x v="5"/>
    <s v="In Progress"/>
    <s v="In Progress"/>
    <n v="61365"/>
    <n v="360"/>
    <n v="154.28"/>
    <s v="40"/>
    <s v="160"/>
    <s v="160"/>
    <s v="Spring 2020"/>
    <s v="N"/>
    <m/>
    <m/>
    <s v="Continued"/>
    <n v="0"/>
    <n v="0"/>
    <n v="0"/>
    <n v="0"/>
    <n v="0"/>
    <n v="0"/>
    <n v="0"/>
    <n v="0"/>
    <n v="0"/>
    <n v="0"/>
    <n v="0"/>
    <n v="0"/>
    <n v="0"/>
    <n v="0"/>
    <n v="0"/>
    <n v="0"/>
    <n v="0"/>
    <n v="0"/>
    <n v="0"/>
    <n v="0"/>
    <n v="0"/>
    <n v="0"/>
    <n v="0"/>
    <n v="0"/>
    <n v="0"/>
    <n v="0"/>
    <n v="0"/>
    <n v="0"/>
    <x v="0"/>
    <n v="40"/>
    <n v="160"/>
    <n v="160"/>
    <n v="360"/>
    <n v="154.28"/>
    <n v="55540.800000000003"/>
    <n v="0"/>
    <n v="0"/>
    <n v="0"/>
    <n v="0"/>
    <n v="0"/>
    <n v="0"/>
    <n v="0"/>
    <n v="0"/>
    <s v="Continued"/>
    <n v="40"/>
    <n v="160"/>
    <n v="160"/>
    <n v="360"/>
    <n v="154.28"/>
    <n v="55540.800000000003"/>
    <s v="Spring 2020"/>
    <n v="0"/>
    <n v="0"/>
    <n v="0"/>
    <n v="0"/>
    <n v="160"/>
    <n v="24684.799999999999"/>
    <n v="160"/>
    <n v="24684.799999999999"/>
    <s v="Continued"/>
    <n v="40"/>
    <n v="160"/>
    <n v="160"/>
    <n v="360"/>
    <n v="154.28"/>
    <n v="55540.800000000003"/>
    <m/>
    <n v="40"/>
    <n v="6171.2"/>
    <n v="160"/>
    <n v="24684.799999999999"/>
    <n v="160"/>
    <n v="24684.799999999999"/>
    <n v="360"/>
    <n v="55540.800000000003"/>
    <n v="520"/>
    <n v="80225.600000000006"/>
    <n v="7.4282962962962964"/>
  </r>
  <r>
    <x v="280"/>
    <m/>
    <s v="N"/>
    <n v="515677"/>
    <d v="2019-04-04T00:00:00"/>
    <m/>
    <s v="13"/>
    <x v="5"/>
    <x v="0"/>
    <x v="7"/>
    <n v="10800"/>
    <s v="Spring 2020"/>
    <x v="223"/>
    <x v="219"/>
    <s v="Data Structure; Theoretical Foundations"/>
    <s v="CSCI 3230; CSCI 3236"/>
    <s v="Computing Disciplines"/>
    <s v="N"/>
    <m/>
    <s v="N"/>
    <s v="In Progress"/>
    <x v="5"/>
    <s v="In Progress"/>
    <s v="In Progress"/>
    <n v="30000"/>
    <n v="85"/>
    <n v="148"/>
    <s v="25"/>
    <s v="33"/>
    <s v="27"/>
    <s v="Spring 2020"/>
    <s v="N"/>
    <m/>
    <m/>
    <s v="Continued"/>
    <n v="0"/>
    <n v="0"/>
    <n v="0"/>
    <n v="0"/>
    <n v="0"/>
    <n v="0"/>
    <n v="0"/>
    <n v="0"/>
    <n v="0"/>
    <n v="0"/>
    <n v="0"/>
    <n v="0"/>
    <n v="0"/>
    <n v="0"/>
    <n v="0"/>
    <n v="0"/>
    <n v="0"/>
    <n v="0"/>
    <n v="0"/>
    <n v="0"/>
    <n v="0"/>
    <n v="0"/>
    <n v="0"/>
    <n v="0"/>
    <n v="0"/>
    <n v="0"/>
    <n v="0"/>
    <n v="0"/>
    <x v="0"/>
    <n v="25"/>
    <n v="33"/>
    <n v="27"/>
    <n v="85"/>
    <n v="148"/>
    <n v="12580"/>
    <n v="0"/>
    <n v="0"/>
    <n v="0"/>
    <n v="0"/>
    <n v="0"/>
    <n v="0"/>
    <n v="0"/>
    <n v="0"/>
    <s v="Continued"/>
    <n v="25"/>
    <n v="33"/>
    <n v="27"/>
    <n v="85"/>
    <n v="148"/>
    <n v="12580"/>
    <s v="Spring 2020"/>
    <n v="0"/>
    <n v="0"/>
    <n v="0"/>
    <n v="0"/>
    <n v="27"/>
    <n v="3996"/>
    <n v="27"/>
    <n v="3996"/>
    <s v="Continued"/>
    <n v="25"/>
    <n v="33"/>
    <n v="27"/>
    <n v="85"/>
    <n v="148"/>
    <n v="12580"/>
    <m/>
    <n v="25"/>
    <n v="3700"/>
    <n v="33"/>
    <n v="4884"/>
    <n v="27"/>
    <n v="3996"/>
    <n v="85"/>
    <n v="12580"/>
    <n v="112"/>
    <n v="16576"/>
    <n v="1.5348148148148149"/>
  </r>
  <r>
    <x v="281"/>
    <m/>
    <s v="N"/>
    <n v="515721"/>
    <d v="2019-04-04T00:00:00"/>
    <m/>
    <s v="13"/>
    <x v="5"/>
    <x v="0"/>
    <x v="11"/>
    <n v="20800"/>
    <s v="Spring 2020"/>
    <x v="224"/>
    <x v="220"/>
    <s v="Professional Clinical Nursing; Health Assessment; Pathophysiology; Evidence Based Practice"/>
    <s v="NURS 3191; NURS 3293; NURS 3194; NURS 31295"/>
    <s v="Nursing "/>
    <s v="N"/>
    <m/>
    <s v="N"/>
    <s v="In Progress"/>
    <x v="5"/>
    <s v="In Progress"/>
    <s v="In Progress"/>
    <n v="187499"/>
    <n v="558"/>
    <n v="336"/>
    <s v="80"/>
    <s v="187"/>
    <s v="291"/>
    <s v="Spring 2020"/>
    <s v="N"/>
    <m/>
    <m/>
    <s v="Continued"/>
    <n v="0"/>
    <n v="0"/>
    <n v="0"/>
    <n v="0"/>
    <n v="0"/>
    <n v="0"/>
    <n v="0"/>
    <n v="0"/>
    <n v="0"/>
    <n v="0"/>
    <n v="0"/>
    <n v="0"/>
    <n v="0"/>
    <n v="0"/>
    <n v="0"/>
    <n v="0"/>
    <n v="0"/>
    <n v="0"/>
    <n v="0"/>
    <n v="0"/>
    <n v="0"/>
    <n v="0"/>
    <n v="0"/>
    <n v="0"/>
    <n v="0"/>
    <n v="0"/>
    <n v="0"/>
    <n v="0"/>
    <x v="0"/>
    <n v="80"/>
    <n v="187"/>
    <n v="291"/>
    <n v="558"/>
    <n v="336"/>
    <n v="187488"/>
    <n v="0"/>
    <n v="0"/>
    <n v="0"/>
    <n v="0"/>
    <n v="0"/>
    <n v="0"/>
    <n v="0"/>
    <n v="0"/>
    <s v="Continued"/>
    <n v="80"/>
    <n v="187"/>
    <n v="291"/>
    <n v="558"/>
    <n v="336"/>
    <n v="187488"/>
    <s v="Spring 2020"/>
    <n v="0"/>
    <n v="0"/>
    <n v="0"/>
    <n v="0"/>
    <n v="291"/>
    <n v="97776"/>
    <n v="291"/>
    <n v="97776"/>
    <s v="Continued"/>
    <n v="80"/>
    <n v="187"/>
    <n v="291"/>
    <n v="558"/>
    <n v="336"/>
    <n v="187488"/>
    <m/>
    <n v="80"/>
    <n v="26880"/>
    <n v="187"/>
    <n v="62832"/>
    <n v="291"/>
    <n v="97776"/>
    <n v="558"/>
    <n v="187488"/>
    <n v="849"/>
    <n v="285264"/>
    <n v="13.714615384615385"/>
  </r>
  <r>
    <x v="282"/>
    <m/>
    <s v="N"/>
    <n v="515722"/>
    <d v="2019-04-04T00:00:00"/>
    <m/>
    <s v="13"/>
    <x v="5"/>
    <x v="0"/>
    <x v="11"/>
    <n v="10800"/>
    <s v="Spring 2020"/>
    <x v="225"/>
    <x v="221"/>
    <s v="Introductory Physics 1 and Principles of Physics 1"/>
    <s v="PHYS 1111 and PHYS 2211"/>
    <s v="Physics and Astronomy"/>
    <s v="Principles of Physics I, Introductory Physics I"/>
    <m/>
    <s v="Y"/>
    <s v="In Progress"/>
    <x v="5"/>
    <s v="In Progress"/>
    <s v="In Progress"/>
    <n v="42168"/>
    <n v="216"/>
    <n v="251"/>
    <s v="24"/>
    <s v="72"/>
    <s v="120"/>
    <s v="Spring 2020"/>
    <s v="N"/>
    <m/>
    <m/>
    <s v="Continued"/>
    <n v="0"/>
    <n v="0"/>
    <n v="0"/>
    <n v="0"/>
    <n v="0"/>
    <n v="0"/>
    <n v="0"/>
    <n v="0"/>
    <n v="0"/>
    <n v="0"/>
    <n v="0"/>
    <n v="0"/>
    <n v="0"/>
    <n v="0"/>
    <n v="0"/>
    <n v="0"/>
    <n v="0"/>
    <n v="0"/>
    <n v="0"/>
    <n v="0"/>
    <n v="0"/>
    <n v="0"/>
    <n v="0"/>
    <n v="0"/>
    <n v="0"/>
    <n v="0"/>
    <n v="0"/>
    <n v="0"/>
    <x v="0"/>
    <n v="24"/>
    <n v="72"/>
    <n v="120"/>
    <n v="216"/>
    <n v="251"/>
    <n v="54216"/>
    <n v="0"/>
    <n v="0"/>
    <n v="0"/>
    <n v="0"/>
    <n v="0"/>
    <n v="0"/>
    <n v="0"/>
    <n v="0"/>
    <s v="Continued"/>
    <n v="24"/>
    <n v="72"/>
    <n v="120"/>
    <n v="216"/>
    <n v="251"/>
    <n v="54216"/>
    <s v="Spring 2020"/>
    <n v="0"/>
    <n v="0"/>
    <n v="0"/>
    <n v="0"/>
    <n v="120"/>
    <n v="30120"/>
    <n v="120"/>
    <n v="30120"/>
    <s v="Continued"/>
    <n v="24"/>
    <n v="72"/>
    <n v="120"/>
    <n v="216"/>
    <n v="251"/>
    <n v="54216"/>
    <m/>
    <n v="24"/>
    <n v="6024"/>
    <n v="72"/>
    <n v="18072"/>
    <n v="120"/>
    <n v="30120"/>
    <n v="216"/>
    <n v="54216"/>
    <n v="336"/>
    <n v="84336"/>
    <n v="7.8088888888888892"/>
  </r>
  <r>
    <x v="283"/>
    <s v="Completed"/>
    <s v="N"/>
    <n v="516279"/>
    <m/>
    <m/>
    <s v="13"/>
    <x v="5"/>
    <x v="0"/>
    <x v="11"/>
    <n v="10800"/>
    <s v="Fall 2019"/>
    <x v="226"/>
    <x v="222"/>
    <s v="Descriptive Astronomy 1: The Solar System"/>
    <s v="ASTR 1105"/>
    <s v="Physics and Astronomy"/>
    <m/>
    <m/>
    <s v="Y"/>
    <s v="In Progress"/>
    <x v="2"/>
    <s v="Positive"/>
    <s v="Positive"/>
    <n v="12628"/>
    <n v="82"/>
    <n v="154"/>
    <s v="41"/>
    <s v="41"/>
    <s v="0"/>
    <s v="Fall 2019"/>
    <s v="N"/>
    <m/>
    <m/>
    <s v="Continued"/>
    <n v="0"/>
    <n v="0"/>
    <n v="0"/>
    <n v="0"/>
    <n v="0"/>
    <n v="0"/>
    <n v="0"/>
    <n v="0"/>
    <n v="0"/>
    <n v="0"/>
    <n v="0"/>
    <n v="0"/>
    <n v="0"/>
    <n v="0"/>
    <n v="0"/>
    <n v="0"/>
    <n v="0"/>
    <n v="0"/>
    <n v="0"/>
    <n v="0"/>
    <n v="0"/>
    <n v="0"/>
    <n v="0"/>
    <n v="0"/>
    <n v="0"/>
    <n v="0"/>
    <n v="0"/>
    <n v="0"/>
    <x v="0"/>
    <n v="41"/>
    <n v="41"/>
    <n v="0"/>
    <n v="82"/>
    <n v="154"/>
    <n v="12628"/>
    <n v="0"/>
    <n v="0"/>
    <n v="0"/>
    <n v="0"/>
    <n v="0"/>
    <n v="0"/>
    <n v="0"/>
    <n v="0"/>
    <s v="Continued"/>
    <n v="41"/>
    <n v="41"/>
    <n v="0"/>
    <n v="82"/>
    <n v="154"/>
    <n v="12628"/>
    <s v="Fall 2019"/>
    <n v="0"/>
    <n v="0"/>
    <n v="41"/>
    <n v="6314"/>
    <n v="0"/>
    <n v="0"/>
    <n v="41"/>
    <n v="6314"/>
    <s v="Unknown"/>
    <n v="41"/>
    <n v="41"/>
    <n v="0"/>
    <n v="0"/>
    <n v="154"/>
    <n v="0"/>
    <m/>
    <n v="0"/>
    <n v="0"/>
    <n v="0"/>
    <n v="0"/>
    <n v="0"/>
    <n v="0"/>
    <n v="0"/>
    <n v="0"/>
    <n v="41"/>
    <n v="6314"/>
    <n v="0.58462962962962961"/>
  </r>
  <r>
    <x v="284"/>
    <m/>
    <s v="N"/>
    <n v="515788"/>
    <m/>
    <m/>
    <s v="13"/>
    <x v="5"/>
    <x v="0"/>
    <x v="8"/>
    <n v="30000"/>
    <s v="Spring 2020"/>
    <x v="227"/>
    <x v="223"/>
    <s v="Principles of Macroeconomics"/>
    <s v="ECON2105"/>
    <s v="Business Administration, Management, and Economics"/>
    <m/>
    <m/>
    <s v="Y"/>
    <s v="In Progress"/>
    <x v="5"/>
    <s v="In Progress"/>
    <s v="In Progress"/>
    <n v="173825"/>
    <n v="850"/>
    <n v="204.5"/>
    <s v="50"/>
    <s v="400"/>
    <s v="400"/>
    <s v="Spring 2020"/>
    <s v="N"/>
    <m/>
    <m/>
    <s v="Continued"/>
    <n v="0"/>
    <n v="0"/>
    <n v="0"/>
    <n v="0"/>
    <n v="0"/>
    <n v="0"/>
    <n v="0"/>
    <n v="0"/>
    <n v="0"/>
    <n v="0"/>
    <n v="0"/>
    <n v="0"/>
    <n v="0"/>
    <n v="0"/>
    <n v="0"/>
    <n v="0"/>
    <n v="0"/>
    <n v="0"/>
    <n v="0"/>
    <n v="0"/>
    <n v="0"/>
    <n v="0"/>
    <n v="0"/>
    <n v="0"/>
    <n v="0"/>
    <n v="0"/>
    <n v="0"/>
    <n v="0"/>
    <x v="0"/>
    <n v="50"/>
    <n v="400"/>
    <n v="400"/>
    <n v="850"/>
    <n v="204.5"/>
    <n v="173825"/>
    <n v="0"/>
    <n v="0"/>
    <n v="0"/>
    <n v="0"/>
    <n v="0"/>
    <n v="0"/>
    <n v="0"/>
    <n v="0"/>
    <s v="Continued"/>
    <n v="50"/>
    <n v="400"/>
    <n v="400"/>
    <n v="850"/>
    <n v="204.5"/>
    <n v="173825"/>
    <s v="Spring 2020"/>
    <n v="0"/>
    <n v="0"/>
    <n v="0"/>
    <n v="0"/>
    <n v="400"/>
    <n v="81800"/>
    <n v="400"/>
    <n v="81800"/>
    <s v="Continued"/>
    <n v="50"/>
    <n v="400"/>
    <n v="400"/>
    <n v="850"/>
    <n v="204.5"/>
    <n v="173825"/>
    <m/>
    <n v="50"/>
    <n v="10225"/>
    <n v="400"/>
    <n v="81800"/>
    <n v="400"/>
    <n v="81800"/>
    <n v="850"/>
    <n v="173825"/>
    <n v="1250"/>
    <n v="255625"/>
    <n v="8.5208333333333339"/>
  </r>
  <r>
    <x v="285"/>
    <m/>
    <s v="N"/>
    <n v="515675"/>
    <d v="2019-03-28T00:00:00"/>
    <m/>
    <s v="13"/>
    <x v="5"/>
    <x v="0"/>
    <x v="8"/>
    <n v="30000"/>
    <s v="Spring 2020"/>
    <x v="228"/>
    <x v="224"/>
    <s v="Creative Decisions and Design"/>
    <s v="ME 2110"/>
    <s v="Engineering"/>
    <m/>
    <m/>
    <s v="N"/>
    <s v="In Progress"/>
    <x v="5"/>
    <s v="In Progress"/>
    <s v="In Progress"/>
    <n v="147798"/>
    <n v="600"/>
    <n v="246.33"/>
    <s v="100"/>
    <s v="275"/>
    <s v="225"/>
    <s v="Spring 2020"/>
    <s v="N"/>
    <m/>
    <m/>
    <s v="Continued"/>
    <n v="0"/>
    <n v="0"/>
    <n v="0"/>
    <n v="0"/>
    <n v="0"/>
    <n v="0"/>
    <n v="0"/>
    <n v="0"/>
    <n v="0"/>
    <n v="0"/>
    <n v="0"/>
    <n v="0"/>
    <n v="0"/>
    <n v="0"/>
    <n v="0"/>
    <n v="0"/>
    <n v="0"/>
    <n v="0"/>
    <n v="0"/>
    <n v="0"/>
    <n v="0"/>
    <n v="0"/>
    <n v="0"/>
    <n v="0"/>
    <n v="0"/>
    <n v="0"/>
    <n v="0"/>
    <n v="0"/>
    <x v="0"/>
    <n v="100"/>
    <n v="275"/>
    <n v="225"/>
    <n v="600"/>
    <n v="246.33"/>
    <n v="147798"/>
    <n v="0"/>
    <n v="0"/>
    <n v="0"/>
    <n v="0"/>
    <n v="0"/>
    <n v="0"/>
    <n v="0"/>
    <n v="0"/>
    <s v="Continued"/>
    <n v="100"/>
    <n v="275"/>
    <n v="225"/>
    <n v="600"/>
    <n v="246.33"/>
    <n v="147798"/>
    <s v="Spring 2020"/>
    <n v="0"/>
    <n v="0"/>
    <n v="0"/>
    <n v="0"/>
    <n v="225"/>
    <n v="55424.25"/>
    <n v="225"/>
    <n v="55424.25"/>
    <s v="Continued"/>
    <n v="100"/>
    <n v="275"/>
    <n v="225"/>
    <n v="600"/>
    <n v="246.33"/>
    <n v="147798"/>
    <m/>
    <n v="100"/>
    <n v="24633"/>
    <n v="275"/>
    <n v="67740.75"/>
    <n v="225"/>
    <n v="55424.25"/>
    <n v="600"/>
    <n v="147798"/>
    <n v="825"/>
    <n v="203222.25"/>
    <n v="6.7740749999999998"/>
  </r>
  <r>
    <x v="286"/>
    <m/>
    <s v="N"/>
    <n v="515719"/>
    <d v="2019-04-04T00:00:00"/>
    <m/>
    <s v="13"/>
    <x v="5"/>
    <x v="0"/>
    <x v="14"/>
    <n v="10800"/>
    <s v="Spring 2020"/>
    <x v="229"/>
    <x v="196"/>
    <s v="Introduction to Nursing, Foundations of Nursing,"/>
    <s v="NURS 1000, NURS 1100, NURS 1200, NURS 1400, 2500, 2600, 2650"/>
    <s v="Nursing "/>
    <m/>
    <m/>
    <s v="N"/>
    <s v="In Progress"/>
    <x v="5"/>
    <s v="In Progress"/>
    <s v="In Progress"/>
    <n v="41321"/>
    <n v="370"/>
    <n v="94.99"/>
    <s v="50"/>
    <s v="128"/>
    <s v="192"/>
    <s v="Spring 2020"/>
    <s v="N"/>
    <m/>
    <m/>
    <s v="Continued"/>
    <n v="0"/>
    <n v="0"/>
    <n v="0"/>
    <n v="0"/>
    <n v="0"/>
    <n v="0"/>
    <n v="0"/>
    <n v="0"/>
    <n v="0"/>
    <n v="0"/>
    <n v="0"/>
    <n v="0"/>
    <n v="0"/>
    <n v="0"/>
    <n v="0"/>
    <n v="0"/>
    <n v="0"/>
    <n v="0"/>
    <n v="0"/>
    <n v="0"/>
    <n v="0"/>
    <n v="0"/>
    <n v="0"/>
    <n v="0"/>
    <n v="0"/>
    <n v="0"/>
    <n v="0"/>
    <n v="0"/>
    <x v="0"/>
    <n v="50"/>
    <n v="128"/>
    <n v="192"/>
    <n v="370"/>
    <n v="94.99"/>
    <n v="35146.299999999996"/>
    <n v="0"/>
    <n v="0"/>
    <n v="0"/>
    <n v="0"/>
    <n v="0"/>
    <n v="0"/>
    <n v="0"/>
    <n v="0"/>
    <s v="Continued"/>
    <n v="50"/>
    <n v="128"/>
    <n v="192"/>
    <n v="370"/>
    <n v="94.99"/>
    <n v="35146.299999999996"/>
    <s v="Spring 2020"/>
    <n v="0"/>
    <n v="0"/>
    <n v="0"/>
    <n v="0"/>
    <n v="192"/>
    <n v="18238.079999999998"/>
    <n v="192"/>
    <n v="18238.079999999998"/>
    <s v="Continued"/>
    <n v="50"/>
    <n v="128"/>
    <n v="192"/>
    <n v="370"/>
    <n v="94.99"/>
    <n v="35146.299999999996"/>
    <m/>
    <n v="50"/>
    <n v="4749.5"/>
    <n v="128"/>
    <n v="12158.72"/>
    <n v="192"/>
    <n v="18238.079999999998"/>
    <n v="370"/>
    <n v="35146.300000000003"/>
    <n v="562"/>
    <n v="53384.380000000005"/>
    <n v="4.9429981481481482"/>
  </r>
  <r>
    <x v="287"/>
    <m/>
    <s v="N"/>
    <n v="515789"/>
    <d v="2019-04-23T00:00:00"/>
    <m/>
    <s v="13"/>
    <x v="5"/>
    <x v="0"/>
    <x v="10"/>
    <n v="30000"/>
    <s v="Spring 2020"/>
    <x v="230"/>
    <x v="225"/>
    <s v="Music Appreciation"/>
    <s v="MUSC 1100"/>
    <s v="Fine and Applied Arts"/>
    <m/>
    <m/>
    <s v="Y"/>
    <s v="In Progress"/>
    <x v="5"/>
    <s v="In Progress"/>
    <s v="In Progress"/>
    <n v="135066"/>
    <n v="1175"/>
    <n v="114.95"/>
    <s v="60"/>
    <s v="597"/>
    <s v="518"/>
    <s v="Spring 2020"/>
    <s v="N"/>
    <m/>
    <m/>
    <s v="Continued"/>
    <n v="0"/>
    <n v="0"/>
    <n v="0"/>
    <n v="0"/>
    <n v="0"/>
    <n v="0"/>
    <n v="0"/>
    <n v="0"/>
    <n v="0"/>
    <n v="0"/>
    <n v="0"/>
    <n v="0"/>
    <n v="0"/>
    <n v="0"/>
    <n v="0"/>
    <n v="0"/>
    <n v="0"/>
    <n v="0"/>
    <n v="0"/>
    <n v="0"/>
    <n v="0"/>
    <n v="0"/>
    <n v="0"/>
    <n v="0"/>
    <n v="0"/>
    <n v="0"/>
    <n v="0"/>
    <n v="0"/>
    <x v="0"/>
    <n v="60"/>
    <n v="597"/>
    <n v="518"/>
    <n v="1175"/>
    <n v="114.95"/>
    <n v="135066.25"/>
    <n v="0"/>
    <n v="0"/>
    <n v="0"/>
    <n v="0"/>
    <n v="0"/>
    <n v="0"/>
    <n v="0"/>
    <n v="0"/>
    <s v="Continued"/>
    <n v="60"/>
    <n v="597"/>
    <n v="518"/>
    <n v="1175"/>
    <n v="114.95"/>
    <n v="135066.25"/>
    <s v="Spring 2020"/>
    <n v="0"/>
    <n v="0"/>
    <n v="0"/>
    <n v="0"/>
    <n v="518"/>
    <n v="59544.1"/>
    <n v="518"/>
    <n v="59544.1"/>
    <s v="Continued"/>
    <n v="60"/>
    <n v="597"/>
    <n v="518"/>
    <n v="1175"/>
    <n v="114.95"/>
    <n v="135066.25"/>
    <m/>
    <n v="60"/>
    <n v="6897"/>
    <n v="597"/>
    <n v="68625.150000000009"/>
    <n v="518"/>
    <n v="59544.1"/>
    <n v="1175"/>
    <n v="135066.25"/>
    <n v="1693"/>
    <n v="194610.35"/>
    <n v="6.4870116666666666"/>
  </r>
  <r>
    <x v="288"/>
    <m/>
    <s v="N"/>
    <n v="515765"/>
    <m/>
    <m/>
    <s v="13"/>
    <x v="5"/>
    <x v="0"/>
    <x v="1"/>
    <n v="30000"/>
    <s v="Spring 2020"/>
    <x v="50"/>
    <x v="50"/>
    <s v="IT 5413: Software Design and Development IT 5423: Computer Networks and System Administration IT 6773: Practical Data Analytics IT 7833: IT Strategy, Policy, and Governance IT 7993: IT Capstone"/>
    <s v="IT 5413,IT 5423, IT 6773, IT 7833, IT 7993"/>
    <s v="Computing Disciplines"/>
    <m/>
    <m/>
    <s v="N"/>
    <s v="In Progress"/>
    <x v="5"/>
    <s v="In Progress"/>
    <s v="In Progress"/>
    <n v="70544"/>
    <n v="470"/>
    <n v="150.09"/>
    <s v="60"/>
    <s v="220"/>
    <s v="190"/>
    <s v="Spring 2020"/>
    <s v="N"/>
    <m/>
    <m/>
    <s v="Continued"/>
    <n v="0"/>
    <n v="0"/>
    <n v="0"/>
    <n v="0"/>
    <n v="0"/>
    <n v="0"/>
    <n v="0"/>
    <n v="0"/>
    <n v="0"/>
    <n v="0"/>
    <n v="0"/>
    <n v="0"/>
    <n v="0"/>
    <n v="0"/>
    <n v="0"/>
    <n v="0"/>
    <n v="0"/>
    <n v="0"/>
    <n v="0"/>
    <n v="0"/>
    <n v="0"/>
    <n v="0"/>
    <n v="0"/>
    <n v="0"/>
    <n v="0"/>
    <n v="0"/>
    <n v="0"/>
    <n v="0"/>
    <x v="0"/>
    <n v="60"/>
    <n v="220"/>
    <n v="190"/>
    <n v="470"/>
    <n v="150.09"/>
    <n v="70542.3"/>
    <n v="0"/>
    <n v="0"/>
    <n v="0"/>
    <n v="0"/>
    <n v="0"/>
    <n v="0"/>
    <n v="0"/>
    <n v="0"/>
    <s v="Continued"/>
    <n v="60"/>
    <n v="220"/>
    <n v="190"/>
    <n v="470"/>
    <n v="150.09"/>
    <n v="70542.3"/>
    <s v="Spring 2020"/>
    <n v="0"/>
    <n v="0"/>
    <n v="0"/>
    <n v="0"/>
    <n v="190"/>
    <n v="28517.100000000002"/>
    <n v="190"/>
    <n v="28517.100000000002"/>
    <s v="Continued"/>
    <n v="60"/>
    <n v="220"/>
    <n v="190"/>
    <n v="470"/>
    <n v="150.09"/>
    <n v="70542.3"/>
    <m/>
    <n v="60"/>
    <n v="9005.4"/>
    <n v="220"/>
    <n v="33019.800000000003"/>
    <n v="190"/>
    <n v="28517.100000000002"/>
    <n v="470"/>
    <n v="70542.3"/>
    <n v="660"/>
    <n v="99059.400000000009"/>
    <n v="3.3019800000000004"/>
  </r>
  <r>
    <x v="289"/>
    <s v="Completed"/>
    <s v="N"/>
    <n v="515866"/>
    <m/>
    <m/>
    <s v="13"/>
    <x v="5"/>
    <x v="0"/>
    <x v="19"/>
    <n v="10800"/>
    <s v="Fall 2019"/>
    <x v="47"/>
    <x v="116"/>
    <s v="Mathematics Modeling"/>
    <s v="MATH 1101"/>
    <s v="Mathematical Subjects"/>
    <m/>
    <m/>
    <s v="Y"/>
    <s v="In Progress"/>
    <x v="2"/>
    <s v="Negative"/>
    <s v="Neutral"/>
    <n v="54925"/>
    <n v="325"/>
    <n v="169"/>
    <s v="23"/>
    <s v="200"/>
    <s v="102"/>
    <s v="Fall 2019"/>
    <s v="N"/>
    <m/>
    <m/>
    <s v="Continued"/>
    <n v="0"/>
    <n v="0"/>
    <n v="0"/>
    <n v="0"/>
    <n v="0"/>
    <n v="0"/>
    <n v="0"/>
    <n v="0"/>
    <n v="0"/>
    <n v="0"/>
    <n v="0"/>
    <n v="0"/>
    <n v="0"/>
    <n v="0"/>
    <n v="0"/>
    <n v="0"/>
    <n v="0"/>
    <n v="0"/>
    <n v="0"/>
    <n v="0"/>
    <n v="0"/>
    <n v="0"/>
    <n v="0"/>
    <n v="0"/>
    <n v="0"/>
    <n v="0"/>
    <n v="0"/>
    <n v="0"/>
    <x v="0"/>
    <n v="23"/>
    <n v="200"/>
    <n v="102"/>
    <n v="325"/>
    <n v="169"/>
    <n v="54925"/>
    <n v="0"/>
    <n v="0"/>
    <n v="0"/>
    <n v="0"/>
    <n v="0"/>
    <n v="0"/>
    <n v="0"/>
    <n v="0"/>
    <s v="Continued"/>
    <n v="23"/>
    <n v="200"/>
    <n v="102"/>
    <n v="325"/>
    <n v="169"/>
    <n v="54925"/>
    <s v="Fall 2019"/>
    <n v="0"/>
    <n v="0"/>
    <n v="200"/>
    <n v="33800"/>
    <n v="102"/>
    <n v="17238"/>
    <n v="302"/>
    <n v="51038"/>
    <s v="Unknown"/>
    <n v="23"/>
    <n v="200"/>
    <n v="102"/>
    <n v="0"/>
    <n v="169"/>
    <n v="0"/>
    <m/>
    <n v="0"/>
    <n v="0"/>
    <n v="0"/>
    <n v="0"/>
    <n v="0"/>
    <n v="0"/>
    <n v="0"/>
    <n v="0"/>
    <n v="302"/>
    <n v="51038"/>
    <n v="4.7257407407407408"/>
  </r>
  <r>
    <x v="290"/>
    <m/>
    <s v="N"/>
    <n v="516182"/>
    <m/>
    <m/>
    <s v="13"/>
    <x v="5"/>
    <x v="0"/>
    <x v="25"/>
    <n v="10800"/>
    <s v="Spring 2020"/>
    <x v="231"/>
    <x v="226"/>
    <s v="Human Anatomy and Physiology I and II Lab"/>
    <s v="BLAB 2241 and BLAB 2242"/>
    <s v="Biological Sciences"/>
    <m/>
    <m/>
    <s v="Y"/>
    <s v="In Progress"/>
    <x v="5"/>
    <s v="In Progress"/>
    <s v="In Progress"/>
    <n v="36997"/>
    <n v="98"/>
    <n v="141.75"/>
    <n v="25"/>
    <n v="39"/>
    <n v="34"/>
    <s v="Spring 2020"/>
    <s v="N"/>
    <m/>
    <m/>
    <s v="Continued"/>
    <n v="0"/>
    <n v="0"/>
    <n v="0"/>
    <n v="0"/>
    <n v="0"/>
    <n v="0"/>
    <n v="0"/>
    <n v="0"/>
    <n v="0"/>
    <n v="0"/>
    <n v="0"/>
    <n v="0"/>
    <n v="0"/>
    <n v="0"/>
    <n v="0"/>
    <n v="0"/>
    <n v="0"/>
    <n v="0"/>
    <n v="0"/>
    <n v="0"/>
    <n v="0"/>
    <n v="0"/>
    <n v="0"/>
    <n v="0"/>
    <n v="0"/>
    <n v="0"/>
    <n v="0"/>
    <n v="0"/>
    <x v="0"/>
    <n v="25"/>
    <n v="39"/>
    <n v="34"/>
    <n v="98"/>
    <n v="141.75"/>
    <n v="13891.5"/>
    <n v="0"/>
    <n v="0"/>
    <n v="0"/>
    <n v="0"/>
    <n v="0"/>
    <n v="0"/>
    <n v="0"/>
    <n v="0"/>
    <s v="Continued"/>
    <n v="25"/>
    <n v="39"/>
    <n v="34"/>
    <n v="98"/>
    <n v="141.75"/>
    <n v="13891.5"/>
    <s v="Spring 2020"/>
    <n v="0"/>
    <n v="0"/>
    <n v="0"/>
    <n v="0"/>
    <n v="34"/>
    <n v="4819.5"/>
    <n v="34"/>
    <n v="4819.5"/>
    <s v="Continued"/>
    <n v="25"/>
    <n v="39"/>
    <n v="34"/>
    <n v="98"/>
    <n v="141.75"/>
    <n v="13891.5"/>
    <m/>
    <n v="25"/>
    <n v="3543.75"/>
    <n v="39"/>
    <n v="5528.25"/>
    <n v="34"/>
    <n v="4819.5"/>
    <n v="98"/>
    <n v="13891.5"/>
    <n v="132"/>
    <n v="18711"/>
    <n v="1.7324999999999999"/>
  </r>
  <r>
    <x v="291"/>
    <m/>
    <s v="N"/>
    <n v="516193"/>
    <m/>
    <m/>
    <s v="13"/>
    <x v="5"/>
    <x v="0"/>
    <x v="25"/>
    <n v="10800"/>
    <s v="Spring 2020"/>
    <x v="232"/>
    <x v="227"/>
    <s v="Fundamentals of Microbiology/Fundamentals of Microbiology Lab"/>
    <s v="BIOL 2215/BLAB 2215"/>
    <s v="Biological Sciences"/>
    <m/>
    <m/>
    <s v="Y"/>
    <s v="In Progress"/>
    <x v="5"/>
    <s v="In Progress"/>
    <s v="In Progress"/>
    <n v="36950"/>
    <n v="177"/>
    <n v="381.75"/>
    <n v="42"/>
    <n v="63"/>
    <n v="72"/>
    <s v="Spring 2020"/>
    <s v="N"/>
    <m/>
    <m/>
    <s v="Continued"/>
    <n v="0"/>
    <n v="0"/>
    <n v="0"/>
    <n v="0"/>
    <n v="0"/>
    <n v="0"/>
    <n v="0"/>
    <n v="0"/>
    <n v="0"/>
    <n v="0"/>
    <n v="0"/>
    <n v="0"/>
    <n v="0"/>
    <n v="0"/>
    <n v="0"/>
    <n v="0"/>
    <n v="0"/>
    <n v="0"/>
    <n v="0"/>
    <n v="0"/>
    <n v="0"/>
    <n v="0"/>
    <n v="0"/>
    <n v="0"/>
    <n v="0"/>
    <n v="0"/>
    <n v="0"/>
    <n v="0"/>
    <x v="0"/>
    <n v="42"/>
    <n v="63"/>
    <n v="72"/>
    <n v="177"/>
    <n v="381.75"/>
    <n v="67569.75"/>
    <n v="0"/>
    <n v="0"/>
    <n v="0"/>
    <n v="0"/>
    <n v="0"/>
    <n v="0"/>
    <n v="0"/>
    <n v="0"/>
    <s v="Continued"/>
    <n v="42"/>
    <n v="63"/>
    <n v="72"/>
    <n v="177"/>
    <n v="381.75"/>
    <n v="67569.75"/>
    <s v="Spring 2020"/>
    <n v="0"/>
    <n v="0"/>
    <n v="0"/>
    <n v="0"/>
    <n v="72"/>
    <n v="27486"/>
    <n v="72"/>
    <n v="27486"/>
    <s v="Continued"/>
    <n v="42"/>
    <n v="63"/>
    <n v="72"/>
    <n v="177"/>
    <n v="381.75"/>
    <n v="67569.75"/>
    <m/>
    <n v="42"/>
    <n v="16033.5"/>
    <n v="63"/>
    <n v="24050.25"/>
    <n v="72"/>
    <n v="27486"/>
    <n v="177"/>
    <n v="67569.75"/>
    <n v="249"/>
    <n v="95055.75"/>
    <n v="8.8014583333333327"/>
  </r>
  <r>
    <x v="292"/>
    <s v="Completed"/>
    <s v="N"/>
    <n v="515883"/>
    <m/>
    <m/>
    <s v="13"/>
    <x v="5"/>
    <x v="0"/>
    <x v="1"/>
    <n v="30000"/>
    <s v="Fall 2019"/>
    <x v="159"/>
    <x v="161"/>
    <s v="Programming Principles, Adv Programming &amp; Applications, Adv Mobile Development, Data Communications &amp; Networking, The Internet of Things"/>
    <s v="IT 1113, IT 3883, IT 4213, IT 4323, IT 4893"/>
    <s v="Computing Disciplines"/>
    <m/>
    <m/>
    <s v="N"/>
    <s v="In Progress"/>
    <x v="2"/>
    <s v="Neutral"/>
    <s v="Neutral"/>
    <n v="477162"/>
    <n v="882"/>
    <n v="108.2"/>
    <s v="178"/>
    <s v="411"/>
    <s v="293"/>
    <s v="Fall 2019"/>
    <s v="N"/>
    <m/>
    <m/>
    <s v="Continued"/>
    <n v="0"/>
    <n v="0"/>
    <n v="0"/>
    <n v="0"/>
    <n v="0"/>
    <n v="0"/>
    <n v="0"/>
    <n v="0"/>
    <n v="0"/>
    <n v="0"/>
    <n v="0"/>
    <n v="0"/>
    <n v="0"/>
    <n v="0"/>
    <n v="0"/>
    <n v="0"/>
    <n v="0"/>
    <n v="0"/>
    <n v="0"/>
    <n v="0"/>
    <n v="0"/>
    <n v="0"/>
    <n v="0"/>
    <n v="0"/>
    <n v="0"/>
    <n v="0"/>
    <n v="0"/>
    <n v="0"/>
    <x v="0"/>
    <n v="178"/>
    <n v="411"/>
    <n v="293"/>
    <n v="882"/>
    <n v="108.2"/>
    <n v="95432.400000000009"/>
    <n v="0"/>
    <n v="0"/>
    <n v="0"/>
    <n v="0"/>
    <n v="0"/>
    <n v="0"/>
    <n v="0"/>
    <n v="0"/>
    <s v="Continued"/>
    <n v="178"/>
    <n v="411"/>
    <n v="293"/>
    <n v="882"/>
    <n v="108.2"/>
    <n v="95432.400000000009"/>
    <s v="Fall 2019"/>
    <n v="0"/>
    <n v="0"/>
    <n v="411"/>
    <n v="44470.200000000004"/>
    <n v="293"/>
    <n v="31702.600000000002"/>
    <n v="704"/>
    <n v="76172.800000000003"/>
    <s v="Unknown"/>
    <n v="178"/>
    <n v="411"/>
    <n v="293"/>
    <n v="0"/>
    <n v="108.2"/>
    <n v="0"/>
    <m/>
    <n v="0"/>
    <n v="0"/>
    <n v="0"/>
    <n v="0"/>
    <n v="0"/>
    <n v="0"/>
    <n v="0"/>
    <n v="0"/>
    <n v="704"/>
    <n v="76172.800000000003"/>
    <n v="2.5390933333333336"/>
  </r>
  <r>
    <x v="293"/>
    <m/>
    <s v="N"/>
    <n v="515787"/>
    <d v="2019-05-02T00:00:00"/>
    <m/>
    <s v="13"/>
    <x v="5"/>
    <x v="0"/>
    <x v="10"/>
    <n v="10800"/>
    <s v="Spring 2020"/>
    <x v="233"/>
    <x v="228"/>
    <s v="Film Appreciation"/>
    <s v="MDST 1110"/>
    <s v="Fine and Applied Arts"/>
    <m/>
    <m/>
    <s v="N"/>
    <s v="In Progress"/>
    <x v="5"/>
    <s v="In Progress"/>
    <s v="In Progress"/>
    <n v="74880"/>
    <n v="624"/>
    <n v="120"/>
    <s v="36"/>
    <s v="320"/>
    <s v="268"/>
    <s v="Spring 2020"/>
    <s v="N"/>
    <m/>
    <m/>
    <s v="Continued"/>
    <n v="0"/>
    <n v="0"/>
    <n v="0"/>
    <n v="0"/>
    <n v="0"/>
    <n v="0"/>
    <n v="0"/>
    <n v="0"/>
    <n v="0"/>
    <n v="0"/>
    <n v="0"/>
    <n v="0"/>
    <n v="0"/>
    <n v="0"/>
    <n v="0"/>
    <n v="0"/>
    <n v="0"/>
    <n v="0"/>
    <n v="0"/>
    <n v="0"/>
    <n v="0"/>
    <n v="0"/>
    <n v="0"/>
    <n v="0"/>
    <n v="0"/>
    <n v="0"/>
    <n v="0"/>
    <n v="0"/>
    <x v="0"/>
    <n v="36"/>
    <n v="320"/>
    <n v="268"/>
    <n v="624"/>
    <n v="120"/>
    <n v="74880"/>
    <n v="0"/>
    <n v="0"/>
    <n v="0"/>
    <n v="0"/>
    <n v="0"/>
    <n v="0"/>
    <n v="0"/>
    <n v="0"/>
    <s v="Continued"/>
    <n v="36"/>
    <n v="320"/>
    <n v="268"/>
    <n v="624"/>
    <n v="120"/>
    <n v="74880"/>
    <s v="Spring 2020"/>
    <n v="0"/>
    <n v="0"/>
    <n v="0"/>
    <n v="0"/>
    <n v="268"/>
    <n v="32160"/>
    <n v="268"/>
    <n v="32160"/>
    <s v="Continued"/>
    <n v="36"/>
    <n v="320"/>
    <n v="268"/>
    <n v="624"/>
    <n v="120"/>
    <n v="74880"/>
    <m/>
    <n v="36"/>
    <n v="4320"/>
    <n v="320"/>
    <n v="38400"/>
    <n v="268"/>
    <n v="32160"/>
    <n v="624"/>
    <n v="74880"/>
    <n v="892"/>
    <n v="107040"/>
    <n v="9.9111111111111114"/>
  </r>
  <r>
    <x v="294"/>
    <m/>
    <s v="N"/>
    <n v="515884"/>
    <m/>
    <m/>
    <s v="13"/>
    <x v="5"/>
    <x v="0"/>
    <x v="1"/>
    <n v="15800"/>
    <s v="Spring 2020"/>
    <x v="68"/>
    <x v="68"/>
    <s v="Foundations of Criminal Justice (Intro. to Criminal Justice)"/>
    <s v="CRJU 1101"/>
    <s v="Criminal Justice"/>
    <m/>
    <m/>
    <s v="N"/>
    <s v="In Progress"/>
    <x v="5"/>
    <s v="In Progress"/>
    <s v="In Progress"/>
    <n v="37920"/>
    <n v="650"/>
    <n v="154.97999999999999"/>
    <n v="50"/>
    <s v="320"/>
    <s v="280"/>
    <s v="Spring 2020"/>
    <s v="N"/>
    <m/>
    <m/>
    <s v="Continued"/>
    <n v="0"/>
    <n v="0"/>
    <n v="0"/>
    <n v="0"/>
    <n v="0"/>
    <n v="0"/>
    <n v="0"/>
    <n v="0"/>
    <n v="0"/>
    <n v="0"/>
    <n v="0"/>
    <n v="0"/>
    <n v="0"/>
    <n v="0"/>
    <n v="0"/>
    <n v="0"/>
    <n v="0"/>
    <n v="0"/>
    <n v="0"/>
    <n v="0"/>
    <n v="0"/>
    <n v="0"/>
    <n v="0"/>
    <n v="0"/>
    <n v="0"/>
    <n v="0"/>
    <n v="0"/>
    <n v="0"/>
    <x v="0"/>
    <n v="50"/>
    <n v="320"/>
    <n v="280"/>
    <n v="650"/>
    <n v="154.97999999999999"/>
    <n v="100737"/>
    <n v="0"/>
    <n v="0"/>
    <n v="0"/>
    <n v="0"/>
    <n v="0"/>
    <n v="0"/>
    <n v="0"/>
    <n v="0"/>
    <s v="Continued"/>
    <n v="50"/>
    <n v="320"/>
    <n v="280"/>
    <n v="650"/>
    <n v="154.97999999999999"/>
    <n v="100737"/>
    <s v="Spring 2020"/>
    <n v="0"/>
    <n v="0"/>
    <n v="0"/>
    <n v="0"/>
    <n v="280"/>
    <n v="43394.399999999994"/>
    <n v="280"/>
    <n v="43394.399999999994"/>
    <s v="Continued"/>
    <n v="50"/>
    <n v="320"/>
    <n v="280"/>
    <n v="650"/>
    <n v="154.97999999999999"/>
    <n v="100737"/>
    <m/>
    <n v="50"/>
    <n v="7748.9999999999991"/>
    <n v="320"/>
    <n v="49593.599999999999"/>
    <n v="280"/>
    <n v="43394.399999999994"/>
    <n v="650"/>
    <n v="100737"/>
    <n v="930"/>
    <n v="144131.4"/>
    <n v="9.1222405063291134"/>
  </r>
  <r>
    <x v="295"/>
    <m/>
    <s v="N"/>
    <n v="515764"/>
    <d v="2019-04-23T00:00:00"/>
    <m/>
    <s v="13"/>
    <x v="5"/>
    <x v="1"/>
    <x v="10"/>
    <n v="4800"/>
    <s v="Fall 2019"/>
    <x v="119"/>
    <x v="120"/>
    <s v="Calculus I"/>
    <s v="MATH 1450"/>
    <s v="Mathematical Subjects"/>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296"/>
    <m/>
    <s v="N"/>
    <n v="516249"/>
    <m/>
    <m/>
    <s v="13"/>
    <x v="5"/>
    <x v="1"/>
    <x v="2"/>
    <n v="4800"/>
    <s v="Spring 2020"/>
    <x v="234"/>
    <x v="229"/>
    <s v="Ecological Basis of Environmental Issues"/>
    <s v="ECOL 1000"/>
    <s v="Biological Sciences"/>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297"/>
    <m/>
    <s v="N"/>
    <n v="516038"/>
    <m/>
    <m/>
    <s v="13"/>
    <x v="5"/>
    <x v="1"/>
    <x v="1"/>
    <n v="4800"/>
    <s v="Spring 2020"/>
    <x v="235"/>
    <x v="23"/>
    <s v="Business Intelligence"/>
    <s v="IT 6713"/>
    <s v="Computing Disciplines"/>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298"/>
    <m/>
    <s v="N"/>
    <n v="515899"/>
    <m/>
    <m/>
    <s v="13"/>
    <x v="5"/>
    <x v="1"/>
    <x v="9"/>
    <n v="2000"/>
    <s v="Fall 2019"/>
    <x v="236"/>
    <x v="230"/>
    <s v="Psychological Adjustment"/>
    <s v="PSYC 2101"/>
    <s v="Psychology"/>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299"/>
    <m/>
    <s v="N"/>
    <n v="516136"/>
    <m/>
    <m/>
    <s v="13"/>
    <x v="5"/>
    <x v="1"/>
    <x v="2"/>
    <n v="4000"/>
    <s v="Fall 2019"/>
    <x v="237"/>
    <x v="231"/>
    <s v="Calculus I, Calculus II"/>
    <s v="MATH 2250, MATH 2260"/>
    <s v="Mathematical Subjects"/>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300"/>
    <m/>
    <s v="N"/>
    <n v="515790"/>
    <m/>
    <m/>
    <s v="13"/>
    <x v="5"/>
    <x v="1"/>
    <x v="2"/>
    <n v="4800"/>
    <s v="Fall 2019"/>
    <x v="238"/>
    <x v="232"/>
    <s v="Freshman Chemistry I"/>
    <s v="CHEM 1211"/>
    <s v="Chemistry"/>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301"/>
    <m/>
    <s v="N"/>
    <n v="515791"/>
    <m/>
    <m/>
    <s v="13"/>
    <x v="5"/>
    <x v="1"/>
    <x v="2"/>
    <n v="4800"/>
    <s v="Spring 2020"/>
    <x v="238"/>
    <x v="232"/>
    <s v="Basics of Chemistry"/>
    <s v="CHEM 1210"/>
    <s v="Chemistry"/>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302"/>
    <m/>
    <s v="N"/>
    <n v="515676"/>
    <d v="2019-03-28T00:00:00"/>
    <m/>
    <s v="13"/>
    <x v="5"/>
    <x v="1"/>
    <x v="23"/>
    <n v="4000"/>
    <s v="Spring 2020"/>
    <x v="239"/>
    <x v="233"/>
    <s v="Elementary French II, Intermediate French I"/>
    <s v="FREN 1002, FREN 2001"/>
    <s v="Foreign Languages"/>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303"/>
    <m/>
    <s v="N"/>
    <n v="515792"/>
    <m/>
    <m/>
    <s v="13"/>
    <x v="5"/>
    <x v="1"/>
    <x v="2"/>
    <n v="4800"/>
    <s v="Spring 2020"/>
    <x v="238"/>
    <x v="232"/>
    <s v="Freshman Chemistry II"/>
    <s v="CHEM 1212"/>
    <s v="Chemistry"/>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304"/>
    <m/>
    <s v="N"/>
    <n v="515994"/>
    <m/>
    <m/>
    <s v="13"/>
    <x v="5"/>
    <x v="1"/>
    <x v="2"/>
    <n v="4800"/>
    <s v="Fall 2019"/>
    <x v="238"/>
    <x v="232"/>
    <s v="Freshman Chemistry I"/>
    <s v="CHEM 1211"/>
    <s v="Chemistry"/>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305"/>
    <m/>
    <s v="N"/>
    <n v="515886"/>
    <m/>
    <m/>
    <s v="13"/>
    <x v="5"/>
    <x v="1"/>
    <x v="13"/>
    <n v="2800"/>
    <s v="Fall 2019"/>
    <x v="240"/>
    <x v="234"/>
    <s v="Introduction to Biology I"/>
    <s v="BIOL 1010"/>
    <s v="Biological Sciences"/>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306"/>
    <m/>
    <s v="N"/>
    <n v="515867"/>
    <m/>
    <m/>
    <s v="13"/>
    <x v="5"/>
    <x v="1"/>
    <x v="15"/>
    <n v="2800"/>
    <s v="Spring 2020"/>
    <x v="241"/>
    <x v="235"/>
    <s v="Database Systems"/>
    <s v="CSCI 3410"/>
    <s v="Computing Disciplines"/>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307"/>
    <m/>
    <s v="N"/>
    <n v="515682"/>
    <m/>
    <m/>
    <s v="13"/>
    <x v="5"/>
    <x v="1"/>
    <x v="21"/>
    <n v="4800"/>
    <s v="Spring 2020"/>
    <x v="242"/>
    <x v="236"/>
    <s v="College Algebra"/>
    <s v="MATH 1111"/>
    <s v="Mathematical Subjects"/>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308"/>
    <m/>
    <s v="N"/>
    <n v="516258"/>
    <m/>
    <m/>
    <s v="13"/>
    <x v="5"/>
    <x v="1"/>
    <x v="2"/>
    <n v="4800"/>
    <s v="Fall 2019"/>
    <x v="243"/>
    <x v="237"/>
    <s v="New Media Production"/>
    <s v="NMIX 4110"/>
    <s v="Computing Disciplines"/>
    <m/>
    <m/>
    <s v="n/a"/>
    <s v="In Progress"/>
    <x v="5"/>
    <s v="In Progress"/>
    <s v="In Progress"/>
    <n v="0"/>
    <n v="0"/>
    <n v="0"/>
    <n v="0"/>
    <n v="0"/>
    <n v="0"/>
    <n v="0"/>
    <s v="N"/>
    <m/>
    <m/>
    <s v="Mini-Grant"/>
    <n v="0"/>
    <n v="0"/>
    <n v="0"/>
    <n v="0"/>
    <n v="0"/>
    <n v="0"/>
    <n v="0"/>
    <n v="0"/>
    <n v="0"/>
    <n v="0"/>
    <n v="0"/>
    <n v="0"/>
    <n v="0"/>
    <n v="0"/>
    <n v="0"/>
    <n v="0"/>
    <n v="0"/>
    <n v="0"/>
    <n v="0"/>
    <n v="0"/>
    <n v="0"/>
    <n v="0"/>
    <n v="0"/>
    <n v="0"/>
    <n v="0"/>
    <n v="0"/>
    <n v="0"/>
    <n v="0"/>
    <x v="4"/>
    <n v="0"/>
    <n v="0"/>
    <n v="0"/>
    <n v="0"/>
    <n v="0"/>
    <n v="0"/>
    <n v="0"/>
    <n v="0"/>
    <n v="0"/>
    <n v="0"/>
    <n v="0"/>
    <n v="0"/>
    <n v="0"/>
    <n v="0"/>
    <s v="Mini-Grant"/>
    <n v="0"/>
    <n v="0"/>
    <n v="0"/>
    <n v="0"/>
    <m/>
    <n v="0"/>
    <n v="0"/>
    <n v="0"/>
    <n v="0"/>
    <n v="0"/>
    <n v="0"/>
    <n v="0"/>
    <n v="0"/>
    <n v="0"/>
    <n v="0"/>
    <s v="Mini-Grant"/>
    <n v="0"/>
    <n v="0"/>
    <n v="0"/>
    <n v="0"/>
    <m/>
    <n v="0"/>
    <m/>
    <n v="0"/>
    <n v="0"/>
    <n v="0"/>
    <n v="0"/>
    <n v="0"/>
    <n v="0"/>
    <n v="0"/>
    <n v="0"/>
    <n v="0"/>
    <n v="0"/>
    <n v="0"/>
  </r>
  <r>
    <x v="309"/>
    <m/>
    <s v="Y"/>
    <n v="516170"/>
    <m/>
    <m/>
    <s v="14"/>
    <x v="5"/>
    <x v="0"/>
    <x v="4"/>
    <n v="30000"/>
    <s v="Summer 2020"/>
    <x v="244"/>
    <x v="238"/>
    <s v="Global Business"/>
    <s v="BUSA 4000, BUSA 4001"/>
    <s v="Business Administration, Management, and Economics"/>
    <m/>
    <m/>
    <s v="No"/>
    <s v="In Progress"/>
    <x v="5"/>
    <s v="In Progress"/>
    <s v="In Progress"/>
    <n v="195617.73"/>
    <n v="1463"/>
    <n v="133.71"/>
    <n v="112"/>
    <n v="696"/>
    <n v="655"/>
    <s v="Summer 2020"/>
    <s v="N"/>
    <m/>
    <m/>
    <s v="Continued"/>
    <n v="0"/>
    <n v="0"/>
    <n v="0"/>
    <n v="0"/>
    <n v="0"/>
    <n v="0"/>
    <n v="0"/>
    <n v="0"/>
    <n v="0"/>
    <n v="0"/>
    <n v="0"/>
    <n v="0"/>
    <n v="0"/>
    <n v="0"/>
    <n v="0"/>
    <n v="0"/>
    <n v="0"/>
    <n v="0"/>
    <n v="0"/>
    <n v="0"/>
    <n v="0"/>
    <n v="0"/>
    <n v="0"/>
    <n v="0"/>
    <n v="0"/>
    <n v="0"/>
    <n v="0"/>
    <n v="0"/>
    <x v="0"/>
    <n v="0"/>
    <n v="0"/>
    <n v="0"/>
    <n v="0"/>
    <n v="0"/>
    <n v="0"/>
    <n v="0"/>
    <n v="0"/>
    <n v="0"/>
    <n v="0"/>
    <n v="0"/>
    <n v="0"/>
    <n v="0"/>
    <n v="0"/>
    <s v="Continued"/>
    <n v="112"/>
    <n v="696"/>
    <n v="655"/>
    <n v="1463"/>
    <n v="133.71"/>
    <n v="195617.73"/>
    <s v="Summer 2020"/>
    <n v="0"/>
    <n v="0"/>
    <n v="0"/>
    <n v="0"/>
    <n v="0"/>
    <n v="0"/>
    <n v="0"/>
    <n v="0"/>
    <s v="Continued"/>
    <n v="112"/>
    <n v="696"/>
    <n v="655"/>
    <n v="1463"/>
    <n v="133.71"/>
    <n v="195617.73"/>
    <m/>
    <n v="112"/>
    <n v="14975.52"/>
    <n v="696"/>
    <n v="93062.16"/>
    <n v="655"/>
    <n v="87580.05"/>
    <n v="1463"/>
    <n v="195617.73"/>
    <n v="1463"/>
    <n v="195617.73"/>
    <n v="6.5205910000000005"/>
  </r>
  <r>
    <x v="310"/>
    <m/>
    <s v="Y"/>
    <n v="516278"/>
    <m/>
    <m/>
    <s v="14"/>
    <x v="5"/>
    <x v="0"/>
    <x v="11"/>
    <n v="30000"/>
    <s v="Spring 2020"/>
    <x v="245"/>
    <x v="239"/>
    <s v="Computer Science II; Data Structures; Information Security"/>
    <s v="CPSC 1302, CPSC 2108, CPSC 2106"/>
    <s v="Computing Disciplines"/>
    <m/>
    <m/>
    <s v="No"/>
    <s v="In Progress"/>
    <x v="5"/>
    <s v="In Progress"/>
    <s v="In Progress"/>
    <n v="61603.5"/>
    <n v="525"/>
    <n v="117.34"/>
    <n v="90"/>
    <n v="180"/>
    <n v="255"/>
    <s v="Spring 2020"/>
    <s v="N"/>
    <m/>
    <m/>
    <s v="Continued"/>
    <n v="0"/>
    <n v="0"/>
    <n v="0"/>
    <n v="0"/>
    <n v="0"/>
    <n v="0"/>
    <n v="0"/>
    <n v="0"/>
    <n v="0"/>
    <n v="0"/>
    <n v="0"/>
    <n v="0"/>
    <n v="0"/>
    <n v="0"/>
    <n v="0"/>
    <n v="0"/>
    <n v="0"/>
    <n v="0"/>
    <n v="0"/>
    <n v="0"/>
    <n v="0"/>
    <n v="0"/>
    <n v="0"/>
    <n v="0"/>
    <n v="0"/>
    <n v="0"/>
    <n v="0"/>
    <n v="0"/>
    <x v="0"/>
    <n v="0"/>
    <n v="0"/>
    <n v="0"/>
    <n v="0"/>
    <n v="0"/>
    <n v="0"/>
    <n v="0"/>
    <n v="0"/>
    <n v="0"/>
    <n v="0"/>
    <n v="0"/>
    <n v="0"/>
    <n v="0"/>
    <n v="0"/>
    <s v="Continued"/>
    <n v="90"/>
    <n v="180"/>
    <n v="255"/>
    <n v="525"/>
    <n v="117.34"/>
    <n v="61603.5"/>
    <s v="Spring 2020"/>
    <n v="0"/>
    <n v="0"/>
    <n v="0"/>
    <n v="0"/>
    <n v="255"/>
    <n v="29921.7"/>
    <n v="255"/>
    <n v="29921.7"/>
    <s v="Continued"/>
    <n v="90"/>
    <n v="180"/>
    <n v="255"/>
    <n v="525"/>
    <n v="117.34"/>
    <n v="61603.5"/>
    <s v="Spring 2020"/>
    <n v="90"/>
    <n v="10560.6"/>
    <n v="180"/>
    <n v="21121.200000000001"/>
    <n v="255"/>
    <n v="29921.7"/>
    <n v="525"/>
    <n v="61603.5"/>
    <n v="780"/>
    <n v="91525.2"/>
    <n v="3.05084"/>
  </r>
  <r>
    <x v="311"/>
    <m/>
    <s v="N"/>
    <n v="516268"/>
    <m/>
    <m/>
    <s v="14"/>
    <x v="5"/>
    <x v="0"/>
    <x v="1"/>
    <n v="30000"/>
    <s v="Spring 2020"/>
    <x v="246"/>
    <x v="240"/>
    <s v="Data Structures; Data Structures Lab; Operating Systems; Algorithm Analysis; Modeling &amp; Simulation"/>
    <s v="CS3305, CS3305L, CS3502, CS4306, CS4632"/>
    <s v="Computing Disciplines"/>
    <m/>
    <m/>
    <s v="No"/>
    <s v="In Progress"/>
    <x v="5"/>
    <s v="In Progress"/>
    <s v="In Progress"/>
    <n v="254643.20000000001"/>
    <n v="1715"/>
    <n v="148.47999999999999"/>
    <n v="424"/>
    <n v="646"/>
    <n v="646"/>
    <s v="Spring 2020"/>
    <s v="N"/>
    <m/>
    <m/>
    <s v="Continued"/>
    <n v="0"/>
    <n v="0"/>
    <n v="0"/>
    <n v="0"/>
    <n v="0"/>
    <n v="0"/>
    <n v="0"/>
    <n v="0"/>
    <n v="0"/>
    <n v="0"/>
    <n v="0"/>
    <n v="0"/>
    <n v="0"/>
    <n v="0"/>
    <n v="0"/>
    <n v="0"/>
    <n v="0"/>
    <n v="0"/>
    <n v="0"/>
    <n v="0"/>
    <n v="0"/>
    <n v="0"/>
    <n v="0"/>
    <n v="0"/>
    <n v="0"/>
    <n v="0"/>
    <n v="0"/>
    <n v="0"/>
    <x v="0"/>
    <n v="0"/>
    <n v="0"/>
    <n v="0"/>
    <n v="0"/>
    <n v="0"/>
    <n v="0"/>
    <n v="0"/>
    <n v="0"/>
    <n v="0"/>
    <n v="0"/>
    <n v="0"/>
    <n v="0"/>
    <n v="0"/>
    <n v="0"/>
    <s v="Continued"/>
    <n v="424"/>
    <n v="646"/>
    <n v="646"/>
    <n v="1716"/>
    <n v="148.47999999999999"/>
    <n v="254791.67999999999"/>
    <s v="Spring 2020"/>
    <n v="0"/>
    <n v="0"/>
    <n v="0"/>
    <n v="0"/>
    <n v="646"/>
    <n v="95918.079999999987"/>
    <n v="646"/>
    <n v="95918.079999999987"/>
    <s v="Continued"/>
    <n v="424"/>
    <n v="646"/>
    <n v="646"/>
    <n v="1716"/>
    <n v="148.47999999999999"/>
    <n v="254791.67999999999"/>
    <s v="Spring 2020"/>
    <n v="424"/>
    <n v="62955.519999999997"/>
    <n v="646"/>
    <n v="95918.079999999987"/>
    <n v="646"/>
    <n v="95918.079999999987"/>
    <n v="1716"/>
    <n v="254791.67999999996"/>
    <n v="2362"/>
    <n v="350709.75999999995"/>
    <n v="11.690325333333332"/>
  </r>
  <r>
    <x v="312"/>
    <m/>
    <s v="N"/>
    <n v="516272"/>
    <m/>
    <m/>
    <s v="14"/>
    <x v="5"/>
    <x v="0"/>
    <x v="1"/>
    <n v="10800"/>
    <s v="Summer 2020"/>
    <x v="139"/>
    <x v="141"/>
    <s v="World Regional Geography and Introduction to Cartographic Techniques"/>
    <s v="GEOG 1130, GEOG 3305"/>
    <s v="Geological Sciences and Geography"/>
    <m/>
    <m/>
    <s v="No"/>
    <s v="In Progress"/>
    <x v="5"/>
    <s v="In Progress"/>
    <s v="In Progress"/>
    <n v="26847"/>
    <n v="225"/>
    <n v="119.32"/>
    <n v="45"/>
    <n v="185"/>
    <n v="25"/>
    <s v="Summer 2020"/>
    <s v="N"/>
    <m/>
    <m/>
    <s v="Continued"/>
    <n v="0"/>
    <n v="0"/>
    <n v="0"/>
    <n v="0"/>
    <n v="0"/>
    <n v="0"/>
    <n v="0"/>
    <n v="0"/>
    <n v="0"/>
    <n v="0"/>
    <n v="0"/>
    <n v="0"/>
    <n v="0"/>
    <n v="0"/>
    <n v="0"/>
    <n v="0"/>
    <n v="0"/>
    <n v="0"/>
    <n v="0"/>
    <n v="0"/>
    <n v="0"/>
    <n v="0"/>
    <n v="0"/>
    <n v="0"/>
    <n v="0"/>
    <n v="0"/>
    <n v="0"/>
    <n v="0"/>
    <x v="0"/>
    <n v="0"/>
    <n v="0"/>
    <n v="0"/>
    <n v="0"/>
    <n v="0"/>
    <n v="0"/>
    <n v="0"/>
    <n v="0"/>
    <n v="0"/>
    <n v="0"/>
    <n v="0"/>
    <n v="0"/>
    <n v="0"/>
    <n v="0"/>
    <s v="Continued"/>
    <n v="45"/>
    <n v="185"/>
    <n v="25"/>
    <n v="255"/>
    <n v="119.32"/>
    <n v="30426.6"/>
    <s v="Summer 2020"/>
    <n v="0"/>
    <n v="0"/>
    <n v="0"/>
    <n v="0"/>
    <n v="0"/>
    <n v="0"/>
    <n v="0"/>
    <n v="0"/>
    <s v="Continued"/>
    <n v="45"/>
    <n v="185"/>
    <n v="25"/>
    <n v="255"/>
    <n v="119.32"/>
    <n v="30426.6"/>
    <s v="Summer 2020"/>
    <n v="45"/>
    <n v="5369.4"/>
    <n v="185"/>
    <n v="22074.199999999997"/>
    <n v="25"/>
    <n v="2983"/>
    <n v="255"/>
    <n v="30426.6"/>
    <n v="255"/>
    <n v="30426.6"/>
    <n v="2.8172777777777775"/>
  </r>
  <r>
    <x v="313"/>
    <s v="Completed"/>
    <s v="N"/>
    <n v="516274"/>
    <m/>
    <m/>
    <s v="14"/>
    <x v="5"/>
    <x v="0"/>
    <x v="1"/>
    <n v="10800"/>
    <s v="Spring 2020"/>
    <x v="139"/>
    <x v="141"/>
    <s v="World Literature"/>
    <s v="ENGL 2110"/>
    <s v="English"/>
    <m/>
    <m/>
    <s v="No"/>
    <s v="In Progress"/>
    <x v="5"/>
    <s v="In Progress"/>
    <s v="In Progress"/>
    <n v="13500"/>
    <n v="200"/>
    <n v="67.5"/>
    <s v="0"/>
    <s v="100"/>
    <s v="100"/>
    <s v="Spring 2020"/>
    <s v="N"/>
    <m/>
    <m/>
    <s v="Continued"/>
    <n v="0"/>
    <n v="0"/>
    <n v="0"/>
    <n v="0"/>
    <n v="0"/>
    <n v="0"/>
    <n v="0"/>
    <n v="0"/>
    <n v="0"/>
    <n v="0"/>
    <n v="0"/>
    <n v="0"/>
    <n v="0"/>
    <n v="0"/>
    <n v="0"/>
    <n v="0"/>
    <n v="0"/>
    <n v="0"/>
    <n v="0"/>
    <n v="0"/>
    <n v="0"/>
    <n v="0"/>
    <n v="0"/>
    <n v="0"/>
    <n v="0"/>
    <n v="0"/>
    <n v="0"/>
    <n v="0"/>
    <x v="0"/>
    <n v="0"/>
    <n v="0"/>
    <n v="0"/>
    <n v="0"/>
    <n v="0"/>
    <n v="0"/>
    <n v="0"/>
    <n v="0"/>
    <n v="0"/>
    <n v="0"/>
    <n v="0"/>
    <n v="0"/>
    <n v="0"/>
    <n v="0"/>
    <s v="Continued"/>
    <s v="0"/>
    <s v="100"/>
    <s v="100"/>
    <n v="200"/>
    <n v="67.5"/>
    <n v="13500"/>
    <s v="Spring 2020"/>
    <s v="0"/>
    <n v="0"/>
    <n v="0"/>
    <n v="0"/>
    <s v="100"/>
    <n v="6750"/>
    <n v="100"/>
    <n v="6750"/>
    <s v="Continued"/>
    <s v="0"/>
    <s v="100"/>
    <s v="100"/>
    <n v="200"/>
    <n v="67.5"/>
    <n v="13500"/>
    <s v="Spring 2020"/>
    <s v="0"/>
    <n v="0"/>
    <s v="100"/>
    <n v="6750"/>
    <s v="100"/>
    <n v="6750"/>
    <n v="200"/>
    <n v="13500"/>
    <n v="300"/>
    <n v="20250"/>
    <n v="1.875"/>
  </r>
  <r>
    <x v="314"/>
    <m/>
    <s v="N"/>
    <n v="516199"/>
    <m/>
    <m/>
    <s v="14"/>
    <x v="5"/>
    <x v="0"/>
    <x v="18"/>
    <n v="25800"/>
    <s v="Summer 2020"/>
    <x v="247"/>
    <x v="241"/>
    <s v="Principles of Chemistry I and Principles of Chemistry II"/>
    <s v="CHEM 1211, CHEM 1212"/>
    <s v="Chemistry"/>
    <m/>
    <m/>
    <s v="Yes"/>
    <s v="In Progress"/>
    <x v="5"/>
    <s v="In Progress"/>
    <s v="In Progress"/>
    <n v="85060.800000000003"/>
    <n v="440"/>
    <n v="193.32"/>
    <s v="68"/>
    <s v="183"/>
    <s v="189"/>
    <s v="Summer 2020"/>
    <s v="N"/>
    <m/>
    <m/>
    <s v="Continued"/>
    <n v="0"/>
    <n v="0"/>
    <n v="0"/>
    <n v="0"/>
    <n v="0"/>
    <n v="0"/>
    <n v="0"/>
    <n v="0"/>
    <n v="0"/>
    <n v="0"/>
    <n v="0"/>
    <n v="0"/>
    <n v="0"/>
    <n v="0"/>
    <n v="0"/>
    <n v="0"/>
    <n v="0"/>
    <n v="0"/>
    <n v="0"/>
    <n v="0"/>
    <n v="0"/>
    <n v="0"/>
    <n v="0"/>
    <n v="0"/>
    <n v="0"/>
    <n v="0"/>
    <n v="0"/>
    <n v="0"/>
    <x v="0"/>
    <n v="0"/>
    <n v="0"/>
    <n v="0"/>
    <n v="0"/>
    <n v="0"/>
    <n v="0"/>
    <n v="0"/>
    <n v="0"/>
    <n v="0"/>
    <n v="0"/>
    <n v="0"/>
    <n v="0"/>
    <n v="0"/>
    <n v="0"/>
    <s v="Continued"/>
    <s v="68"/>
    <s v="183"/>
    <s v="189"/>
    <n v="440"/>
    <n v="193.32"/>
    <n v="85060.800000000003"/>
    <s v="Summer 2020"/>
    <n v="0"/>
    <n v="0"/>
    <n v="0"/>
    <n v="0"/>
    <n v="0"/>
    <n v="0"/>
    <n v="0"/>
    <n v="0"/>
    <s v="Continued"/>
    <s v="68"/>
    <s v="183"/>
    <s v="189"/>
    <n v="440"/>
    <n v="193.32"/>
    <n v="85060.800000000003"/>
    <s v="Summer 2020"/>
    <s v="68"/>
    <n v="13145.76"/>
    <s v="183"/>
    <n v="35377.56"/>
    <s v="189"/>
    <n v="36537.479999999996"/>
    <n v="440"/>
    <n v="85060.799999999988"/>
    <n v="440"/>
    <n v="85060.799999999988"/>
    <n v="3.2969302325581391"/>
  </r>
  <r>
    <x v="315"/>
    <m/>
    <s v="N"/>
    <n v="516214"/>
    <m/>
    <m/>
    <s v="14"/>
    <x v="5"/>
    <x v="0"/>
    <x v="17"/>
    <n v="10800"/>
    <s v="Summer 2020"/>
    <x v="248"/>
    <x v="242"/>
    <s v="Western Civilization II"/>
    <s v="HIST 1122"/>
    <s v="History"/>
    <m/>
    <m/>
    <s v="No"/>
    <s v="In Progress"/>
    <x v="5"/>
    <s v="In Progress"/>
    <s v="In Progress"/>
    <n v="32678.799999999999"/>
    <n v="280"/>
    <n v="116.71"/>
    <s v="35"/>
    <s v="140"/>
    <s v="140"/>
    <s v="Summer 2020"/>
    <s v="N"/>
    <m/>
    <m/>
    <s v="Continued"/>
    <n v="0"/>
    <n v="0"/>
    <n v="0"/>
    <n v="0"/>
    <n v="0"/>
    <n v="0"/>
    <n v="0"/>
    <n v="0"/>
    <n v="0"/>
    <n v="0"/>
    <n v="0"/>
    <n v="0"/>
    <n v="0"/>
    <n v="0"/>
    <n v="0"/>
    <n v="0"/>
    <n v="0"/>
    <n v="0"/>
    <n v="0"/>
    <n v="0"/>
    <n v="0"/>
    <n v="0"/>
    <n v="0"/>
    <n v="0"/>
    <n v="0"/>
    <n v="0"/>
    <n v="0"/>
    <n v="0"/>
    <x v="0"/>
    <n v="0"/>
    <n v="0"/>
    <n v="0"/>
    <n v="0"/>
    <n v="0"/>
    <n v="0"/>
    <n v="0"/>
    <n v="0"/>
    <n v="0"/>
    <n v="0"/>
    <n v="0"/>
    <n v="0"/>
    <n v="0"/>
    <n v="0"/>
    <s v="Continued"/>
    <s v="35"/>
    <s v="140"/>
    <s v="140"/>
    <n v="315"/>
    <n v="116.71"/>
    <n v="36763.65"/>
    <s v="Summer 2020"/>
    <n v="0"/>
    <n v="0"/>
    <n v="0"/>
    <n v="0"/>
    <n v="0"/>
    <n v="0"/>
    <n v="0"/>
    <n v="0"/>
    <s v="Continued"/>
    <s v="35"/>
    <s v="140"/>
    <s v="140"/>
    <n v="315"/>
    <n v="116.71"/>
    <n v="36763.65"/>
    <s v="Summer 2020"/>
    <s v="35"/>
    <n v="4084.85"/>
    <s v="140"/>
    <n v="16339.4"/>
    <s v="140"/>
    <n v="16339.4"/>
    <n v="315"/>
    <n v="36763.65"/>
    <n v="315"/>
    <n v="36763.65"/>
    <n v="3.4040416666666666"/>
  </r>
  <r>
    <x v="316"/>
    <m/>
    <s v="N"/>
    <n v="516262"/>
    <m/>
    <m/>
    <s v="14"/>
    <x v="5"/>
    <x v="0"/>
    <x v="16"/>
    <n v="10800"/>
    <s v="Summer 2020"/>
    <x v="249"/>
    <x v="243"/>
    <s v="Precalculus"/>
    <s v="MATH 1113"/>
    <s v="Mathematical Subjects"/>
    <m/>
    <m/>
    <s v="Yes"/>
    <s v="In Progress"/>
    <x v="5"/>
    <s v="In Progress"/>
    <s v="In Progress"/>
    <n v="34320"/>
    <n v="330"/>
    <n v="104"/>
    <s v="0"/>
    <s v="90"/>
    <s v="240"/>
    <s v="Summer 2020"/>
    <s v="N"/>
    <m/>
    <m/>
    <s v="Continued"/>
    <n v="0"/>
    <n v="0"/>
    <n v="0"/>
    <n v="0"/>
    <n v="0"/>
    <n v="0"/>
    <n v="0"/>
    <n v="0"/>
    <n v="0"/>
    <n v="0"/>
    <n v="0"/>
    <n v="0"/>
    <n v="0"/>
    <n v="0"/>
    <n v="0"/>
    <n v="0"/>
    <n v="0"/>
    <n v="0"/>
    <n v="0"/>
    <n v="0"/>
    <n v="0"/>
    <n v="0"/>
    <n v="0"/>
    <n v="0"/>
    <n v="0"/>
    <n v="0"/>
    <n v="0"/>
    <n v="0"/>
    <x v="0"/>
    <n v="0"/>
    <n v="0"/>
    <n v="0"/>
    <n v="0"/>
    <n v="0"/>
    <n v="0"/>
    <n v="0"/>
    <n v="0"/>
    <n v="0"/>
    <n v="0"/>
    <n v="0"/>
    <n v="0"/>
    <n v="0"/>
    <n v="0"/>
    <s v="Continued"/>
    <s v="0"/>
    <s v="90"/>
    <s v="240"/>
    <n v="330"/>
    <n v="104"/>
    <n v="34320"/>
    <s v="Summer 2020"/>
    <n v="0"/>
    <n v="0"/>
    <n v="0"/>
    <n v="0"/>
    <n v="0"/>
    <n v="0"/>
    <n v="0"/>
    <n v="0"/>
    <s v="Continued"/>
    <s v="0"/>
    <s v="90"/>
    <s v="240"/>
    <n v="330"/>
    <n v="104"/>
    <n v="34320"/>
    <s v="Summer 2020"/>
    <s v="0"/>
    <n v="0"/>
    <s v="90"/>
    <n v="9360"/>
    <s v="240"/>
    <n v="24960"/>
    <n v="330"/>
    <n v="34320"/>
    <n v="330"/>
    <n v="34320"/>
    <n v="3.1777777777777776"/>
  </r>
  <r>
    <x v="317"/>
    <m/>
    <s v="N"/>
    <n v="516266"/>
    <m/>
    <m/>
    <s v="14"/>
    <x v="5"/>
    <x v="0"/>
    <x v="4"/>
    <n v="10800"/>
    <s v="Spring 2020"/>
    <x v="250"/>
    <x v="244"/>
    <s v="American Criminal Courts"/>
    <s v="CRJU 2700"/>
    <s v="Criminal Justice"/>
    <m/>
    <m/>
    <s v="Yes"/>
    <s v="In Progress"/>
    <x v="5"/>
    <s v="In Progress"/>
    <s v="In Progress"/>
    <n v="35997"/>
    <n v="300"/>
    <n v="119"/>
    <s v="100"/>
    <s v="100"/>
    <s v="100"/>
    <s v="Spring 2020"/>
    <s v="N"/>
    <m/>
    <m/>
    <s v="Continued"/>
    <n v="0"/>
    <n v="0"/>
    <n v="0"/>
    <n v="0"/>
    <n v="0"/>
    <n v="0"/>
    <n v="0"/>
    <n v="0"/>
    <n v="0"/>
    <n v="0"/>
    <n v="0"/>
    <n v="0"/>
    <n v="0"/>
    <n v="0"/>
    <n v="0"/>
    <n v="0"/>
    <n v="0"/>
    <n v="0"/>
    <n v="0"/>
    <n v="0"/>
    <n v="0"/>
    <n v="0"/>
    <n v="0"/>
    <n v="0"/>
    <n v="0"/>
    <n v="0"/>
    <n v="0"/>
    <n v="0"/>
    <x v="0"/>
    <n v="0"/>
    <n v="0"/>
    <n v="0"/>
    <n v="0"/>
    <n v="0"/>
    <n v="0"/>
    <n v="0"/>
    <n v="0"/>
    <n v="0"/>
    <n v="0"/>
    <n v="0"/>
    <n v="0"/>
    <n v="0"/>
    <n v="0"/>
    <s v="Continued"/>
    <s v="100"/>
    <s v="100"/>
    <s v="100"/>
    <n v="300"/>
    <n v="119"/>
    <n v="35700"/>
    <s v="Spring 2020"/>
    <n v="0"/>
    <n v="0"/>
    <n v="0"/>
    <n v="0"/>
    <s v="100"/>
    <n v="11900"/>
    <n v="100"/>
    <n v="11900"/>
    <s v="Continued"/>
    <s v="100"/>
    <s v="100"/>
    <s v="100"/>
    <n v="300"/>
    <n v="119"/>
    <n v="35700"/>
    <s v="Spring 2020"/>
    <s v="100"/>
    <n v="11900"/>
    <s v="100"/>
    <n v="11900"/>
    <s v="100"/>
    <n v="11900"/>
    <n v="300"/>
    <n v="35700"/>
    <n v="400"/>
    <n v="47600"/>
    <n v="4.4074074074074074"/>
  </r>
  <r>
    <x v="318"/>
    <m/>
    <s v="N"/>
    <n v="516276"/>
    <m/>
    <m/>
    <s v="14"/>
    <x v="5"/>
    <x v="0"/>
    <x v="1"/>
    <n v="15800"/>
    <s v="Summer 2020"/>
    <x v="150"/>
    <x v="152"/>
    <s v="Introduction to Data Analytics and Technology; Big Data System Administration"/>
    <s v="IT 3703, IT 4733"/>
    <s v="Computing Disciplines"/>
    <m/>
    <m/>
    <s v="No"/>
    <s v="In Progress"/>
    <x v="5"/>
    <s v="In Progress"/>
    <s v="In Progress"/>
    <n v="36514.800000000003"/>
    <n v="315"/>
    <n v="115.92"/>
    <s v="70"/>
    <s v="105"/>
    <s v="105"/>
    <s v="Summer 2020"/>
    <s v="N"/>
    <m/>
    <m/>
    <s v="Continued"/>
    <n v="0"/>
    <n v="0"/>
    <n v="0"/>
    <n v="0"/>
    <n v="0"/>
    <n v="0"/>
    <n v="0"/>
    <n v="0"/>
    <n v="0"/>
    <n v="0"/>
    <n v="0"/>
    <n v="0"/>
    <n v="0"/>
    <n v="0"/>
    <n v="0"/>
    <n v="0"/>
    <n v="0"/>
    <n v="0"/>
    <n v="0"/>
    <n v="0"/>
    <n v="0"/>
    <n v="0"/>
    <n v="0"/>
    <n v="0"/>
    <n v="0"/>
    <n v="0"/>
    <n v="0"/>
    <n v="0"/>
    <x v="0"/>
    <n v="0"/>
    <n v="0"/>
    <n v="0"/>
    <n v="0"/>
    <n v="0"/>
    <n v="0"/>
    <n v="0"/>
    <n v="0"/>
    <n v="0"/>
    <n v="0"/>
    <n v="0"/>
    <n v="0"/>
    <n v="0"/>
    <n v="0"/>
    <s v="Continued"/>
    <s v="70"/>
    <s v="105"/>
    <s v="105"/>
    <n v="280"/>
    <n v="115.92"/>
    <n v="32457.600000000002"/>
    <s v="Summer 2020"/>
    <n v="0"/>
    <n v="0"/>
    <n v="0"/>
    <n v="0"/>
    <n v="0"/>
    <n v="0"/>
    <n v="0"/>
    <n v="0"/>
    <s v="Continued"/>
    <s v="70"/>
    <s v="105"/>
    <s v="105"/>
    <n v="280"/>
    <n v="115.92"/>
    <n v="32457.600000000002"/>
    <s v="Summer 2020"/>
    <s v="70"/>
    <n v="8114.4000000000005"/>
    <s v="105"/>
    <n v="12171.6"/>
    <s v="105"/>
    <n v="12171.6"/>
    <n v="280"/>
    <n v="32457.599999999999"/>
    <n v="280"/>
    <n v="32457.599999999999"/>
    <n v="2.0542784810126582"/>
  </r>
  <r>
    <x v="319"/>
    <m/>
    <s v="N"/>
    <n v="516172"/>
    <m/>
    <m/>
    <s v="14"/>
    <x v="5"/>
    <x v="0"/>
    <x v="2"/>
    <n v="30000"/>
    <s v="Summer 2020"/>
    <x v="238"/>
    <x v="232"/>
    <s v="Freshman Chemistry I and Freshman Chemistry II"/>
    <s v="CHEM 1211, CHEM 1212"/>
    <s v="Chemistry"/>
    <m/>
    <m/>
    <s v="Yes"/>
    <s v="In Progress"/>
    <x v="5"/>
    <s v="In Progress"/>
    <s v="In Progress"/>
    <n v="400000"/>
    <n v="6000"/>
    <n v="100"/>
    <s v="400"/>
    <s v="3,000"/>
    <s v="2,600"/>
    <s v="Summer 2020"/>
    <s v="N"/>
    <m/>
    <m/>
    <s v="Continued"/>
    <n v="0"/>
    <n v="0"/>
    <n v="0"/>
    <n v="0"/>
    <n v="0"/>
    <n v="0"/>
    <n v="0"/>
    <n v="0"/>
    <n v="0"/>
    <n v="0"/>
    <n v="0"/>
    <n v="0"/>
    <n v="0"/>
    <n v="0"/>
    <n v="0"/>
    <n v="0"/>
    <n v="0"/>
    <n v="0"/>
    <n v="0"/>
    <n v="0"/>
    <n v="0"/>
    <n v="0"/>
    <n v="0"/>
    <n v="0"/>
    <n v="0"/>
    <n v="0"/>
    <n v="0"/>
    <n v="0"/>
    <x v="0"/>
    <n v="0"/>
    <n v="0"/>
    <n v="0"/>
    <n v="0"/>
    <n v="0"/>
    <n v="0"/>
    <n v="0"/>
    <n v="0"/>
    <n v="0"/>
    <n v="0"/>
    <n v="0"/>
    <n v="0"/>
    <n v="0"/>
    <n v="0"/>
    <s v="Continued"/>
    <s v="400"/>
    <s v="3,000"/>
    <s v="2,600"/>
    <n v="6000"/>
    <n v="100"/>
    <n v="600000"/>
    <s v="Summer 2020"/>
    <n v="0"/>
    <n v="0"/>
    <n v="0"/>
    <n v="0"/>
    <n v="0"/>
    <n v="0"/>
    <n v="0"/>
    <n v="0"/>
    <s v="Continued"/>
    <s v="400"/>
    <s v="3,000"/>
    <s v="2,600"/>
    <n v="6000"/>
    <n v="100"/>
    <n v="600000"/>
    <s v="Summer 2020"/>
    <s v="400"/>
    <n v="40000"/>
    <s v="3,000"/>
    <n v="300000"/>
    <s v="2,600"/>
    <n v="260000"/>
    <n v="6000"/>
    <n v="600000"/>
    <n v="6000"/>
    <n v="600000"/>
    <n v="20"/>
  </r>
  <r>
    <x v="320"/>
    <m/>
    <s v="N"/>
    <n v="516267"/>
    <m/>
    <m/>
    <s v="14"/>
    <x v="5"/>
    <x v="0"/>
    <x v="12"/>
    <n v="30000"/>
    <s v="Spring 2020"/>
    <x v="78"/>
    <x v="78"/>
    <s v="Quantitative Reasoning"/>
    <s v="MATH 1001"/>
    <s v="Mathematical Subjects"/>
    <m/>
    <m/>
    <s v="Yes"/>
    <s v="In Progress"/>
    <x v="5"/>
    <s v="In Progress"/>
    <s v="In Progress"/>
    <n v="178560"/>
    <n v="1920"/>
    <n v="93"/>
    <s v="25"/>
    <s v="1080"/>
    <s v="840"/>
    <s v="Spring 2020"/>
    <s v="N"/>
    <m/>
    <m/>
    <s v="Continued"/>
    <n v="0"/>
    <n v="0"/>
    <n v="0"/>
    <n v="0"/>
    <n v="0"/>
    <n v="0"/>
    <n v="0"/>
    <n v="0"/>
    <n v="0"/>
    <n v="0"/>
    <n v="0"/>
    <n v="0"/>
    <n v="0"/>
    <n v="0"/>
    <n v="0"/>
    <n v="0"/>
    <n v="0"/>
    <n v="0"/>
    <n v="0"/>
    <n v="0"/>
    <n v="0"/>
    <n v="0"/>
    <n v="0"/>
    <n v="0"/>
    <n v="0"/>
    <n v="0"/>
    <n v="0"/>
    <n v="0"/>
    <x v="0"/>
    <n v="0"/>
    <n v="0"/>
    <n v="0"/>
    <n v="0"/>
    <n v="0"/>
    <n v="0"/>
    <n v="0"/>
    <n v="0"/>
    <n v="0"/>
    <n v="0"/>
    <n v="0"/>
    <n v="0"/>
    <n v="0"/>
    <n v="0"/>
    <s v="Continued"/>
    <s v="25"/>
    <s v="1080"/>
    <s v="840"/>
    <n v="1945"/>
    <n v="93"/>
    <n v="180885"/>
    <s v="Spring 2020"/>
    <n v="0"/>
    <n v="0"/>
    <n v="0"/>
    <n v="0"/>
    <s v="840"/>
    <n v="78120"/>
    <n v="840"/>
    <n v="78120"/>
    <s v="Continued"/>
    <s v="25"/>
    <s v="1080"/>
    <s v="840"/>
    <n v="1945"/>
    <n v="93"/>
    <n v="180885"/>
    <s v="Spring 2020"/>
    <s v="25"/>
    <n v="2325"/>
    <s v="1080"/>
    <n v="100440"/>
    <s v="840"/>
    <n v="78120"/>
    <n v="1945"/>
    <n v="180885"/>
    <n v="2785"/>
    <n v="259005"/>
    <n v="8.6334999999999997"/>
  </r>
  <r>
    <x v="321"/>
    <m/>
    <s v="N"/>
    <n v="516171"/>
    <m/>
    <m/>
    <s v="14"/>
    <x v="5"/>
    <x v="0"/>
    <x v="4"/>
    <n v="26098"/>
    <s v="Summer 2020"/>
    <x v="251"/>
    <x v="245"/>
    <s v="Business, Value and You (Introduction to Business)"/>
    <s v="BUSA 1105"/>
    <s v="Business Administration, Management, and Economics"/>
    <m/>
    <m/>
    <s v="No"/>
    <s v="In Progress"/>
    <x v="5"/>
    <s v="In Progress"/>
    <s v="In Progress"/>
    <n v="250000"/>
    <n v="3150"/>
    <n v="145.08000000000001"/>
    <n v="350"/>
    <n v="1700"/>
    <n v="1100"/>
    <s v="Summer 2020"/>
    <s v="N"/>
    <m/>
    <m/>
    <s v="Continued"/>
    <n v="0"/>
    <n v="0"/>
    <n v="0"/>
    <n v="0"/>
    <n v="0"/>
    <n v="0"/>
    <n v="0"/>
    <n v="0"/>
    <n v="0"/>
    <n v="0"/>
    <n v="0"/>
    <n v="0"/>
    <n v="0"/>
    <n v="0"/>
    <n v="0"/>
    <n v="0"/>
    <n v="0"/>
    <n v="0"/>
    <n v="0"/>
    <n v="0"/>
    <n v="0"/>
    <n v="0"/>
    <n v="0"/>
    <n v="0"/>
    <n v="0"/>
    <n v="0"/>
    <n v="0"/>
    <n v="0"/>
    <x v="0"/>
    <n v="0"/>
    <n v="0"/>
    <n v="0"/>
    <n v="0"/>
    <n v="0"/>
    <n v="0"/>
    <n v="0"/>
    <n v="0"/>
    <n v="0"/>
    <n v="0"/>
    <n v="0"/>
    <n v="0"/>
    <n v="0"/>
    <n v="0"/>
    <s v="Continued"/>
    <n v="350"/>
    <n v="1700"/>
    <n v="1100"/>
    <n v="3150"/>
    <n v="145.08000000000001"/>
    <n v="457002.00000000006"/>
    <s v="Summer 2020"/>
    <n v="0"/>
    <n v="0"/>
    <n v="0"/>
    <n v="0"/>
    <n v="0"/>
    <n v="0"/>
    <n v="0"/>
    <n v="0"/>
    <s v="Continued"/>
    <n v="350"/>
    <n v="1700"/>
    <n v="1100"/>
    <n v="3150"/>
    <n v="145.08000000000001"/>
    <n v="457002.00000000006"/>
    <s v="Summer 2020"/>
    <n v="350"/>
    <n v="50778.000000000007"/>
    <n v="1700"/>
    <n v="246636.00000000003"/>
    <n v="1100"/>
    <n v="159588"/>
    <n v="3150"/>
    <n v="457002.00000000006"/>
    <n v="3150"/>
    <n v="457002.00000000006"/>
    <n v="17.510997011265232"/>
  </r>
  <r>
    <x v="322"/>
    <m/>
    <s v="N"/>
    <n v="516257"/>
    <m/>
    <m/>
    <s v="14"/>
    <x v="5"/>
    <x v="0"/>
    <x v="24"/>
    <n v="10800"/>
    <s v="Spring 2020"/>
    <x v="252"/>
    <x v="246"/>
    <s v="Theatre Appreciation"/>
    <s v="THEA 1100"/>
    <s v="Fine and Applied Arts"/>
    <m/>
    <m/>
    <s v="No"/>
    <s v="In Progress"/>
    <x v="5"/>
    <s v="In Progress"/>
    <s v="In Progress"/>
    <n v="35292"/>
    <n v="240"/>
    <n v="147.05000000000001"/>
    <s v="0"/>
    <s v="120"/>
    <s v="120"/>
    <s v="Spring 2020"/>
    <s v="N"/>
    <m/>
    <m/>
    <s v="Continued"/>
    <n v="0"/>
    <n v="0"/>
    <n v="0"/>
    <n v="0"/>
    <n v="0"/>
    <n v="0"/>
    <n v="0"/>
    <n v="0"/>
    <n v="0"/>
    <n v="0"/>
    <n v="0"/>
    <n v="0"/>
    <n v="0"/>
    <n v="0"/>
    <n v="0"/>
    <n v="0"/>
    <n v="0"/>
    <n v="0"/>
    <n v="0"/>
    <n v="0"/>
    <n v="0"/>
    <n v="0"/>
    <n v="0"/>
    <n v="0"/>
    <n v="0"/>
    <n v="0"/>
    <n v="0"/>
    <n v="0"/>
    <x v="0"/>
    <n v="0"/>
    <n v="0"/>
    <n v="0"/>
    <n v="0"/>
    <n v="0"/>
    <n v="0"/>
    <n v="0"/>
    <n v="0"/>
    <n v="0"/>
    <n v="0"/>
    <n v="0"/>
    <n v="0"/>
    <n v="0"/>
    <n v="0"/>
    <s v="Continued"/>
    <s v="0"/>
    <s v="120"/>
    <s v="120"/>
    <n v="240"/>
    <n v="147.05000000000001"/>
    <n v="35292"/>
    <s v="Spring 2020"/>
    <n v="0"/>
    <n v="0"/>
    <n v="0"/>
    <n v="0"/>
    <s v="120"/>
    <n v="17646"/>
    <n v="120"/>
    <n v="17646"/>
    <s v="Continued"/>
    <s v="0"/>
    <s v="120"/>
    <s v="120"/>
    <n v="240"/>
    <n v="147.05000000000001"/>
    <n v="35292"/>
    <s v="Spring 2020"/>
    <s v="0"/>
    <n v="0"/>
    <s v="120"/>
    <n v="17646"/>
    <s v="120"/>
    <n v="17646"/>
    <n v="240"/>
    <n v="35292"/>
    <n v="360"/>
    <n v="52938"/>
    <n v="4.9016666666666664"/>
  </r>
  <r>
    <x v="323"/>
    <m/>
    <s v="N"/>
    <n v="516255"/>
    <m/>
    <m/>
    <s v="14"/>
    <x v="5"/>
    <x v="0"/>
    <x v="15"/>
    <n v="15800"/>
    <s v="Summer 2020"/>
    <x v="253"/>
    <x v="247"/>
    <s v="Introductory Physics I and Introductory Physics II"/>
    <s v="PHYS1111, PHYS1112"/>
    <s v="Physics and Astronomy"/>
    <m/>
    <m/>
    <s v="Yes"/>
    <s v="In Progress"/>
    <x v="5"/>
    <s v="In Progress"/>
    <s v="In Progress"/>
    <n v="132636.07"/>
    <n v="503"/>
    <n v="263.69"/>
    <s v="80"/>
    <s v="200"/>
    <s v="223"/>
    <s v="Summer 2020"/>
    <s v="N"/>
    <m/>
    <m/>
    <s v="Continued"/>
    <n v="0"/>
    <n v="0"/>
    <n v="0"/>
    <n v="0"/>
    <n v="0"/>
    <n v="0"/>
    <n v="0"/>
    <n v="0"/>
    <n v="0"/>
    <n v="0"/>
    <n v="0"/>
    <n v="0"/>
    <n v="0"/>
    <n v="0"/>
    <n v="0"/>
    <n v="0"/>
    <n v="0"/>
    <n v="0"/>
    <n v="0"/>
    <n v="0"/>
    <n v="0"/>
    <n v="0"/>
    <n v="0"/>
    <n v="0"/>
    <n v="0"/>
    <n v="0"/>
    <n v="0"/>
    <n v="0"/>
    <x v="0"/>
    <n v="0"/>
    <n v="0"/>
    <n v="0"/>
    <n v="0"/>
    <n v="0"/>
    <n v="0"/>
    <n v="0"/>
    <n v="0"/>
    <n v="0"/>
    <n v="0"/>
    <n v="0"/>
    <n v="0"/>
    <n v="0"/>
    <n v="0"/>
    <s v="Continued"/>
    <s v="80"/>
    <s v="200"/>
    <s v="223"/>
    <n v="503"/>
    <n v="263.69"/>
    <n v="132636.07"/>
    <s v="Summer 2020"/>
    <n v="0"/>
    <n v="0"/>
    <n v="0"/>
    <n v="0"/>
    <n v="0"/>
    <n v="0"/>
    <n v="0"/>
    <n v="0"/>
    <s v="Continued"/>
    <s v="80"/>
    <s v="200"/>
    <s v="223"/>
    <n v="503"/>
    <n v="263.69"/>
    <n v="132636.07"/>
    <s v="Summer 2020"/>
    <s v="80"/>
    <n v="21095.200000000001"/>
    <s v="200"/>
    <n v="52738"/>
    <s v="223"/>
    <n v="58802.87"/>
    <n v="503"/>
    <n v="132636.07"/>
    <n v="503"/>
    <n v="132636.07"/>
    <n v="8.3946879746835439"/>
  </r>
  <r>
    <x v="324"/>
    <m/>
    <s v="N"/>
    <n v="516260"/>
    <m/>
    <m/>
    <s v="14"/>
    <x v="5"/>
    <x v="0"/>
    <x v="24"/>
    <n v="27712.5"/>
    <s v="Summer 2020"/>
    <x v="102"/>
    <x v="102"/>
    <s v="Quantitative Reasoning"/>
    <s v="MATH 1001"/>
    <s v="Mathematical Subjects"/>
    <m/>
    <m/>
    <s v="Yes"/>
    <s v="In Progress"/>
    <x v="5"/>
    <s v="In Progress"/>
    <s v="In Progress"/>
    <n v="62500"/>
    <n v="500"/>
    <n v="125"/>
    <s v="30"/>
    <s v="270"/>
    <s v="200"/>
    <s v="Summer 2020"/>
    <s v="N"/>
    <m/>
    <m/>
    <s v="Continued"/>
    <n v="0"/>
    <n v="0"/>
    <n v="0"/>
    <n v="0"/>
    <n v="0"/>
    <n v="0"/>
    <n v="0"/>
    <n v="0"/>
    <n v="0"/>
    <n v="0"/>
    <n v="0"/>
    <n v="0"/>
    <n v="0"/>
    <n v="0"/>
    <n v="0"/>
    <n v="0"/>
    <n v="0"/>
    <n v="0"/>
    <n v="0"/>
    <n v="0"/>
    <n v="0"/>
    <n v="0"/>
    <n v="0"/>
    <n v="0"/>
    <n v="0"/>
    <n v="0"/>
    <n v="0"/>
    <n v="0"/>
    <x v="0"/>
    <n v="0"/>
    <n v="0"/>
    <n v="0"/>
    <n v="0"/>
    <n v="0"/>
    <n v="0"/>
    <n v="0"/>
    <n v="0"/>
    <n v="0"/>
    <n v="0"/>
    <n v="0"/>
    <n v="0"/>
    <n v="0"/>
    <n v="0"/>
    <s v="Continued"/>
    <s v="30"/>
    <s v="270"/>
    <s v="200"/>
    <n v="500"/>
    <n v="125"/>
    <n v="62500"/>
    <s v="Summer 2020"/>
    <n v="0"/>
    <n v="0"/>
    <n v="0"/>
    <n v="0"/>
    <n v="0"/>
    <n v="0"/>
    <n v="0"/>
    <n v="0"/>
    <s v="Continued"/>
    <s v="30"/>
    <s v="270"/>
    <s v="200"/>
    <n v="500"/>
    <n v="125"/>
    <n v="62500"/>
    <s v="Summer 2020"/>
    <s v="30"/>
    <n v="3750"/>
    <s v="270"/>
    <n v="33750"/>
    <s v="200"/>
    <n v="25000"/>
    <n v="500"/>
    <n v="62500"/>
    <n v="500"/>
    <n v="62500"/>
    <n v="2.2552999548940007"/>
  </r>
  <r>
    <x v="325"/>
    <m/>
    <s v="N"/>
    <n v="516173"/>
    <m/>
    <m/>
    <s v="14"/>
    <x v="5"/>
    <x v="0"/>
    <x v="2"/>
    <n v="20800"/>
    <s v="Summer 2020"/>
    <x v="254"/>
    <x v="248"/>
    <s v="Astronomy of the Solar System"/>
    <s v="ASTR 1010"/>
    <s v="Physics and Astronomy"/>
    <m/>
    <m/>
    <s v="Yes"/>
    <s v="In Progress"/>
    <x v="5"/>
    <s v="In Progress"/>
    <s v="In Progress"/>
    <n v="68670"/>
    <n v="327"/>
    <n v="210"/>
    <n v="0"/>
    <s v="235"/>
    <s v="92"/>
    <s v="Summer 2020"/>
    <s v="N"/>
    <m/>
    <m/>
    <s v="Continued"/>
    <n v="0"/>
    <n v="0"/>
    <n v="0"/>
    <n v="0"/>
    <n v="0"/>
    <n v="0"/>
    <n v="0"/>
    <n v="0"/>
    <n v="0"/>
    <n v="0"/>
    <n v="0"/>
    <n v="0"/>
    <n v="0"/>
    <n v="0"/>
    <n v="0"/>
    <n v="0"/>
    <n v="0"/>
    <n v="0"/>
    <n v="0"/>
    <n v="0"/>
    <n v="0"/>
    <n v="0"/>
    <n v="0"/>
    <n v="0"/>
    <n v="0"/>
    <n v="0"/>
    <n v="0"/>
    <n v="0"/>
    <x v="0"/>
    <n v="0"/>
    <n v="0"/>
    <n v="0"/>
    <n v="0"/>
    <n v="0"/>
    <n v="0"/>
    <n v="0"/>
    <n v="0"/>
    <n v="0"/>
    <n v="0"/>
    <n v="0"/>
    <n v="0"/>
    <n v="0"/>
    <n v="0"/>
    <s v="Continued"/>
    <n v="0"/>
    <s v="235"/>
    <s v="92"/>
    <n v="327"/>
    <n v="210"/>
    <n v="68670"/>
    <s v="Summer 2020"/>
    <n v="0"/>
    <n v="0"/>
    <n v="0"/>
    <n v="0"/>
    <n v="0"/>
    <n v="0"/>
    <n v="0"/>
    <n v="0"/>
    <s v="Discontinued"/>
    <n v="0"/>
    <s v="235"/>
    <s v="92"/>
    <n v="0"/>
    <n v="210"/>
    <n v="0"/>
    <s v="Summer 2020"/>
    <n v="0"/>
    <n v="0"/>
    <n v="0"/>
    <n v="0"/>
    <n v="0"/>
    <n v="0"/>
    <n v="0"/>
    <n v="0"/>
    <n v="0"/>
    <n v="0"/>
    <n v="0"/>
  </r>
  <r>
    <x v="326"/>
    <m/>
    <s v="N"/>
    <n v="516174"/>
    <m/>
    <m/>
    <s v="14"/>
    <x v="5"/>
    <x v="0"/>
    <x v="7"/>
    <n v="21400"/>
    <s v="Summer 2020"/>
    <x v="255"/>
    <x v="249"/>
    <s v="Organic Chemistry I and Organic Chemistry II"/>
    <s v="CHEM 3401, CHEM 3402"/>
    <s v="Chemistry"/>
    <m/>
    <m/>
    <s v="Yes"/>
    <s v="In Progress"/>
    <x v="5"/>
    <s v="In Progress"/>
    <s v="In Progress"/>
    <n v="81600"/>
    <n v="768"/>
    <n v="170"/>
    <n v="96"/>
    <n v="384"/>
    <n v="384"/>
    <s v="Summer 2020"/>
    <s v="N"/>
    <m/>
    <m/>
    <s v="Continued"/>
    <n v="0"/>
    <n v="0"/>
    <n v="0"/>
    <n v="0"/>
    <n v="0"/>
    <n v="0"/>
    <n v="0"/>
    <n v="0"/>
    <n v="0"/>
    <n v="0"/>
    <n v="0"/>
    <n v="0"/>
    <n v="0"/>
    <n v="0"/>
    <n v="0"/>
    <n v="0"/>
    <n v="0"/>
    <n v="0"/>
    <n v="0"/>
    <n v="0"/>
    <n v="0"/>
    <n v="0"/>
    <n v="0"/>
    <n v="0"/>
    <n v="0"/>
    <n v="0"/>
    <n v="0"/>
    <n v="0"/>
    <x v="0"/>
    <n v="0"/>
    <n v="0"/>
    <n v="0"/>
    <n v="0"/>
    <n v="0"/>
    <n v="0"/>
    <n v="0"/>
    <n v="0"/>
    <n v="0"/>
    <n v="0"/>
    <n v="0"/>
    <n v="0"/>
    <n v="0"/>
    <n v="0"/>
    <s v="Continued"/>
    <n v="96"/>
    <n v="384"/>
    <n v="384"/>
    <n v="864"/>
    <n v="170"/>
    <n v="146880"/>
    <s v="Summer 2020"/>
    <n v="0"/>
    <n v="0"/>
    <n v="0"/>
    <n v="0"/>
    <n v="0"/>
    <n v="0"/>
    <n v="0"/>
    <n v="0"/>
    <s v="Continued"/>
    <n v="96"/>
    <n v="384"/>
    <n v="384"/>
    <n v="864"/>
    <n v="170"/>
    <n v="146880"/>
    <s v="Summer 2020"/>
    <n v="96"/>
    <n v="16320"/>
    <n v="384"/>
    <n v="65280"/>
    <n v="384"/>
    <n v="65280"/>
    <n v="864"/>
    <n v="146880"/>
    <n v="864"/>
    <n v="146880"/>
    <n v="6.8635514018691586"/>
  </r>
  <r>
    <x v="327"/>
    <m/>
    <s v="N"/>
    <n v="516215"/>
    <m/>
    <m/>
    <s v="14"/>
    <x v="5"/>
    <x v="0"/>
    <x v="17"/>
    <n v="10800"/>
    <s v="Summer 2020"/>
    <x v="256"/>
    <x v="250"/>
    <s v="Elementary Spanish I and Elementary Spanish II"/>
    <s v="SPAN 1001, SPAN 1002"/>
    <s v="Foreign Languages"/>
    <m/>
    <m/>
    <s v="No"/>
    <s v="In Progress"/>
    <x v="5"/>
    <s v="In Progress"/>
    <s v="In Progress"/>
    <n v="67718.399999999994"/>
    <n v="480"/>
    <n v="141.08000000000001"/>
    <s v="60"/>
    <s v="270"/>
    <s v="150"/>
    <s v="Summer 2020"/>
    <s v="N"/>
    <m/>
    <m/>
    <s v="Continued"/>
    <n v="0"/>
    <n v="0"/>
    <n v="0"/>
    <n v="0"/>
    <n v="0"/>
    <n v="0"/>
    <n v="0"/>
    <n v="0"/>
    <n v="0"/>
    <n v="0"/>
    <n v="0"/>
    <n v="0"/>
    <n v="0"/>
    <n v="0"/>
    <n v="0"/>
    <n v="0"/>
    <n v="0"/>
    <n v="0"/>
    <n v="0"/>
    <n v="0"/>
    <n v="0"/>
    <n v="0"/>
    <n v="0"/>
    <n v="0"/>
    <n v="0"/>
    <n v="0"/>
    <n v="0"/>
    <n v="0"/>
    <x v="0"/>
    <n v="0"/>
    <n v="0"/>
    <n v="0"/>
    <n v="0"/>
    <n v="0"/>
    <n v="0"/>
    <n v="0"/>
    <n v="0"/>
    <n v="0"/>
    <n v="0"/>
    <n v="0"/>
    <n v="0"/>
    <n v="0"/>
    <n v="0"/>
    <s v="Continued"/>
    <s v="60"/>
    <s v="270"/>
    <s v="150"/>
    <n v="480"/>
    <n v="141.08000000000001"/>
    <n v="67718.400000000009"/>
    <s v="Summer 2020"/>
    <n v="0"/>
    <n v="0"/>
    <n v="0"/>
    <n v="0"/>
    <n v="0"/>
    <n v="0"/>
    <n v="0"/>
    <n v="0"/>
    <s v="Continued"/>
    <s v="60"/>
    <s v="270"/>
    <s v="150"/>
    <n v="480"/>
    <n v="141.08000000000001"/>
    <n v="67718.400000000009"/>
    <s v="Summer 2020"/>
    <s v="60"/>
    <n v="8464.8000000000011"/>
    <s v="270"/>
    <n v="38091.600000000006"/>
    <s v="150"/>
    <n v="21162.000000000004"/>
    <n v="480"/>
    <n v="67718.400000000009"/>
    <n v="480"/>
    <n v="67718.400000000009"/>
    <n v="6.2702222222222233"/>
  </r>
  <r>
    <x v="328"/>
    <m/>
    <s v="N"/>
    <n v="516175"/>
    <m/>
    <m/>
    <s v="14"/>
    <x v="5"/>
    <x v="0"/>
    <x v="2"/>
    <n v="10800"/>
    <s v="Summer 2020"/>
    <x v="257"/>
    <x v="251"/>
    <s v="Computer Science II (Software Development)"/>
    <s v="CSCI 1302"/>
    <s v="Computing Disciplines"/>
    <m/>
    <m/>
    <s v="No"/>
    <s v="In Progress"/>
    <x v="5"/>
    <s v="In Progress"/>
    <s v="In Progress"/>
    <n v="109884.88"/>
    <n v="634"/>
    <n v="173.32"/>
    <s v="48"/>
    <s v="293"/>
    <s v="293"/>
    <s v="Summer 2020"/>
    <s v="N"/>
    <m/>
    <m/>
    <s v="Continued"/>
    <n v="0"/>
    <n v="0"/>
    <n v="0"/>
    <n v="0"/>
    <n v="0"/>
    <n v="0"/>
    <n v="0"/>
    <n v="0"/>
    <n v="0"/>
    <n v="0"/>
    <n v="0"/>
    <n v="0"/>
    <n v="0"/>
    <n v="0"/>
    <n v="0"/>
    <n v="0"/>
    <n v="0"/>
    <n v="0"/>
    <n v="0"/>
    <n v="0"/>
    <n v="0"/>
    <n v="0"/>
    <n v="0"/>
    <n v="0"/>
    <n v="0"/>
    <n v="0"/>
    <n v="0"/>
    <n v="0"/>
    <x v="0"/>
    <n v="0"/>
    <n v="0"/>
    <n v="0"/>
    <n v="0"/>
    <n v="0"/>
    <n v="0"/>
    <n v="0"/>
    <n v="0"/>
    <n v="0"/>
    <n v="0"/>
    <n v="0"/>
    <n v="0"/>
    <n v="0"/>
    <n v="0"/>
    <s v="Continued"/>
    <s v="48"/>
    <s v="293"/>
    <s v="293"/>
    <n v="634"/>
    <n v="173.32"/>
    <n v="109884.87999999999"/>
    <s v="Summer 2020"/>
    <n v="0"/>
    <n v="0"/>
    <n v="0"/>
    <n v="0"/>
    <n v="0"/>
    <n v="0"/>
    <n v="0"/>
    <n v="0"/>
    <s v="Continued"/>
    <s v="48"/>
    <s v="293"/>
    <s v="293"/>
    <n v="634"/>
    <n v="173.32"/>
    <n v="109884.87999999999"/>
    <s v="Summer 2020"/>
    <s v="48"/>
    <n v="8319.36"/>
    <s v="293"/>
    <n v="50782.759999999995"/>
    <s v="293"/>
    <n v="50782.759999999995"/>
    <n v="634"/>
    <n v="109884.87999999999"/>
    <n v="634"/>
    <n v="109884.87999999999"/>
    <n v="10.174525925925925"/>
  </r>
  <r>
    <x v="329"/>
    <m/>
    <s v="N"/>
    <n v="516216"/>
    <m/>
    <m/>
    <s v="14"/>
    <x v="5"/>
    <x v="0"/>
    <x v="17"/>
    <n v="10800"/>
    <s v="Summer 2020"/>
    <x v="258"/>
    <x v="252"/>
    <s v="Music Appreciation"/>
    <s v="MUSC 1100"/>
    <s v="Fine and Applied Arts"/>
    <m/>
    <m/>
    <s v="Yes"/>
    <s v="In Progress"/>
    <x v="5"/>
    <s v="In Progress"/>
    <s v="In Progress"/>
    <n v="68250"/>
    <n v="455"/>
    <n v="150"/>
    <s v="35"/>
    <s v="210"/>
    <s v="210"/>
    <s v="Summer 2020"/>
    <s v="N"/>
    <m/>
    <m/>
    <s v="Continued"/>
    <n v="0"/>
    <n v="0"/>
    <n v="0"/>
    <n v="0"/>
    <n v="0"/>
    <n v="0"/>
    <n v="0"/>
    <n v="0"/>
    <n v="0"/>
    <n v="0"/>
    <n v="0"/>
    <n v="0"/>
    <n v="0"/>
    <n v="0"/>
    <n v="0"/>
    <n v="0"/>
    <n v="0"/>
    <n v="0"/>
    <n v="0"/>
    <n v="0"/>
    <n v="0"/>
    <n v="0"/>
    <n v="0"/>
    <n v="0"/>
    <n v="0"/>
    <n v="0"/>
    <n v="0"/>
    <n v="0"/>
    <x v="0"/>
    <n v="0"/>
    <n v="0"/>
    <n v="0"/>
    <n v="0"/>
    <n v="0"/>
    <n v="0"/>
    <n v="0"/>
    <n v="0"/>
    <n v="0"/>
    <n v="0"/>
    <n v="0"/>
    <n v="0"/>
    <n v="0"/>
    <n v="0"/>
    <s v="Continued"/>
    <s v="35"/>
    <s v="210"/>
    <s v="210"/>
    <n v="455"/>
    <n v="150"/>
    <n v="68250"/>
    <s v="Summer 2020"/>
    <n v="0"/>
    <n v="0"/>
    <n v="0"/>
    <n v="0"/>
    <n v="0"/>
    <n v="0"/>
    <n v="0"/>
    <n v="0"/>
    <s v="Continued"/>
    <s v="35"/>
    <s v="210"/>
    <s v="210"/>
    <n v="455"/>
    <n v="150"/>
    <n v="68250"/>
    <s v="Summer 2020"/>
    <s v="35"/>
    <n v="5250"/>
    <s v="210"/>
    <n v="31500"/>
    <s v="210"/>
    <n v="31500"/>
    <n v="455"/>
    <n v="68250"/>
    <n v="455"/>
    <n v="68250"/>
    <n v="6.3194444444444446"/>
  </r>
  <r>
    <x v="330"/>
    <m/>
    <s v="N"/>
    <n v="516259"/>
    <m/>
    <m/>
    <s v="14"/>
    <x v="5"/>
    <x v="0"/>
    <x v="7"/>
    <n v="18500"/>
    <s v="Spring 2020"/>
    <x v="259"/>
    <x v="253"/>
    <s v="Comprehensive General Chemistry"/>
    <s v="CHEM 1310"/>
    <s v="Chemistry"/>
    <m/>
    <m/>
    <s v="Yes"/>
    <s v="In Progress"/>
    <x v="5"/>
    <s v="In Progress"/>
    <s v="In Progress"/>
    <n v="90480"/>
    <n v="624"/>
    <n v="145"/>
    <s v="48"/>
    <s v="384"/>
    <s v="192"/>
    <s v="Spring 2020"/>
    <s v="N"/>
    <m/>
    <m/>
    <s v="Continued"/>
    <n v="0"/>
    <n v="0"/>
    <n v="0"/>
    <n v="0"/>
    <n v="0"/>
    <n v="0"/>
    <n v="0"/>
    <n v="0"/>
    <n v="0"/>
    <n v="0"/>
    <n v="0"/>
    <n v="0"/>
    <n v="0"/>
    <n v="0"/>
    <n v="0"/>
    <n v="0"/>
    <n v="0"/>
    <n v="0"/>
    <n v="0"/>
    <n v="0"/>
    <n v="0"/>
    <n v="0"/>
    <n v="0"/>
    <n v="0"/>
    <n v="0"/>
    <n v="0"/>
    <n v="0"/>
    <n v="0"/>
    <x v="0"/>
    <n v="0"/>
    <n v="0"/>
    <n v="0"/>
    <n v="0"/>
    <n v="0"/>
    <n v="0"/>
    <n v="0"/>
    <n v="0"/>
    <n v="0"/>
    <n v="0"/>
    <n v="0"/>
    <n v="0"/>
    <n v="0"/>
    <n v="0"/>
    <s v="Continued"/>
    <s v="48"/>
    <s v="384"/>
    <s v="192"/>
    <n v="624"/>
    <n v="145"/>
    <n v="90480"/>
    <s v="Spring 2020"/>
    <n v="0"/>
    <n v="0"/>
    <n v="0"/>
    <n v="0"/>
    <s v="192"/>
    <n v="27840"/>
    <n v="192"/>
    <n v="27840"/>
    <s v="Continued"/>
    <s v="48"/>
    <s v="384"/>
    <s v="192"/>
    <n v="624"/>
    <n v="145"/>
    <n v="90480"/>
    <s v="Spring 2020"/>
    <s v="48"/>
    <n v="6960"/>
    <s v="384"/>
    <n v="55680"/>
    <s v="192"/>
    <n v="27840"/>
    <n v="624"/>
    <n v="90480"/>
    <n v="816"/>
    <n v="118320"/>
    <n v="6.3956756756756761"/>
  </r>
  <r>
    <x v="331"/>
    <m/>
    <s v="N"/>
    <n v="516323"/>
    <m/>
    <m/>
    <s v="14"/>
    <x v="5"/>
    <x v="0"/>
    <x v="1"/>
    <n v="30000"/>
    <s v="Summer 2020"/>
    <x v="61"/>
    <x v="61"/>
    <s v="Introduction to Human Development"/>
    <s v="PSYC 2103"/>
    <s v="Psychology"/>
    <m/>
    <m/>
    <s v="No"/>
    <s v="In Progress"/>
    <x v="5"/>
    <s v="In Progress"/>
    <s v="In Progress"/>
    <n v="274032"/>
    <n v="1384"/>
    <n v="198"/>
    <s v="105"/>
    <s v="685"/>
    <s v="538"/>
    <s v="Summer 2020"/>
    <s v="N"/>
    <m/>
    <m/>
    <s v="Continued"/>
    <n v="0"/>
    <n v="0"/>
    <n v="0"/>
    <n v="0"/>
    <n v="0"/>
    <n v="0"/>
    <n v="0"/>
    <n v="0"/>
    <n v="0"/>
    <n v="0"/>
    <n v="0"/>
    <n v="0"/>
    <n v="0"/>
    <n v="0"/>
    <n v="0"/>
    <n v="0"/>
    <n v="0"/>
    <n v="0"/>
    <n v="0"/>
    <n v="0"/>
    <n v="0"/>
    <n v="0"/>
    <n v="0"/>
    <n v="0"/>
    <n v="0"/>
    <n v="0"/>
    <n v="0"/>
    <n v="0"/>
    <x v="0"/>
    <n v="0"/>
    <n v="0"/>
    <n v="0"/>
    <n v="0"/>
    <n v="0"/>
    <n v="0"/>
    <n v="0"/>
    <n v="0"/>
    <n v="0"/>
    <n v="0"/>
    <n v="0"/>
    <n v="0"/>
    <n v="0"/>
    <n v="0"/>
    <s v="Continued"/>
    <s v="105"/>
    <s v="685"/>
    <s v="538"/>
    <n v="1328"/>
    <n v="198"/>
    <n v="262944"/>
    <s v="Summer 2020"/>
    <n v="0"/>
    <n v="0"/>
    <n v="0"/>
    <n v="0"/>
    <n v="0"/>
    <n v="0"/>
    <n v="0"/>
    <n v="0"/>
    <s v="Continued"/>
    <s v="105"/>
    <s v="685"/>
    <s v="538"/>
    <n v="1328"/>
    <n v="198"/>
    <n v="262944"/>
    <s v="Summer 2020"/>
    <s v="105"/>
    <n v="20790"/>
    <s v="685"/>
    <n v="135630"/>
    <s v="538"/>
    <n v="106524"/>
    <n v="1328"/>
    <n v="262944"/>
    <n v="1328"/>
    <n v="262944"/>
    <n v="8.7647999999999993"/>
  </r>
  <r>
    <x v="332"/>
    <m/>
    <s v="N"/>
    <n v="516148"/>
    <m/>
    <m/>
    <s v="14"/>
    <x v="5"/>
    <x v="0"/>
    <x v="21"/>
    <n v="25800"/>
    <s v="Summer 2020"/>
    <x v="260"/>
    <x v="254"/>
    <s v="Discrete Math"/>
    <s v="MATH 2300"/>
    <s v="Mathematical Subjects"/>
    <m/>
    <m/>
    <s v="No"/>
    <s v="In Progress"/>
    <x v="5"/>
    <s v="In Progress"/>
    <s v="In Progress"/>
    <n v="69064.800000000003"/>
    <n v="336"/>
    <n v="205.55"/>
    <s v="56"/>
    <s v="140"/>
    <s v="140"/>
    <s v="Summer 2020"/>
    <s v="N"/>
    <m/>
    <m/>
    <s v="Continued"/>
    <n v="0"/>
    <n v="0"/>
    <n v="0"/>
    <n v="0"/>
    <n v="0"/>
    <n v="0"/>
    <n v="0"/>
    <n v="0"/>
    <n v="0"/>
    <n v="0"/>
    <n v="0"/>
    <n v="0"/>
    <n v="0"/>
    <n v="0"/>
    <n v="0"/>
    <n v="0"/>
    <n v="0"/>
    <n v="0"/>
    <n v="0"/>
    <n v="0"/>
    <n v="0"/>
    <n v="0"/>
    <n v="0"/>
    <n v="0"/>
    <n v="0"/>
    <n v="0"/>
    <n v="0"/>
    <n v="0"/>
    <x v="0"/>
    <n v="0"/>
    <n v="0"/>
    <n v="0"/>
    <n v="0"/>
    <n v="0"/>
    <n v="0"/>
    <n v="0"/>
    <n v="0"/>
    <n v="0"/>
    <n v="0"/>
    <n v="0"/>
    <n v="0"/>
    <n v="0"/>
    <n v="0"/>
    <s v="Continued"/>
    <s v="56"/>
    <s v="140"/>
    <s v="140"/>
    <n v="336"/>
    <n v="205.55"/>
    <n v="69064.800000000003"/>
    <s v="Summer 2020"/>
    <n v="0"/>
    <n v="0"/>
    <n v="0"/>
    <n v="0"/>
    <n v="0"/>
    <n v="0"/>
    <n v="0"/>
    <n v="0"/>
    <s v="Continued"/>
    <s v="56"/>
    <s v="140"/>
    <s v="140"/>
    <n v="336"/>
    <n v="205.55"/>
    <n v="69064.800000000003"/>
    <s v="Summer 2020"/>
    <s v="56"/>
    <n v="11510.800000000001"/>
    <s v="140"/>
    <n v="28777"/>
    <s v="140"/>
    <n v="28777"/>
    <n v="336"/>
    <n v="69064.800000000003"/>
    <n v="336"/>
    <n v="69064.800000000003"/>
    <n v="2.6769302325581394"/>
  </r>
  <r>
    <x v="333"/>
    <m/>
    <m/>
    <n v="516226"/>
    <m/>
    <m/>
    <s v="14"/>
    <x v="5"/>
    <x v="1"/>
    <x v="14"/>
    <n v="4800"/>
    <s v="Spring 2020"/>
    <x v="98"/>
    <x v="98"/>
    <s v="Plants, Society, and the Environment"/>
    <s v="BIOL 1020"/>
    <s v="Biological Sciences"/>
    <m/>
    <m/>
    <s v="n/a"/>
    <s v="In Progress"/>
    <x v="5"/>
    <s v="In Progress"/>
    <s v="In Progress"/>
    <n v="0"/>
    <n v="0"/>
    <n v="0"/>
    <n v="0"/>
    <n v="0"/>
    <n v="0"/>
    <s v="Spring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pring 2020"/>
    <n v="0"/>
    <n v="0"/>
    <n v="0"/>
    <n v="0"/>
    <n v="0"/>
    <n v="0"/>
    <n v="0"/>
    <n v="0"/>
    <s v="Mini-Grant"/>
    <n v="0"/>
    <n v="0"/>
    <n v="0"/>
    <n v="0"/>
    <n v="0"/>
    <n v="0"/>
    <s v="Spring 2020"/>
    <n v="0"/>
    <n v="0"/>
    <n v="0"/>
    <n v="0"/>
    <n v="0"/>
    <n v="0"/>
    <n v="0"/>
    <n v="0"/>
    <n v="0"/>
    <n v="0"/>
    <n v="0"/>
  </r>
  <r>
    <x v="334"/>
    <m/>
    <m/>
    <n v="516206"/>
    <m/>
    <m/>
    <s v="14"/>
    <x v="5"/>
    <x v="1"/>
    <x v="3"/>
    <n v="4800"/>
    <s v="Spring 2020"/>
    <x v="170"/>
    <x v="55"/>
    <s v="Fundamentals of Speech"/>
    <s v="COMM 1110"/>
    <s v="Communication"/>
    <m/>
    <m/>
    <s v="n/a"/>
    <s v="In Progress"/>
    <x v="5"/>
    <s v="In Progress"/>
    <s v="In Progress"/>
    <n v="0"/>
    <n v="0"/>
    <n v="0"/>
    <n v="0"/>
    <n v="0"/>
    <n v="0"/>
    <s v="Spring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pring 2020"/>
    <n v="0"/>
    <n v="0"/>
    <n v="0"/>
    <n v="0"/>
    <n v="0"/>
    <n v="0"/>
    <n v="0"/>
    <n v="0"/>
    <s v="Mini-Grant"/>
    <n v="0"/>
    <n v="0"/>
    <n v="0"/>
    <n v="0"/>
    <n v="0"/>
    <n v="0"/>
    <s v="Spring 2020"/>
    <n v="0"/>
    <n v="0"/>
    <n v="0"/>
    <n v="0"/>
    <n v="0"/>
    <n v="0"/>
    <n v="0"/>
    <n v="0"/>
    <n v="0"/>
    <n v="0"/>
    <n v="0"/>
  </r>
  <r>
    <x v="335"/>
    <m/>
    <m/>
    <n v="516227"/>
    <m/>
    <m/>
    <s v="14"/>
    <x v="5"/>
    <x v="1"/>
    <x v="14"/>
    <n v="4800"/>
    <s v="Summer 2020"/>
    <x v="261"/>
    <x v="135"/>
    <s v="American History II"/>
    <s v="HIST 2112"/>
    <s v="History"/>
    <m/>
    <m/>
    <s v="n/a"/>
    <s v="In Progress"/>
    <x v="5"/>
    <s v="In Progress"/>
    <s v="In Progress"/>
    <n v="0"/>
    <n v="0"/>
    <n v="0"/>
    <n v="0"/>
    <n v="0"/>
    <n v="0"/>
    <s v="Summer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36"/>
    <m/>
    <m/>
    <n v="516228"/>
    <m/>
    <m/>
    <s v="14"/>
    <x v="5"/>
    <x v="1"/>
    <x v="14"/>
    <n v="2800"/>
    <s v="Spring 2020"/>
    <x v="262"/>
    <x v="255"/>
    <s v="Principles of Biology II"/>
    <s v="BIOL 2108"/>
    <s v="Biological Sciences"/>
    <m/>
    <m/>
    <s v="n/a"/>
    <s v="In Progress"/>
    <x v="5"/>
    <s v="In Progress"/>
    <s v="In Progress"/>
    <n v="0"/>
    <n v="0"/>
    <n v="0"/>
    <n v="0"/>
    <n v="0"/>
    <n v="0"/>
    <s v="Spring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pring 2020"/>
    <n v="0"/>
    <n v="0"/>
    <n v="0"/>
    <n v="0"/>
    <n v="0"/>
    <n v="0"/>
    <n v="0"/>
    <n v="0"/>
    <s v="Mini-Grant"/>
    <n v="0"/>
    <n v="0"/>
    <n v="0"/>
    <n v="0"/>
    <n v="0"/>
    <n v="0"/>
    <s v="Spring 2020"/>
    <n v="0"/>
    <n v="0"/>
    <n v="0"/>
    <n v="0"/>
    <n v="0"/>
    <n v="0"/>
    <n v="0"/>
    <n v="0"/>
    <n v="0"/>
    <n v="0"/>
    <n v="0"/>
  </r>
  <r>
    <x v="337"/>
    <m/>
    <m/>
    <n v="516277"/>
    <m/>
    <m/>
    <s v="14"/>
    <x v="5"/>
    <x v="1"/>
    <x v="1"/>
    <n v="2800"/>
    <s v="Spring 2020"/>
    <x v="263"/>
    <x v="194"/>
    <s v="Fundamentals of Blockchain and Smart Contracts"/>
    <s v="SWE 4490"/>
    <s v="Computing Disciplines"/>
    <m/>
    <m/>
    <s v="n/a"/>
    <s v="In Progress"/>
    <x v="5"/>
    <s v="In Progress"/>
    <s v="In Progress"/>
    <n v="0"/>
    <n v="0"/>
    <n v="0"/>
    <n v="0"/>
    <n v="0"/>
    <n v="0"/>
    <s v="Spring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pring 2020"/>
    <n v="0"/>
    <n v="0"/>
    <n v="0"/>
    <n v="0"/>
    <n v="0"/>
    <n v="0"/>
    <n v="0"/>
    <n v="0"/>
    <s v="Mini-Grant"/>
    <n v="0"/>
    <n v="0"/>
    <n v="0"/>
    <n v="0"/>
    <n v="0"/>
    <n v="0"/>
    <s v="Spring 2020"/>
    <n v="0"/>
    <n v="0"/>
    <n v="0"/>
    <n v="0"/>
    <n v="0"/>
    <n v="0"/>
    <n v="0"/>
    <n v="0"/>
    <n v="0"/>
    <n v="0"/>
    <n v="0"/>
  </r>
  <r>
    <x v="338"/>
    <m/>
    <m/>
    <n v="516229"/>
    <m/>
    <m/>
    <s v="14"/>
    <x v="5"/>
    <x v="1"/>
    <x v="14"/>
    <n v="4800"/>
    <s v="Spring 2020"/>
    <x v="175"/>
    <x v="174"/>
    <s v="Fitness Walking and Jogging"/>
    <s v="PHED 1130"/>
    <s v="Kinesiology"/>
    <m/>
    <m/>
    <s v="n/a"/>
    <s v="In Progress"/>
    <x v="5"/>
    <s v="In Progress"/>
    <s v="In Progress"/>
    <n v="0"/>
    <n v="0"/>
    <n v="0"/>
    <n v="0"/>
    <n v="0"/>
    <n v="0"/>
    <s v="Spring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pring 2020"/>
    <n v="0"/>
    <n v="0"/>
    <n v="0"/>
    <n v="0"/>
    <n v="0"/>
    <n v="0"/>
    <n v="0"/>
    <n v="0"/>
    <s v="Mini-Grant"/>
    <n v="0"/>
    <n v="0"/>
    <n v="0"/>
    <n v="0"/>
    <n v="0"/>
    <n v="0"/>
    <s v="Spring 2020"/>
    <n v="0"/>
    <n v="0"/>
    <n v="0"/>
    <n v="0"/>
    <n v="0"/>
    <n v="0"/>
    <n v="0"/>
    <n v="0"/>
    <n v="0"/>
    <n v="0"/>
    <n v="0"/>
  </r>
  <r>
    <x v="339"/>
    <m/>
    <m/>
    <n v="516217"/>
    <m/>
    <m/>
    <s v="14"/>
    <x v="5"/>
    <x v="1"/>
    <x v="10"/>
    <n v="4800"/>
    <s v="Spring 2020"/>
    <x v="264"/>
    <x v="256"/>
    <s v="Principles of Chemistry I and II"/>
    <s v="CHEM 1211, CHEM 1151"/>
    <s v="Chemistry"/>
    <m/>
    <m/>
    <s v="n/a"/>
    <s v="In Progress"/>
    <x v="5"/>
    <s v="In Progress"/>
    <s v="In Progress"/>
    <n v="0"/>
    <n v="0"/>
    <n v="0"/>
    <n v="0"/>
    <n v="0"/>
    <n v="0"/>
    <s v="Spring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pring 2020"/>
    <n v="0"/>
    <n v="0"/>
    <n v="0"/>
    <n v="0"/>
    <n v="0"/>
    <n v="0"/>
    <n v="0"/>
    <n v="0"/>
    <s v="Mini-Grant"/>
    <n v="0"/>
    <n v="0"/>
    <n v="0"/>
    <n v="0"/>
    <n v="0"/>
    <n v="0"/>
    <s v="Spring 2020"/>
    <n v="0"/>
    <n v="0"/>
    <n v="0"/>
    <n v="0"/>
    <n v="0"/>
    <n v="0"/>
    <n v="0"/>
    <n v="0"/>
    <n v="0"/>
    <n v="0"/>
    <n v="0"/>
  </r>
  <r>
    <x v="340"/>
    <m/>
    <m/>
    <n v="516230"/>
    <m/>
    <m/>
    <s v="14"/>
    <x v="5"/>
    <x v="1"/>
    <x v="14"/>
    <n v="2000"/>
    <s v="Spring 2020"/>
    <x v="261"/>
    <x v="135"/>
    <s v="World Civilizations II"/>
    <s v="HIST 1112"/>
    <s v="History"/>
    <m/>
    <m/>
    <s v="n/a"/>
    <s v="In Progress"/>
    <x v="5"/>
    <s v="In Progress"/>
    <s v="In Progress"/>
    <n v="0"/>
    <n v="0"/>
    <n v="0"/>
    <n v="0"/>
    <n v="0"/>
    <n v="0"/>
    <s v="Spring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pring 2020"/>
    <n v="0"/>
    <n v="0"/>
    <n v="0"/>
    <n v="0"/>
    <n v="0"/>
    <n v="0"/>
    <n v="0"/>
    <n v="0"/>
    <s v="Mini-Grant"/>
    <n v="0"/>
    <n v="0"/>
    <n v="0"/>
    <n v="0"/>
    <n v="0"/>
    <n v="0"/>
    <s v="Spring 2020"/>
    <n v="0"/>
    <n v="0"/>
    <n v="0"/>
    <n v="0"/>
    <n v="0"/>
    <n v="0"/>
    <n v="0"/>
    <n v="0"/>
    <n v="0"/>
    <n v="0"/>
    <n v="0"/>
  </r>
  <r>
    <x v="341"/>
    <m/>
    <m/>
    <n v="516208"/>
    <m/>
    <m/>
    <s v="14"/>
    <x v="5"/>
    <x v="1"/>
    <x v="3"/>
    <n v="4800"/>
    <s v="Spring 2020"/>
    <x v="265"/>
    <x v="257"/>
    <s v="Theatre Appreciation"/>
    <s v="THEA 1100"/>
    <s v="Fine and Applied Arts"/>
    <m/>
    <m/>
    <s v="n/a"/>
    <s v="In Progress"/>
    <x v="5"/>
    <s v="In Progress"/>
    <s v="In Progress"/>
    <n v="0"/>
    <n v="0"/>
    <n v="0"/>
    <n v="0"/>
    <n v="0"/>
    <n v="0"/>
    <s v="Spring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pring 2020"/>
    <n v="0"/>
    <n v="0"/>
    <n v="0"/>
    <n v="0"/>
    <n v="0"/>
    <n v="0"/>
    <n v="0"/>
    <n v="0"/>
    <s v="Mini-Grant"/>
    <n v="0"/>
    <n v="0"/>
    <n v="0"/>
    <n v="0"/>
    <n v="0"/>
    <n v="0"/>
    <s v="Spring 2020"/>
    <n v="0"/>
    <n v="0"/>
    <n v="0"/>
    <n v="0"/>
    <n v="0"/>
    <n v="0"/>
    <n v="0"/>
    <n v="0"/>
    <n v="0"/>
    <n v="0"/>
    <n v="0"/>
  </r>
  <r>
    <x v="342"/>
    <m/>
    <m/>
    <n v="516218"/>
    <m/>
    <m/>
    <s v="14"/>
    <x v="5"/>
    <x v="1"/>
    <x v="10"/>
    <n v="4800"/>
    <s v="Summer 2020"/>
    <x v="264"/>
    <x v="256"/>
    <s v="Survey of Chemistry II, Survey of Biochemistry, Biochemistry I &amp; II"/>
    <s v="CHEM 1152, CHEM 3100, CHEM 4841K,, CHEM 4842K"/>
    <s v="Chemistry"/>
    <m/>
    <m/>
    <s v="n/a"/>
    <s v="In Progress"/>
    <x v="5"/>
    <s v="In Progress"/>
    <s v="In Progress"/>
    <n v="0"/>
    <n v="0"/>
    <n v="0"/>
    <n v="0"/>
    <n v="0"/>
    <n v="0"/>
    <s v="Summer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43"/>
    <m/>
    <m/>
    <n v="516261"/>
    <m/>
    <m/>
    <s v="14"/>
    <x v="5"/>
    <x v="1"/>
    <x v="1"/>
    <n v="4800"/>
    <s v="Summer 2020"/>
    <x v="211"/>
    <x v="207"/>
    <s v="Ethical Hacking and Networking Security"/>
    <s v="IT 6843"/>
    <s v="Computing Disciplines"/>
    <m/>
    <m/>
    <s v="n/a"/>
    <s v="In Progress"/>
    <x v="5"/>
    <s v="In Progress"/>
    <s v="In Progress"/>
    <n v="0"/>
    <n v="0"/>
    <n v="0"/>
    <n v="0"/>
    <n v="0"/>
    <n v="0"/>
    <s v="Summer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44"/>
    <m/>
    <m/>
    <n v="516176"/>
    <m/>
    <m/>
    <s v="14"/>
    <x v="5"/>
    <x v="1"/>
    <x v="2"/>
    <n v="2800"/>
    <s v="Summer 2020"/>
    <x v="266"/>
    <x v="258"/>
    <s v="Quantitative Chemical Analysis Lab"/>
    <s v="CHEM 2300L"/>
    <s v="Chemistry"/>
    <m/>
    <m/>
    <s v="n/a"/>
    <s v="In Progress"/>
    <x v="5"/>
    <s v="In Progress"/>
    <s v="In Progress"/>
    <n v="0"/>
    <n v="0"/>
    <n v="0"/>
    <n v="0"/>
    <n v="0"/>
    <n v="0"/>
    <s v="Summer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45"/>
    <m/>
    <m/>
    <n v="516181"/>
    <m/>
    <m/>
    <s v="14"/>
    <x v="5"/>
    <x v="1"/>
    <x v="2"/>
    <n v="2800"/>
    <s v="Summer 2020"/>
    <x v="266"/>
    <x v="258"/>
    <s v="Quantitative Analysis"/>
    <s v="CHEM 2300"/>
    <s v="Chemistry"/>
    <m/>
    <m/>
    <s v="n/a"/>
    <s v="In Progress"/>
    <x v="5"/>
    <s v="In Progress"/>
    <s v="In Progress"/>
    <n v="0"/>
    <n v="0"/>
    <n v="0"/>
    <n v="0"/>
    <n v="0"/>
    <n v="0"/>
    <s v="Summer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46"/>
    <m/>
    <m/>
    <n v="516200"/>
    <m/>
    <m/>
    <s v="14"/>
    <x v="5"/>
    <x v="1"/>
    <x v="18"/>
    <n v="4000"/>
    <s v="Spring 2020"/>
    <x v="267"/>
    <x v="259"/>
    <s v="Introductory Statistics"/>
    <s v="MATH 1404"/>
    <s v="Mathematical Subjects"/>
    <m/>
    <m/>
    <s v="n/a"/>
    <s v="In Progress"/>
    <x v="5"/>
    <s v="In Progress"/>
    <s v="In Progress"/>
    <n v="0"/>
    <n v="0"/>
    <n v="0"/>
    <n v="0"/>
    <n v="0"/>
    <n v="0"/>
    <s v="Spring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pring 2020"/>
    <n v="0"/>
    <n v="0"/>
    <n v="0"/>
    <n v="0"/>
    <n v="0"/>
    <n v="0"/>
    <n v="0"/>
    <n v="0"/>
    <s v="Mini-Grant"/>
    <n v="0"/>
    <n v="0"/>
    <n v="0"/>
    <n v="0"/>
    <n v="0"/>
    <n v="0"/>
    <s v="Spring 2020"/>
    <n v="0"/>
    <n v="0"/>
    <n v="0"/>
    <n v="0"/>
    <n v="0"/>
    <n v="0"/>
    <n v="0"/>
    <n v="0"/>
    <n v="0"/>
    <n v="0"/>
    <n v="0"/>
  </r>
  <r>
    <x v="347"/>
    <m/>
    <m/>
    <n v="516234"/>
    <m/>
    <m/>
    <s v="14"/>
    <x v="5"/>
    <x v="1"/>
    <x v="14"/>
    <n v="4800"/>
    <s v="Spring 2020"/>
    <x v="66"/>
    <x v="66"/>
    <s v="Introduction to General Psychology"/>
    <s v="PSYC 1101"/>
    <s v="Psychology"/>
    <m/>
    <m/>
    <s v="n/a"/>
    <s v="In Progress"/>
    <x v="5"/>
    <s v="In Progress"/>
    <s v="In Progress"/>
    <n v="0"/>
    <n v="0"/>
    <n v="0"/>
    <n v="0"/>
    <n v="0"/>
    <n v="0"/>
    <s v="Spring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pring 2020"/>
    <n v="0"/>
    <n v="0"/>
    <n v="0"/>
    <n v="0"/>
    <n v="0"/>
    <n v="0"/>
    <n v="0"/>
    <n v="0"/>
    <s v="Mini-Grant"/>
    <n v="0"/>
    <n v="0"/>
    <n v="0"/>
    <n v="0"/>
    <n v="0"/>
    <n v="0"/>
    <s v="Spring 2020"/>
    <n v="0"/>
    <n v="0"/>
    <n v="0"/>
    <n v="0"/>
    <n v="0"/>
    <n v="0"/>
    <n v="0"/>
    <n v="0"/>
    <n v="0"/>
    <n v="0"/>
    <n v="0"/>
  </r>
  <r>
    <x v="348"/>
    <m/>
    <m/>
    <n v="516263"/>
    <m/>
    <m/>
    <s v="14"/>
    <x v="5"/>
    <x v="1"/>
    <x v="1"/>
    <n v="4800"/>
    <s v="Summer 2020"/>
    <x v="268"/>
    <x v="23"/>
    <s v="Data Visualization"/>
    <s v="IT 7113"/>
    <s v="Computing Disciplines"/>
    <m/>
    <m/>
    <s v="n/a"/>
    <s v="In Progress"/>
    <x v="5"/>
    <s v="In Progress"/>
    <s v="In Progress"/>
    <n v="0"/>
    <n v="0"/>
    <n v="0"/>
    <n v="0"/>
    <n v="0"/>
    <n v="0"/>
    <s v="Summer 2020"/>
    <s v="N"/>
    <m/>
    <m/>
    <s v="Continued"/>
    <n v="0"/>
    <s v="n/a"/>
    <s v="n/a"/>
    <s v="n/a"/>
    <s v="n/a"/>
    <s v="n/a"/>
    <s v="n/a"/>
    <s v="n/a"/>
    <s v="n/a"/>
    <s v="n/a"/>
    <s v="n/a"/>
    <s v="n/a"/>
    <s v="n/a"/>
    <s v="n/a"/>
    <s v="n/a"/>
    <s v="n/a"/>
    <s v="n/a"/>
    <s v="n/a"/>
    <s v="n/a"/>
    <s v="n/a"/>
    <s v="n/a"/>
    <s v="n/a"/>
    <s v="n/a"/>
    <s v="n/a"/>
    <s v="n/a"/>
    <s v="n/a"/>
    <s v="n/a"/>
    <s v="n/a"/>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49"/>
    <m/>
    <s v="N"/>
    <n v="517199"/>
    <m/>
    <m/>
    <s v="15"/>
    <x v="6"/>
    <x v="0"/>
    <x v="21"/>
    <n v="25800"/>
    <s v="Fall 2020"/>
    <x v="269"/>
    <x v="260"/>
    <s v="Cell Biology"/>
    <s v="BIOL 3400"/>
    <s v="Biological Sciences"/>
    <m/>
    <m/>
    <m/>
    <m/>
    <x v="5"/>
    <s v="In Progress"/>
    <s v="In Progress"/>
    <n v="47034"/>
    <s v="216"/>
    <s v="$130.65"/>
    <s v="48"/>
    <s v="168"/>
    <n v="144"/>
    <s v="Fall 2020"/>
    <s v="N"/>
    <m/>
    <m/>
    <s v="Continued"/>
    <n v="0"/>
    <n v="0"/>
    <n v="0"/>
    <n v="0"/>
    <n v="0"/>
    <n v="0"/>
    <n v="0"/>
    <n v="0"/>
    <n v="0"/>
    <n v="0"/>
    <n v="0"/>
    <n v="0"/>
    <n v="0"/>
    <n v="0"/>
    <n v="0"/>
    <n v="0"/>
    <n v="0"/>
    <n v="0"/>
    <n v="0"/>
    <n v="0"/>
    <n v="0"/>
    <n v="0"/>
    <n v="0"/>
    <n v="0"/>
    <n v="0"/>
    <n v="0"/>
    <n v="0"/>
    <n v="0"/>
    <x v="0"/>
    <n v="0"/>
    <n v="0"/>
    <n v="0"/>
    <n v="0"/>
    <n v="0"/>
    <n v="0"/>
    <n v="0"/>
    <n v="0"/>
    <n v="0"/>
    <n v="0"/>
    <n v="0"/>
    <n v="0"/>
    <n v="0"/>
    <n v="0"/>
    <s v="Continued"/>
    <s v="48"/>
    <s v="168"/>
    <n v="144"/>
    <s v="216"/>
    <s v="$130.65"/>
    <n v="28220.400000000001"/>
    <s v="Fall 2020"/>
    <n v="0"/>
    <n v="0"/>
    <n v="0"/>
    <n v="0"/>
    <n v="0"/>
    <n v="0"/>
    <n v="0"/>
    <n v="0"/>
    <s v="Continued"/>
    <s v="48"/>
    <s v="168"/>
    <n v="144"/>
    <n v="360"/>
    <s v="$130.65"/>
    <n v="47034"/>
    <s v="Fall 2020"/>
    <n v="0"/>
    <n v="0"/>
    <s v="168"/>
    <n v="21949.200000000001"/>
    <n v="144"/>
    <n v="18813.600000000002"/>
    <n v="312"/>
    <n v="40762.800000000003"/>
    <n v="312"/>
    <n v="40762.800000000003"/>
    <n v="1.5799534883720932"/>
  </r>
  <r>
    <x v="350"/>
    <m/>
    <s v="N"/>
    <n v="517200"/>
    <m/>
    <m/>
    <s v="15"/>
    <x v="6"/>
    <x v="0"/>
    <x v="21"/>
    <n v="10800"/>
    <s v="Fall 2020"/>
    <x v="63"/>
    <x v="63"/>
    <s v="Web Development"/>
    <s v="ITEC 4450"/>
    <s v="Computing Disciplines"/>
    <m/>
    <m/>
    <m/>
    <m/>
    <x v="5"/>
    <s v="In Progress"/>
    <s v="In Progress"/>
    <n v="18447.800000000003"/>
    <s v="140"/>
    <n v="131.77000000000001"/>
    <s v="28"/>
    <s v="56"/>
    <s v="56"/>
    <s v="Fall 2020"/>
    <s v="N"/>
    <m/>
    <m/>
    <s v="Continued"/>
    <n v="0"/>
    <n v="0"/>
    <n v="0"/>
    <n v="0"/>
    <n v="0"/>
    <n v="0"/>
    <n v="0"/>
    <n v="0"/>
    <n v="0"/>
    <n v="0"/>
    <n v="0"/>
    <n v="0"/>
    <n v="0"/>
    <n v="0"/>
    <n v="0"/>
    <n v="0"/>
    <n v="0"/>
    <n v="0"/>
    <n v="0"/>
    <n v="0"/>
    <n v="0"/>
    <n v="0"/>
    <n v="0"/>
    <n v="0"/>
    <n v="0"/>
    <n v="0"/>
    <n v="0"/>
    <n v="0"/>
    <x v="0"/>
    <n v="0"/>
    <n v="0"/>
    <n v="0"/>
    <n v="0"/>
    <n v="0"/>
    <n v="0"/>
    <n v="0"/>
    <n v="0"/>
    <n v="0"/>
    <n v="0"/>
    <n v="0"/>
    <n v="0"/>
    <n v="0"/>
    <n v="0"/>
    <s v="Continued"/>
    <s v="28"/>
    <s v="56"/>
    <s v="56"/>
    <s v="140"/>
    <n v="131.77000000000001"/>
    <n v="18447.800000000003"/>
    <s v="Fall 2020"/>
    <n v="0"/>
    <n v="0"/>
    <n v="0"/>
    <n v="0"/>
    <n v="0"/>
    <n v="0"/>
    <n v="0"/>
    <n v="0"/>
    <s v="Continued"/>
    <s v="28"/>
    <s v="56"/>
    <s v="56"/>
    <n v="140"/>
    <n v="131.77000000000001"/>
    <n v="18447.800000000003"/>
    <s v="Fall 2020"/>
    <n v="0"/>
    <n v="0"/>
    <s v="56"/>
    <n v="7379.1200000000008"/>
    <s v="56"/>
    <n v="7379.1200000000008"/>
    <n v="112"/>
    <n v="14758.240000000002"/>
    <n v="112"/>
    <n v="14758.240000000002"/>
    <n v="1.3665037037037038"/>
  </r>
  <r>
    <x v="351"/>
    <m/>
    <s v="N"/>
    <n v="517187"/>
    <m/>
    <m/>
    <s v="15"/>
    <x v="6"/>
    <x v="0"/>
    <x v="18"/>
    <n v="10800"/>
    <s v="Fall 2020"/>
    <x v="270"/>
    <x v="261"/>
    <s v="Introductory Sociology"/>
    <s v="SOCI 1101"/>
    <s v="Sociology"/>
    <m/>
    <m/>
    <m/>
    <m/>
    <x v="5"/>
    <s v="In Progress"/>
    <s v="In Progress"/>
    <n v="33320"/>
    <s v="280"/>
    <s v="$119"/>
    <s v="40"/>
    <s v="120"/>
    <s v="120"/>
    <s v="Fall 2020"/>
    <s v="N"/>
    <m/>
    <m/>
    <s v="Continued"/>
    <n v="0"/>
    <n v="0"/>
    <n v="0"/>
    <n v="0"/>
    <n v="0"/>
    <n v="0"/>
    <n v="0"/>
    <n v="0"/>
    <n v="0"/>
    <n v="0"/>
    <n v="0"/>
    <n v="0"/>
    <n v="0"/>
    <n v="0"/>
    <n v="0"/>
    <n v="0"/>
    <n v="0"/>
    <n v="0"/>
    <n v="0"/>
    <n v="0"/>
    <n v="0"/>
    <n v="0"/>
    <n v="0"/>
    <n v="0"/>
    <n v="0"/>
    <n v="0"/>
    <n v="0"/>
    <n v="0"/>
    <x v="0"/>
    <n v="0"/>
    <n v="0"/>
    <n v="0"/>
    <n v="0"/>
    <n v="0"/>
    <n v="0"/>
    <n v="0"/>
    <n v="0"/>
    <n v="0"/>
    <n v="0"/>
    <n v="0"/>
    <n v="0"/>
    <n v="0"/>
    <n v="0"/>
    <s v="Continued"/>
    <s v="40"/>
    <s v="120"/>
    <s v="120"/>
    <s v="280"/>
    <s v="$119"/>
    <n v="33320"/>
    <s v="Fall 2020"/>
    <n v="0"/>
    <n v="0"/>
    <n v="0"/>
    <n v="0"/>
    <n v="0"/>
    <n v="0"/>
    <n v="0"/>
    <n v="0"/>
    <s v="Continued"/>
    <s v="40"/>
    <s v="120"/>
    <s v="120"/>
    <n v="280"/>
    <s v="$119"/>
    <n v="33320"/>
    <s v="Fall 2020"/>
    <n v="0"/>
    <n v="0"/>
    <s v="120"/>
    <n v="14280"/>
    <s v="120"/>
    <n v="14280"/>
    <n v="240"/>
    <n v="28560"/>
    <n v="240"/>
    <n v="28560"/>
    <n v="2.6444444444444444"/>
  </r>
  <r>
    <x v="352"/>
    <m/>
    <s v="N"/>
    <n v="517368"/>
    <m/>
    <m/>
    <s v="15"/>
    <x v="6"/>
    <x v="0"/>
    <x v="4"/>
    <n v="30000"/>
    <s v="Fall 2020"/>
    <x v="73"/>
    <x v="73"/>
    <s v="Policing in America, Social Science &amp; the American Crime Problem, Ethical Issues in Criminal Justice, Statistical Analysis in Criminal Justice"/>
    <s v="CRJU 2110, CRJU 2200, CRJU 3060, CRJU 3610"/>
    <s v="Criminal Justice"/>
    <m/>
    <m/>
    <m/>
    <m/>
    <x v="5"/>
    <s v="In Progress"/>
    <s v="In Progress"/>
    <n v="287175.60000000003"/>
    <s v="1655"/>
    <n v="173.52"/>
    <s v="215"/>
    <s v="720"/>
    <s v="720"/>
    <s v="Fall 2020"/>
    <s v="N"/>
    <m/>
    <m/>
    <s v="Continued"/>
    <n v="0"/>
    <n v="0"/>
    <n v="0"/>
    <n v="0"/>
    <n v="0"/>
    <n v="0"/>
    <n v="0"/>
    <n v="0"/>
    <n v="0"/>
    <n v="0"/>
    <n v="0"/>
    <n v="0"/>
    <n v="0"/>
    <n v="0"/>
    <n v="0"/>
    <n v="0"/>
    <n v="0"/>
    <n v="0"/>
    <n v="0"/>
    <n v="0"/>
    <n v="0"/>
    <n v="0"/>
    <n v="0"/>
    <n v="0"/>
    <n v="0"/>
    <n v="0"/>
    <n v="0"/>
    <n v="0"/>
    <x v="0"/>
    <n v="0"/>
    <n v="0"/>
    <n v="0"/>
    <n v="0"/>
    <n v="0"/>
    <n v="0"/>
    <n v="0"/>
    <n v="0"/>
    <n v="0"/>
    <n v="0"/>
    <n v="0"/>
    <n v="0"/>
    <n v="0"/>
    <n v="0"/>
    <s v="Continued"/>
    <s v="215"/>
    <s v="720"/>
    <s v="720"/>
    <s v="1655"/>
    <n v="173.52"/>
    <n v="287175.60000000003"/>
    <s v="Fall 2020"/>
    <n v="0"/>
    <n v="0"/>
    <n v="0"/>
    <n v="0"/>
    <n v="0"/>
    <n v="0"/>
    <n v="0"/>
    <n v="0"/>
    <s v="Continued"/>
    <s v="215"/>
    <s v="720"/>
    <s v="720"/>
    <n v="1655"/>
    <n v="173.52"/>
    <n v="287175.60000000003"/>
    <s v="Fall 2020"/>
    <n v="0"/>
    <n v="0"/>
    <s v="720"/>
    <n v="124934.40000000001"/>
    <s v="720"/>
    <n v="124934.40000000001"/>
    <n v="1440"/>
    <n v="249868.80000000002"/>
    <n v="1440"/>
    <n v="249868.80000000002"/>
    <n v="8.3289600000000004"/>
  </r>
  <r>
    <x v="353"/>
    <m/>
    <s v="N"/>
    <n v="517252"/>
    <m/>
    <m/>
    <s v="15"/>
    <x v="6"/>
    <x v="0"/>
    <x v="1"/>
    <n v="10800"/>
    <s v="Fall 2020"/>
    <x v="271"/>
    <x v="262"/>
    <s v="Elementary German 1 and 2, Intermediate German 1 and 2"/>
    <s v="GRMN 1001, GRMN 1002, GRMN 2001, GRMN 2002"/>
    <s v="Foreign Languages"/>
    <m/>
    <m/>
    <m/>
    <m/>
    <x v="5"/>
    <s v="In Progress"/>
    <s v="In Progress"/>
    <n v="43316.39"/>
    <n v="200"/>
    <n v="119.99"/>
    <s v="25"/>
    <s v="175"/>
    <s v="161"/>
    <s v="Spring 2020"/>
    <s v="N"/>
    <m/>
    <m/>
    <s v="Continued"/>
    <n v="0"/>
    <n v="0"/>
    <n v="0"/>
    <n v="0"/>
    <n v="0"/>
    <n v="0"/>
    <n v="0"/>
    <n v="0"/>
    <n v="0"/>
    <n v="0"/>
    <n v="0"/>
    <n v="0"/>
    <n v="0"/>
    <n v="0"/>
    <n v="0"/>
    <n v="0"/>
    <n v="0"/>
    <n v="0"/>
    <n v="0"/>
    <n v="0"/>
    <n v="0"/>
    <n v="0"/>
    <n v="0"/>
    <n v="0"/>
    <n v="0"/>
    <n v="0"/>
    <n v="0"/>
    <n v="0"/>
    <x v="0"/>
    <n v="0"/>
    <n v="0"/>
    <n v="0"/>
    <n v="0"/>
    <n v="0"/>
    <n v="0"/>
    <n v="0"/>
    <n v="0"/>
    <n v="0"/>
    <n v="0"/>
    <n v="0"/>
    <n v="0"/>
    <n v="0"/>
    <n v="0"/>
    <s v="Continued"/>
    <s v="25"/>
    <s v="175"/>
    <s v="161"/>
    <n v="200"/>
    <n v="119.99"/>
    <n v="23998"/>
    <s v="Spring 2020"/>
    <n v="0"/>
    <n v="0"/>
    <n v="0"/>
    <n v="0"/>
    <s v="161"/>
    <n v="19318.39"/>
    <n v="161"/>
    <n v="19318.39"/>
    <s v="Continued"/>
    <s v="25"/>
    <s v="175"/>
    <s v="161"/>
    <n v="361"/>
    <n v="119.99"/>
    <n v="43316.39"/>
    <s v="Spring 2020"/>
    <s v="25"/>
    <n v="2999.75"/>
    <s v="175"/>
    <n v="20998.25"/>
    <s v="161"/>
    <n v="19318.39"/>
    <n v="361"/>
    <n v="43316.39"/>
    <n v="522"/>
    <n v="62634.78"/>
    <n v="5.7995166666666664"/>
  </r>
  <r>
    <x v="354"/>
    <m/>
    <s v="N"/>
    <n v="517906"/>
    <m/>
    <m/>
    <s v="15"/>
    <x v="6"/>
    <x v="0"/>
    <x v="9"/>
    <n v="25800"/>
    <s v="Fall 2020"/>
    <x v="272"/>
    <x v="263"/>
    <s v="American Government"/>
    <s v="POLS 1101"/>
    <s v="Political Science"/>
    <m/>
    <m/>
    <m/>
    <m/>
    <x v="5"/>
    <s v="In Progress"/>
    <s v="In Progress"/>
    <n v="283750.5"/>
    <s v="1650"/>
    <n v="171.97"/>
    <s v="150"/>
    <s v="750"/>
    <s v="750"/>
    <s v="Fall 2020"/>
    <s v="N"/>
    <m/>
    <m/>
    <s v="Continued"/>
    <n v="0"/>
    <n v="0"/>
    <n v="0"/>
    <n v="0"/>
    <n v="0"/>
    <n v="0"/>
    <n v="0"/>
    <n v="0"/>
    <n v="0"/>
    <n v="0"/>
    <n v="0"/>
    <n v="0"/>
    <n v="0"/>
    <n v="0"/>
    <n v="0"/>
    <n v="0"/>
    <n v="0"/>
    <n v="0"/>
    <n v="0"/>
    <n v="0"/>
    <n v="0"/>
    <n v="0"/>
    <n v="0"/>
    <n v="0"/>
    <n v="0"/>
    <n v="0"/>
    <n v="0"/>
    <n v="0"/>
    <x v="0"/>
    <n v="0"/>
    <n v="0"/>
    <n v="0"/>
    <n v="0"/>
    <n v="0"/>
    <n v="0"/>
    <n v="0"/>
    <n v="0"/>
    <n v="0"/>
    <n v="0"/>
    <n v="0"/>
    <n v="0"/>
    <n v="0"/>
    <n v="0"/>
    <s v="Continued"/>
    <s v="150"/>
    <s v="750"/>
    <s v="750"/>
    <s v="1650"/>
    <n v="171.97"/>
    <n v="283750.5"/>
    <s v="Fall 2020"/>
    <n v="0"/>
    <n v="0"/>
    <n v="0"/>
    <n v="0"/>
    <n v="0"/>
    <n v="0"/>
    <n v="0"/>
    <n v="0"/>
    <s v="Continued"/>
    <s v="150"/>
    <s v="750"/>
    <s v="750"/>
    <n v="1650"/>
    <n v="171.97"/>
    <n v="283750.5"/>
    <s v="Fall 2020"/>
    <n v="0"/>
    <n v="0"/>
    <s v="750"/>
    <n v="128977.5"/>
    <s v="750"/>
    <n v="128977.5"/>
    <n v="1500"/>
    <n v="257955"/>
    <n v="1500"/>
    <n v="257955"/>
    <n v="9.9982558139534881"/>
  </r>
  <r>
    <x v="355"/>
    <m/>
    <s v="N"/>
    <n v="517202"/>
    <m/>
    <m/>
    <s v="15"/>
    <x v="6"/>
    <x v="0"/>
    <x v="21"/>
    <n v="10800"/>
    <s v="Fall 2020"/>
    <x v="273"/>
    <x v="264"/>
    <s v="Software Development II"/>
    <s v="ITEC 3870"/>
    <s v="Computing Disciplines"/>
    <m/>
    <m/>
    <m/>
    <m/>
    <x v="5"/>
    <s v="In Progress"/>
    <s v="In Progress"/>
    <n v="20088"/>
    <s v="62"/>
    <s v="$324"/>
    <s v="0"/>
    <s v="38"/>
    <s v="24"/>
    <s v="Fall 2020"/>
    <s v="N"/>
    <m/>
    <m/>
    <s v="Continued"/>
    <n v="0"/>
    <n v="0"/>
    <n v="0"/>
    <n v="0"/>
    <n v="0"/>
    <n v="0"/>
    <n v="0"/>
    <n v="0"/>
    <n v="0"/>
    <n v="0"/>
    <n v="0"/>
    <n v="0"/>
    <n v="0"/>
    <n v="0"/>
    <n v="0"/>
    <n v="0"/>
    <n v="0"/>
    <n v="0"/>
    <n v="0"/>
    <n v="0"/>
    <n v="0"/>
    <n v="0"/>
    <n v="0"/>
    <n v="0"/>
    <n v="0"/>
    <n v="0"/>
    <n v="0"/>
    <n v="0"/>
    <x v="0"/>
    <n v="0"/>
    <n v="0"/>
    <n v="0"/>
    <n v="0"/>
    <n v="0"/>
    <n v="0"/>
    <n v="0"/>
    <n v="0"/>
    <n v="0"/>
    <n v="0"/>
    <n v="0"/>
    <n v="0"/>
    <n v="0"/>
    <n v="0"/>
    <s v="Continued"/>
    <s v="0"/>
    <s v="38"/>
    <s v="24"/>
    <s v="62"/>
    <s v="$324"/>
    <n v="20088"/>
    <s v="Fall 2020"/>
    <n v="0"/>
    <n v="0"/>
    <n v="0"/>
    <n v="0"/>
    <n v="0"/>
    <n v="0"/>
    <n v="0"/>
    <n v="0"/>
    <s v="Continued"/>
    <s v="0"/>
    <s v="38"/>
    <s v="24"/>
    <n v="62"/>
    <s v="$324"/>
    <n v="20088"/>
    <s v="Fall 2020"/>
    <n v="0"/>
    <n v="0"/>
    <s v="38"/>
    <n v="12312"/>
    <s v="24"/>
    <n v="7776"/>
    <n v="62"/>
    <n v="20088"/>
    <n v="62"/>
    <n v="20088"/>
    <n v="1.86"/>
  </r>
  <r>
    <x v="356"/>
    <m/>
    <s v="N"/>
    <n v="517253"/>
    <m/>
    <m/>
    <s v="15"/>
    <x v="6"/>
    <x v="0"/>
    <x v="1"/>
    <n v="30000"/>
    <s v="Fall 2020"/>
    <x v="211"/>
    <x v="207"/>
    <s v="Electronic Health Record Systems, Clinical Processes &amp; Workflows: Analysis and Redesign, Health Information Security and Privacy, Database Administration, Thesis"/>
    <s v="IT 6513, IT 6523, IT 6533, IT 6733, IT 7999"/>
    <s v="Computing Disciplines"/>
    <m/>
    <m/>
    <m/>
    <m/>
    <x v="5"/>
    <s v="In Progress"/>
    <s v="In Progress"/>
    <n v="43554.090000000004"/>
    <s v="307"/>
    <n v="141.87"/>
    <s v="62"/>
    <s v="95"/>
    <s v="150"/>
    <s v="Fall 2020"/>
    <s v="N"/>
    <m/>
    <m/>
    <s v="Continued"/>
    <n v="0"/>
    <n v="0"/>
    <n v="0"/>
    <n v="0"/>
    <n v="0"/>
    <n v="0"/>
    <n v="0"/>
    <n v="0"/>
    <n v="0"/>
    <n v="0"/>
    <n v="0"/>
    <n v="0"/>
    <n v="0"/>
    <n v="0"/>
    <n v="0"/>
    <n v="0"/>
    <n v="0"/>
    <n v="0"/>
    <n v="0"/>
    <n v="0"/>
    <n v="0"/>
    <n v="0"/>
    <n v="0"/>
    <n v="0"/>
    <n v="0"/>
    <n v="0"/>
    <n v="0"/>
    <n v="0"/>
    <x v="0"/>
    <n v="0"/>
    <n v="0"/>
    <n v="0"/>
    <n v="0"/>
    <n v="0"/>
    <n v="0"/>
    <n v="0"/>
    <n v="0"/>
    <n v="0"/>
    <n v="0"/>
    <n v="0"/>
    <n v="0"/>
    <n v="0"/>
    <n v="0"/>
    <s v="Continued"/>
    <s v="62"/>
    <s v="95"/>
    <s v="150"/>
    <s v="307"/>
    <n v="141.87"/>
    <n v="43554.090000000004"/>
    <s v="Fall 2020"/>
    <n v="0"/>
    <n v="0"/>
    <n v="0"/>
    <n v="0"/>
    <n v="0"/>
    <n v="0"/>
    <n v="0"/>
    <n v="0"/>
    <s v="Continued"/>
    <s v="62"/>
    <s v="95"/>
    <s v="150"/>
    <n v="307"/>
    <n v="141.87"/>
    <n v="43554.090000000004"/>
    <s v="Fall 2020"/>
    <n v="0"/>
    <n v="0"/>
    <s v="95"/>
    <n v="13477.65"/>
    <s v="150"/>
    <n v="21280.5"/>
    <n v="245"/>
    <n v="34758.15"/>
    <n v="245"/>
    <n v="34758.15"/>
    <n v="1.1586050000000001"/>
  </r>
  <r>
    <x v="357"/>
    <m/>
    <s v="Y"/>
    <n v="517254"/>
    <m/>
    <m/>
    <s v="15"/>
    <x v="6"/>
    <x v="0"/>
    <x v="1"/>
    <n v="25800"/>
    <s v="Fall 2020"/>
    <x v="139"/>
    <x v="141"/>
    <s v="Technical Writing"/>
    <s v="TCOM 2010"/>
    <s v="Communication"/>
    <m/>
    <m/>
    <m/>
    <m/>
    <x v="5"/>
    <s v="In Progress"/>
    <s v="In Progress"/>
    <n v="196875"/>
    <s v="1500"/>
    <s v="$131.25"/>
    <s v="250"/>
    <s v="625"/>
    <s v="625"/>
    <s v="Fall 2020"/>
    <s v="N"/>
    <m/>
    <m/>
    <s v="Continued"/>
    <n v="0"/>
    <n v="0"/>
    <n v="0"/>
    <n v="0"/>
    <n v="0"/>
    <n v="0"/>
    <n v="0"/>
    <n v="0"/>
    <n v="0"/>
    <n v="0"/>
    <n v="0"/>
    <n v="0"/>
    <n v="0"/>
    <n v="0"/>
    <n v="0"/>
    <n v="0"/>
    <n v="0"/>
    <n v="0"/>
    <n v="0"/>
    <n v="0"/>
    <n v="0"/>
    <n v="0"/>
    <n v="0"/>
    <n v="0"/>
    <n v="0"/>
    <n v="0"/>
    <n v="0"/>
    <n v="0"/>
    <x v="0"/>
    <n v="0"/>
    <n v="0"/>
    <n v="0"/>
    <n v="0"/>
    <n v="0"/>
    <n v="0"/>
    <n v="0"/>
    <n v="0"/>
    <n v="0"/>
    <n v="0"/>
    <n v="0"/>
    <n v="0"/>
    <n v="0"/>
    <n v="0"/>
    <s v="Continued"/>
    <s v="250"/>
    <s v="625"/>
    <s v="625"/>
    <s v="1500"/>
    <s v="$131.25"/>
    <n v="196875"/>
    <s v="Fall 2020"/>
    <n v="0"/>
    <n v="0"/>
    <n v="0"/>
    <n v="0"/>
    <n v="0"/>
    <n v="0"/>
    <n v="0"/>
    <n v="0"/>
    <s v="Continued"/>
    <s v="250"/>
    <s v="625"/>
    <s v="625"/>
    <n v="1500"/>
    <s v="$131.25"/>
    <n v="196875"/>
    <s v="Fall 2020"/>
    <n v="0"/>
    <n v="0"/>
    <s v="625"/>
    <n v="82031.25"/>
    <s v="625"/>
    <n v="82031.25"/>
    <n v="1250"/>
    <n v="164062.5"/>
    <n v="1250"/>
    <n v="164062.5"/>
    <n v="6.3590116279069768"/>
  </r>
  <r>
    <x v="358"/>
    <m/>
    <s v="N"/>
    <n v="517260"/>
    <m/>
    <m/>
    <s v="15"/>
    <x v="6"/>
    <x v="0"/>
    <x v="1"/>
    <n v="30000"/>
    <s v="Fall 2020"/>
    <x v="159"/>
    <x v="161"/>
    <s v="Professional Development &amp; Entrepreneurship, Operations Systems Concepts &amp; Administration,  Advanced Web Security &amp; Applications,  Network Configuration &amp; Administration,  Virtual IT Systems"/>
    <s v="IT3003, IT3423, IT4403, IT4333, IT4673"/>
    <s v="Computing Disciplines"/>
    <m/>
    <m/>
    <m/>
    <m/>
    <x v="5"/>
    <s v="In Progress"/>
    <s v="In Progress"/>
    <n v="75254.200000000012"/>
    <s v="490"/>
    <n v="153.58000000000001"/>
    <s v="90"/>
    <s v="200"/>
    <s v="200"/>
    <s v="Fall 2020"/>
    <s v="N"/>
    <m/>
    <m/>
    <s v="Continued"/>
    <n v="0"/>
    <n v="0"/>
    <n v="0"/>
    <n v="0"/>
    <n v="0"/>
    <n v="0"/>
    <n v="0"/>
    <n v="0"/>
    <n v="0"/>
    <n v="0"/>
    <n v="0"/>
    <n v="0"/>
    <n v="0"/>
    <n v="0"/>
    <n v="0"/>
    <n v="0"/>
    <n v="0"/>
    <n v="0"/>
    <n v="0"/>
    <n v="0"/>
    <n v="0"/>
    <n v="0"/>
    <n v="0"/>
    <n v="0"/>
    <n v="0"/>
    <n v="0"/>
    <n v="0"/>
    <n v="0"/>
    <x v="0"/>
    <n v="0"/>
    <n v="0"/>
    <n v="0"/>
    <n v="0"/>
    <n v="0"/>
    <n v="0"/>
    <n v="0"/>
    <n v="0"/>
    <n v="0"/>
    <n v="0"/>
    <n v="0"/>
    <n v="0"/>
    <n v="0"/>
    <n v="0"/>
    <s v="Continued"/>
    <s v="90"/>
    <s v="200"/>
    <s v="200"/>
    <s v="490"/>
    <n v="153.58000000000001"/>
    <n v="75254.200000000012"/>
    <s v="Fall 2020"/>
    <n v="0"/>
    <n v="0"/>
    <n v="0"/>
    <n v="0"/>
    <n v="0"/>
    <n v="0"/>
    <n v="0"/>
    <n v="0"/>
    <s v="Continued"/>
    <s v="90"/>
    <s v="200"/>
    <s v="200"/>
    <n v="490"/>
    <n v="153.58000000000001"/>
    <n v="75254.200000000012"/>
    <s v="Fall 2020"/>
    <n v="0"/>
    <n v="0"/>
    <s v="200"/>
    <n v="30716.000000000004"/>
    <s v="200"/>
    <n v="30716.000000000004"/>
    <n v="400"/>
    <n v="61432.000000000007"/>
    <n v="400"/>
    <n v="61432.000000000007"/>
    <n v="2.0477333333333334"/>
  </r>
  <r>
    <x v="359"/>
    <m/>
    <s v="Y"/>
    <n v="517548"/>
    <m/>
    <m/>
    <s v="15"/>
    <x v="6"/>
    <x v="0"/>
    <x v="23"/>
    <n v="15800"/>
    <s v="Fall 2020"/>
    <x v="274"/>
    <x v="265"/>
    <s v="Elementary Spanish I, Elementary Spanish II, Intermediate Spanish I"/>
    <s v="SPAN 1001, SPAN 1002, SPAN 2001"/>
    <s v="Foreign Languages"/>
    <m/>
    <m/>
    <m/>
    <m/>
    <x v="5"/>
    <s v="In Progress"/>
    <s v="In Progress"/>
    <n v="132707.25"/>
    <s v="845"/>
    <s v="$157.05"/>
    <s v="55"/>
    <s v="355"/>
    <s v="435"/>
    <s v="Fall 2020"/>
    <s v="N"/>
    <m/>
    <m/>
    <s v="Continued"/>
    <n v="0"/>
    <n v="0"/>
    <n v="0"/>
    <n v="0"/>
    <n v="0"/>
    <n v="0"/>
    <n v="0"/>
    <n v="0"/>
    <n v="0"/>
    <n v="0"/>
    <n v="0"/>
    <n v="0"/>
    <n v="0"/>
    <n v="0"/>
    <n v="0"/>
    <n v="0"/>
    <n v="0"/>
    <n v="0"/>
    <n v="0"/>
    <n v="0"/>
    <n v="0"/>
    <n v="0"/>
    <n v="0"/>
    <n v="0"/>
    <n v="0"/>
    <n v="0"/>
    <n v="0"/>
    <n v="0"/>
    <x v="0"/>
    <n v="0"/>
    <n v="0"/>
    <n v="0"/>
    <n v="0"/>
    <n v="0"/>
    <n v="0"/>
    <n v="0"/>
    <n v="0"/>
    <n v="0"/>
    <n v="0"/>
    <n v="0"/>
    <n v="0"/>
    <n v="0"/>
    <n v="0"/>
    <s v="Continued"/>
    <s v="55"/>
    <s v="355"/>
    <s v="435"/>
    <s v="845"/>
    <s v="$157.05"/>
    <n v="132707.25"/>
    <s v="Fall 2020"/>
    <n v="0"/>
    <n v="0"/>
    <n v="0"/>
    <n v="0"/>
    <n v="0"/>
    <n v="0"/>
    <n v="0"/>
    <n v="0"/>
    <s v="Continued"/>
    <s v="55"/>
    <s v="355"/>
    <s v="435"/>
    <n v="845"/>
    <s v="$157.05"/>
    <n v="132707.25"/>
    <s v="Fall 2020"/>
    <n v="0"/>
    <n v="0"/>
    <s v="355"/>
    <n v="55752.750000000007"/>
    <s v="435"/>
    <n v="68316.75"/>
    <n v="790"/>
    <n v="124069.5"/>
    <n v="790"/>
    <n v="124069.5"/>
    <n v="7.8525"/>
  </r>
  <r>
    <x v="360"/>
    <m/>
    <s v="N"/>
    <n v="517298"/>
    <m/>
    <m/>
    <s v="15"/>
    <x v="6"/>
    <x v="0"/>
    <x v="14"/>
    <n v="10800"/>
    <s v="Fall 2020"/>
    <x v="145"/>
    <x v="147"/>
    <s v="Introduction to Abnormal Psychology"/>
    <s v="PSYC 2165"/>
    <s v="Psychology"/>
    <m/>
    <m/>
    <m/>
    <m/>
    <x v="5"/>
    <s v="In Progress"/>
    <s v="In Progress"/>
    <n v="69819.75"/>
    <s v="315"/>
    <s v="$221.65"/>
    <s v="105"/>
    <s v="105"/>
    <s v="105"/>
    <s v="Fall 2020"/>
    <s v="N"/>
    <m/>
    <m/>
    <s v="Continued"/>
    <n v="0"/>
    <n v="0"/>
    <n v="0"/>
    <n v="0"/>
    <n v="0"/>
    <n v="0"/>
    <n v="0"/>
    <n v="0"/>
    <n v="0"/>
    <n v="0"/>
    <n v="0"/>
    <n v="0"/>
    <n v="0"/>
    <n v="0"/>
    <n v="0"/>
    <n v="0"/>
    <n v="0"/>
    <n v="0"/>
    <n v="0"/>
    <n v="0"/>
    <n v="0"/>
    <n v="0"/>
    <n v="0"/>
    <n v="0"/>
    <n v="0"/>
    <n v="0"/>
    <n v="0"/>
    <n v="0"/>
    <x v="0"/>
    <n v="0"/>
    <n v="0"/>
    <n v="0"/>
    <n v="0"/>
    <n v="0"/>
    <n v="0"/>
    <n v="0"/>
    <n v="0"/>
    <n v="0"/>
    <n v="0"/>
    <n v="0"/>
    <n v="0"/>
    <n v="0"/>
    <n v="0"/>
    <s v="Continued"/>
    <s v="105"/>
    <s v="105"/>
    <s v="105"/>
    <s v="315"/>
    <s v="$221.65"/>
    <n v="69819.75"/>
    <s v="Fall 2020"/>
    <n v="0"/>
    <n v="0"/>
    <n v="0"/>
    <n v="0"/>
    <n v="0"/>
    <n v="0"/>
    <n v="0"/>
    <n v="0"/>
    <s v="Continued"/>
    <s v="105"/>
    <s v="105"/>
    <s v="105"/>
    <n v="315"/>
    <s v="$221.65"/>
    <n v="69819.75"/>
    <s v="Fall 2020"/>
    <n v="0"/>
    <n v="0"/>
    <s v="105"/>
    <n v="23273.25"/>
    <s v="105"/>
    <n v="23273.25"/>
    <n v="210"/>
    <n v="46546.5"/>
    <n v="210"/>
    <n v="46546.5"/>
    <n v="4.3098611111111111"/>
  </r>
  <r>
    <x v="361"/>
    <m/>
    <s v="N"/>
    <n v="517338"/>
    <m/>
    <m/>
    <s v="15"/>
    <x v="6"/>
    <x v="0"/>
    <x v="5"/>
    <n v="10800"/>
    <s v="Fall 2020"/>
    <x v="275"/>
    <x v="266"/>
    <s v="The Universe of Energy (Physical Science)"/>
    <s v="PHSC 1100"/>
    <s v="Physics and Astronomy"/>
    <m/>
    <m/>
    <m/>
    <m/>
    <x v="5"/>
    <s v="In Progress"/>
    <s v="In Progress"/>
    <n v="28794"/>
    <s v="120"/>
    <s v="$239.95"/>
    <s v="20"/>
    <s v="50"/>
    <s v="50"/>
    <s v="Fall 2020"/>
    <s v="N"/>
    <m/>
    <m/>
    <s v="Continued"/>
    <n v="0"/>
    <n v="0"/>
    <n v="0"/>
    <n v="0"/>
    <n v="0"/>
    <n v="0"/>
    <n v="0"/>
    <n v="0"/>
    <n v="0"/>
    <n v="0"/>
    <n v="0"/>
    <n v="0"/>
    <n v="0"/>
    <n v="0"/>
    <n v="0"/>
    <n v="0"/>
    <n v="0"/>
    <n v="0"/>
    <n v="0"/>
    <n v="0"/>
    <n v="0"/>
    <n v="0"/>
    <n v="0"/>
    <n v="0"/>
    <n v="0"/>
    <n v="0"/>
    <n v="0"/>
    <n v="0"/>
    <x v="0"/>
    <n v="0"/>
    <n v="0"/>
    <n v="0"/>
    <n v="0"/>
    <n v="0"/>
    <n v="0"/>
    <n v="0"/>
    <n v="0"/>
    <n v="0"/>
    <n v="0"/>
    <n v="0"/>
    <n v="0"/>
    <n v="0"/>
    <n v="0"/>
    <s v="Continued"/>
    <s v="20"/>
    <s v="50"/>
    <s v="50"/>
    <s v="120"/>
    <s v="$239.95"/>
    <n v="28794"/>
    <s v="Fall 2020"/>
    <n v="0"/>
    <n v="0"/>
    <n v="0"/>
    <n v="0"/>
    <n v="0"/>
    <n v="0"/>
    <n v="0"/>
    <n v="0"/>
    <s v="Continued"/>
    <s v="20"/>
    <s v="50"/>
    <s v="50"/>
    <n v="120"/>
    <s v="$239.95"/>
    <n v="28794"/>
    <s v="Fall 2020"/>
    <n v="0"/>
    <n v="0"/>
    <s v="50"/>
    <n v="11997.5"/>
    <s v="50"/>
    <n v="11997.5"/>
    <n v="100"/>
    <n v="23995"/>
    <n v="100"/>
    <n v="23995"/>
    <n v="2.2217592592592594"/>
  </r>
  <r>
    <x v="362"/>
    <m/>
    <s v="N"/>
    <n v="517339"/>
    <m/>
    <m/>
    <s v="15"/>
    <x v="6"/>
    <x v="0"/>
    <x v="5"/>
    <n v="8800"/>
    <s v="Summer 2020"/>
    <x v="276"/>
    <x v="267"/>
    <s v="Introduction to the Universe"/>
    <s v="ASTR 1000"/>
    <s v="Physics and Astronomy"/>
    <m/>
    <m/>
    <m/>
    <m/>
    <x v="5"/>
    <s v="In Progress"/>
    <s v="In Progress"/>
    <n v="23040"/>
    <s v="180"/>
    <s v="128"/>
    <s v="30"/>
    <s v="100"/>
    <s v="50"/>
    <s v="Summer 2020"/>
    <s v="N"/>
    <m/>
    <m/>
    <s v="Continued"/>
    <n v="0"/>
    <n v="0"/>
    <n v="0"/>
    <n v="0"/>
    <n v="0"/>
    <n v="0"/>
    <n v="0"/>
    <n v="0"/>
    <n v="0"/>
    <n v="0"/>
    <n v="0"/>
    <n v="0"/>
    <n v="0"/>
    <n v="0"/>
    <n v="0"/>
    <n v="0"/>
    <n v="0"/>
    <n v="0"/>
    <n v="0"/>
    <n v="0"/>
    <n v="0"/>
    <n v="0"/>
    <n v="0"/>
    <n v="0"/>
    <n v="0"/>
    <n v="0"/>
    <n v="0"/>
    <n v="0"/>
    <x v="0"/>
    <n v="0"/>
    <n v="0"/>
    <n v="0"/>
    <n v="0"/>
    <n v="0"/>
    <n v="0"/>
    <n v="0"/>
    <n v="0"/>
    <n v="0"/>
    <n v="0"/>
    <n v="0"/>
    <n v="0"/>
    <n v="0"/>
    <n v="0"/>
    <s v="Continued"/>
    <s v="30"/>
    <s v="100"/>
    <s v="50"/>
    <s v="180"/>
    <s v="128"/>
    <n v="23040"/>
    <s v="Summer 2020"/>
    <n v="0"/>
    <n v="0"/>
    <n v="0"/>
    <n v="0"/>
    <n v="0"/>
    <n v="0"/>
    <n v="0"/>
    <n v="0"/>
    <s v="Continued"/>
    <s v="30"/>
    <s v="100"/>
    <s v="50"/>
    <n v="180"/>
    <s v="128"/>
    <n v="23040"/>
    <s v="Summer 2020"/>
    <s v="30"/>
    <n v="3840"/>
    <s v="100"/>
    <n v="12800"/>
    <s v="50"/>
    <n v="6400"/>
    <n v="180"/>
    <n v="23040"/>
    <n v="180"/>
    <n v="23040"/>
    <n v="2.6181818181818182"/>
  </r>
  <r>
    <x v="363"/>
    <m/>
    <s v="N"/>
    <n v="517261"/>
    <m/>
    <m/>
    <s v="15"/>
    <x v="6"/>
    <x v="0"/>
    <x v="1"/>
    <n v="10800"/>
    <s v="Fall 2020"/>
    <x v="68"/>
    <x v="68"/>
    <s v="Sociology of the Family"/>
    <s v="SOCI 3364"/>
    <s v="Sociology"/>
    <m/>
    <m/>
    <m/>
    <m/>
    <x v="5"/>
    <s v="In Progress"/>
    <s v="In Progress"/>
    <n v="24750"/>
    <s v="110"/>
    <s v="$225"/>
    <s v="30"/>
    <s v="40"/>
    <s v="40"/>
    <s v="Fall 2020"/>
    <s v="N"/>
    <m/>
    <m/>
    <s v="Continued"/>
    <n v="0"/>
    <n v="0"/>
    <n v="0"/>
    <n v="0"/>
    <n v="0"/>
    <n v="0"/>
    <n v="0"/>
    <n v="0"/>
    <n v="0"/>
    <n v="0"/>
    <n v="0"/>
    <n v="0"/>
    <n v="0"/>
    <n v="0"/>
    <n v="0"/>
    <n v="0"/>
    <n v="0"/>
    <n v="0"/>
    <n v="0"/>
    <n v="0"/>
    <n v="0"/>
    <n v="0"/>
    <n v="0"/>
    <n v="0"/>
    <n v="0"/>
    <n v="0"/>
    <n v="0"/>
    <n v="0"/>
    <x v="0"/>
    <n v="0"/>
    <n v="0"/>
    <n v="0"/>
    <n v="0"/>
    <n v="0"/>
    <n v="0"/>
    <n v="0"/>
    <n v="0"/>
    <n v="0"/>
    <n v="0"/>
    <n v="0"/>
    <n v="0"/>
    <n v="0"/>
    <n v="0"/>
    <s v="Continued"/>
    <s v="30"/>
    <s v="40"/>
    <s v="40"/>
    <s v="110"/>
    <s v="$225"/>
    <n v="24750"/>
    <s v="Fall 2020"/>
    <n v="0"/>
    <n v="0"/>
    <n v="0"/>
    <n v="0"/>
    <n v="0"/>
    <n v="0"/>
    <n v="0"/>
    <n v="0"/>
    <s v="Continued"/>
    <s v="30"/>
    <s v="40"/>
    <s v="40"/>
    <n v="110"/>
    <s v="$225"/>
    <n v="24750"/>
    <s v="Fall 2020"/>
    <n v="0"/>
    <n v="0"/>
    <s v="40"/>
    <n v="9000"/>
    <s v="40"/>
    <n v="9000"/>
    <n v="80"/>
    <n v="18000"/>
    <n v="80"/>
    <n v="18000"/>
    <n v="1.6666666666666667"/>
  </r>
  <r>
    <x v="364"/>
    <m/>
    <s v="N"/>
    <m/>
    <m/>
    <m/>
    <s v="15"/>
    <x v="6"/>
    <x v="0"/>
    <x v="22"/>
    <n v="8600"/>
    <s v="Summer 2020"/>
    <x v="277"/>
    <x v="268"/>
    <s v="College Algebra"/>
    <s v="MATH 1111"/>
    <s v="Mathematical Subjects"/>
    <m/>
    <m/>
    <m/>
    <m/>
    <x v="5"/>
    <s v="In Progress"/>
    <s v="In Progress"/>
    <n v="165000"/>
    <n v="900"/>
    <n v="200"/>
    <n v="25"/>
    <n v="600"/>
    <n v="200"/>
    <s v="Spring 2020"/>
    <s v="N"/>
    <m/>
    <m/>
    <s v="Continued"/>
    <n v="0"/>
    <n v="0"/>
    <n v="0"/>
    <n v="0"/>
    <n v="0"/>
    <n v="0"/>
    <n v="0"/>
    <n v="0"/>
    <n v="0"/>
    <n v="0"/>
    <n v="0"/>
    <n v="0"/>
    <n v="0"/>
    <n v="0"/>
    <n v="0"/>
    <n v="0"/>
    <n v="0"/>
    <n v="0"/>
    <n v="0"/>
    <n v="0"/>
    <n v="0"/>
    <n v="0"/>
    <n v="0"/>
    <n v="0"/>
    <n v="0"/>
    <n v="0"/>
    <n v="0"/>
    <n v="0"/>
    <x v="0"/>
    <n v="0"/>
    <n v="0"/>
    <n v="0"/>
    <n v="0"/>
    <n v="0"/>
    <n v="0"/>
    <n v="0"/>
    <n v="0"/>
    <n v="0"/>
    <n v="0"/>
    <n v="0"/>
    <n v="0"/>
    <n v="0"/>
    <n v="0"/>
    <s v="Continued"/>
    <n v="25"/>
    <n v="600"/>
    <n v="200"/>
    <n v="900"/>
    <n v="200"/>
    <n v="180000"/>
    <s v="Spring 2020"/>
    <n v="0"/>
    <n v="0"/>
    <n v="0"/>
    <n v="0"/>
    <n v="200"/>
    <n v="40000"/>
    <n v="200"/>
    <n v="40000"/>
    <s v="Continued"/>
    <n v="25"/>
    <n v="600"/>
    <n v="200"/>
    <n v="825"/>
    <n v="200"/>
    <n v="165000"/>
    <s v="Spring 2020"/>
    <n v="25"/>
    <n v="5000"/>
    <n v="600"/>
    <n v="120000"/>
    <n v="200"/>
    <n v="40000"/>
    <n v="825"/>
    <n v="165000"/>
    <n v="1025"/>
    <n v="205000"/>
    <n v="23.837209302325583"/>
  </r>
  <r>
    <x v="365"/>
    <m/>
    <s v="N"/>
    <n v="517262"/>
    <m/>
    <m/>
    <s v="15"/>
    <x v="6"/>
    <x v="0"/>
    <x v="1"/>
    <n v="10800"/>
    <s v="Fall 2020"/>
    <x v="278"/>
    <x v="269"/>
    <s v="Requirements Engineering, Software Testing and Verification, Formal Methods"/>
    <s v="SWE 6613, SWE 6673, SWE 6883"/>
    <s v="Computing Disciplines"/>
    <m/>
    <m/>
    <m/>
    <m/>
    <x v="5"/>
    <s v="In Progress"/>
    <s v="In Progress"/>
    <n v="45195.8"/>
    <s v="90"/>
    <s v="$347.66"/>
    <n v="20"/>
    <s v="65"/>
    <s v="45"/>
    <s v="Fall 2020"/>
    <s v="N"/>
    <m/>
    <m/>
    <s v="Continued"/>
    <n v="0"/>
    <n v="0"/>
    <n v="0"/>
    <n v="0"/>
    <n v="0"/>
    <n v="0"/>
    <n v="0"/>
    <n v="0"/>
    <n v="0"/>
    <n v="0"/>
    <n v="0"/>
    <n v="0"/>
    <n v="0"/>
    <n v="0"/>
    <n v="0"/>
    <n v="0"/>
    <n v="0"/>
    <n v="0"/>
    <n v="0"/>
    <n v="0"/>
    <n v="0"/>
    <n v="0"/>
    <n v="0"/>
    <n v="0"/>
    <n v="0"/>
    <n v="0"/>
    <n v="0"/>
    <n v="0"/>
    <x v="0"/>
    <n v="0"/>
    <n v="0"/>
    <n v="0"/>
    <n v="0"/>
    <n v="0"/>
    <n v="0"/>
    <n v="0"/>
    <n v="0"/>
    <n v="0"/>
    <n v="0"/>
    <n v="0"/>
    <n v="0"/>
    <n v="0"/>
    <n v="0"/>
    <s v="Continued"/>
    <n v="20"/>
    <s v="65"/>
    <s v="45"/>
    <s v="90"/>
    <s v="$347.66"/>
    <n v="31289.4"/>
    <s v="Fall 2020"/>
    <n v="0"/>
    <n v="0"/>
    <n v="0"/>
    <n v="0"/>
    <n v="0"/>
    <n v="0"/>
    <n v="0"/>
    <n v="0"/>
    <s v="Continued"/>
    <n v="20"/>
    <s v="65"/>
    <s v="45"/>
    <n v="130"/>
    <s v="$347.66"/>
    <n v="45195.8"/>
    <s v="Fall 2020"/>
    <n v="0"/>
    <n v="0"/>
    <s v="65"/>
    <n v="22597.9"/>
    <s v="45"/>
    <n v="15644.7"/>
    <n v="110"/>
    <n v="38242.600000000006"/>
    <n v="110"/>
    <n v="38242.600000000006"/>
    <n v="3.5409814814814822"/>
  </r>
  <r>
    <x v="366"/>
    <m/>
    <m/>
    <n v="517448"/>
    <m/>
    <m/>
    <s v="15"/>
    <x v="6"/>
    <x v="1"/>
    <x v="15"/>
    <n v="4800"/>
    <s v="Summer 2020"/>
    <x v="195"/>
    <x v="192"/>
    <s v="Fundamentals of Biology Lab"/>
    <s v="BIOL 1101"/>
    <s v="Biological Sciences"/>
    <m/>
    <m/>
    <m/>
    <m/>
    <x v="5"/>
    <s v="In Progress"/>
    <s v="In Progress"/>
    <n v="0"/>
    <n v="0"/>
    <n v="0"/>
    <n v="0"/>
    <n v="0"/>
    <n v="0"/>
    <s v="Summer 2020"/>
    <s v="N"/>
    <m/>
    <m/>
    <s v="Continued"/>
    <n v="0"/>
    <n v="0"/>
    <n v="0"/>
    <n v="0"/>
    <n v="0"/>
    <n v="0"/>
    <n v="0"/>
    <n v="0"/>
    <n v="0"/>
    <n v="0"/>
    <n v="0"/>
    <n v="0"/>
    <n v="0"/>
    <n v="0"/>
    <n v="0"/>
    <n v="0"/>
    <n v="0"/>
    <n v="0"/>
    <n v="0"/>
    <n v="0"/>
    <n v="0"/>
    <n v="0"/>
    <n v="0"/>
    <n v="0"/>
    <n v="0"/>
    <n v="0"/>
    <n v="0"/>
    <n v="0"/>
    <x v="0"/>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67"/>
    <m/>
    <m/>
    <n v="517245"/>
    <m/>
    <m/>
    <s v="15"/>
    <x v="6"/>
    <x v="1"/>
    <x v="1"/>
    <n v="4800"/>
    <s v="Summer 2020"/>
    <x v="50"/>
    <x v="50"/>
    <s v="Wireless Security"/>
    <s v="IT 6833"/>
    <s v="Computing Disciplines"/>
    <m/>
    <m/>
    <m/>
    <m/>
    <x v="5"/>
    <s v="In Progress"/>
    <s v="In Progress"/>
    <n v="0"/>
    <n v="0"/>
    <n v="0"/>
    <n v="0"/>
    <n v="0"/>
    <n v="0"/>
    <s v="Summer 2020"/>
    <s v="N"/>
    <m/>
    <m/>
    <s v="Continued"/>
    <n v="0"/>
    <n v="0"/>
    <n v="0"/>
    <n v="0"/>
    <n v="0"/>
    <n v="0"/>
    <n v="0"/>
    <n v="0"/>
    <n v="0"/>
    <n v="0"/>
    <n v="0"/>
    <n v="0"/>
    <n v="0"/>
    <n v="0"/>
    <n v="0"/>
    <n v="0"/>
    <n v="0"/>
    <n v="0"/>
    <n v="0"/>
    <n v="0"/>
    <n v="0"/>
    <n v="0"/>
    <n v="0"/>
    <n v="0"/>
    <n v="0"/>
    <n v="0"/>
    <n v="0"/>
    <n v="0"/>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68"/>
    <m/>
    <m/>
    <n v="517264"/>
    <m/>
    <m/>
    <s v="15"/>
    <x v="6"/>
    <x v="1"/>
    <x v="1"/>
    <n v="4800"/>
    <s v="Summer 2020"/>
    <x v="279"/>
    <x v="270"/>
    <s v="Discrete Structures"/>
    <s v="CSE 2300"/>
    <s v="Computing Disciplines"/>
    <m/>
    <m/>
    <m/>
    <m/>
    <x v="5"/>
    <s v="In Progress"/>
    <s v="In Progress"/>
    <n v="0"/>
    <n v="0"/>
    <n v="0"/>
    <n v="0"/>
    <n v="0"/>
    <n v="0"/>
    <s v="Summer 2020"/>
    <s v="N"/>
    <m/>
    <m/>
    <s v="Continued"/>
    <n v="0"/>
    <n v="0"/>
    <n v="0"/>
    <n v="0"/>
    <n v="0"/>
    <n v="0"/>
    <n v="0"/>
    <n v="0"/>
    <n v="0"/>
    <n v="0"/>
    <n v="0"/>
    <n v="0"/>
    <n v="0"/>
    <n v="0"/>
    <n v="0"/>
    <n v="0"/>
    <n v="0"/>
    <n v="0"/>
    <n v="0"/>
    <n v="0"/>
    <n v="0"/>
    <n v="0"/>
    <n v="0"/>
    <n v="0"/>
    <n v="0"/>
    <n v="0"/>
    <n v="0"/>
    <n v="0"/>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69"/>
    <m/>
    <m/>
    <n v="517265"/>
    <m/>
    <m/>
    <s v="15"/>
    <x v="6"/>
    <x v="1"/>
    <x v="1"/>
    <n v="4800"/>
    <s v="Summer 2020"/>
    <x v="159"/>
    <x v="161"/>
    <s v="Professional Practices and Ethics"/>
    <s v="CSE 3801"/>
    <s v="Computing Disciplines"/>
    <m/>
    <m/>
    <m/>
    <m/>
    <x v="5"/>
    <s v="In Progress"/>
    <s v="In Progress"/>
    <n v="0"/>
    <n v="0"/>
    <n v="0"/>
    <n v="0"/>
    <n v="0"/>
    <n v="0"/>
    <s v="Summer 2020"/>
    <s v="N"/>
    <m/>
    <m/>
    <s v="Continued"/>
    <n v="0"/>
    <n v="0"/>
    <n v="0"/>
    <n v="0"/>
    <n v="0"/>
    <n v="0"/>
    <n v="0"/>
    <n v="0"/>
    <n v="0"/>
    <n v="0"/>
    <n v="0"/>
    <n v="0"/>
    <n v="0"/>
    <n v="0"/>
    <n v="0"/>
    <n v="0"/>
    <n v="0"/>
    <n v="0"/>
    <n v="0"/>
    <n v="0"/>
    <n v="0"/>
    <n v="0"/>
    <n v="0"/>
    <n v="0"/>
    <n v="0"/>
    <n v="0"/>
    <n v="0"/>
    <n v="0"/>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70"/>
    <m/>
    <m/>
    <n v="517241"/>
    <m/>
    <m/>
    <s v="15"/>
    <x v="6"/>
    <x v="1"/>
    <x v="19"/>
    <n v="4800"/>
    <s v="Summer 2020"/>
    <x v="208"/>
    <x v="151"/>
    <s v="Calculus II"/>
    <s v="MATH 2164"/>
    <s v="Mathematical Subjects"/>
    <m/>
    <m/>
    <m/>
    <m/>
    <x v="5"/>
    <s v="In Progress"/>
    <s v="In Progress"/>
    <n v="0"/>
    <n v="0"/>
    <n v="0"/>
    <n v="0"/>
    <n v="0"/>
    <n v="0"/>
    <s v="Summer 2020"/>
    <s v="N"/>
    <m/>
    <m/>
    <s v="Continued"/>
    <n v="0"/>
    <n v="0"/>
    <n v="0"/>
    <n v="0"/>
    <n v="0"/>
    <n v="0"/>
    <n v="0"/>
    <n v="0"/>
    <n v="0"/>
    <n v="0"/>
    <n v="0"/>
    <n v="0"/>
    <n v="0"/>
    <n v="0"/>
    <n v="0"/>
    <n v="0"/>
    <n v="0"/>
    <n v="0"/>
    <n v="0"/>
    <n v="0"/>
    <n v="0"/>
    <n v="0"/>
    <n v="0"/>
    <n v="0"/>
    <n v="0"/>
    <n v="0"/>
    <n v="0"/>
    <n v="0"/>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71"/>
    <m/>
    <m/>
    <n v="517203"/>
    <m/>
    <m/>
    <s v="15"/>
    <x v="6"/>
    <x v="1"/>
    <x v="21"/>
    <n v="2800"/>
    <s v="Summer 2020"/>
    <x v="280"/>
    <x v="271"/>
    <s v="Digital Media"/>
    <s v="ITEC 2110"/>
    <s v="Computing Disciplines"/>
    <m/>
    <m/>
    <m/>
    <m/>
    <x v="5"/>
    <s v="In Progress"/>
    <s v="In Progress"/>
    <n v="0"/>
    <n v="0"/>
    <n v="0"/>
    <n v="0"/>
    <n v="0"/>
    <n v="0"/>
    <s v="Summer 2020"/>
    <s v="N"/>
    <m/>
    <m/>
    <s v="Continued"/>
    <n v="0"/>
    <n v="0"/>
    <n v="0"/>
    <n v="0"/>
    <n v="0"/>
    <n v="0"/>
    <n v="0"/>
    <n v="0"/>
    <n v="0"/>
    <n v="0"/>
    <n v="0"/>
    <n v="0"/>
    <n v="0"/>
    <n v="0"/>
    <n v="0"/>
    <n v="0"/>
    <n v="0"/>
    <n v="0"/>
    <n v="0"/>
    <n v="0"/>
    <n v="0"/>
    <n v="0"/>
    <n v="0"/>
    <n v="0"/>
    <n v="0"/>
    <n v="0"/>
    <n v="0"/>
    <n v="0"/>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72"/>
    <m/>
    <m/>
    <n v="517299"/>
    <m/>
    <m/>
    <s v="15"/>
    <x v="6"/>
    <x v="1"/>
    <x v="14"/>
    <n v="4000"/>
    <s v="Summer 2020"/>
    <x v="201"/>
    <x v="199"/>
    <s v="Medical Microbiology"/>
    <s v="BIOL 2161"/>
    <s v="Biological Sciences"/>
    <m/>
    <m/>
    <m/>
    <m/>
    <x v="5"/>
    <s v="In Progress"/>
    <s v="In Progress"/>
    <n v="0"/>
    <n v="0"/>
    <n v="0"/>
    <n v="0"/>
    <n v="0"/>
    <n v="0"/>
    <s v="Summer 2020"/>
    <s v="N"/>
    <m/>
    <m/>
    <s v="Continued"/>
    <n v="0"/>
    <n v="0"/>
    <n v="0"/>
    <n v="0"/>
    <n v="0"/>
    <n v="0"/>
    <n v="0"/>
    <n v="0"/>
    <n v="0"/>
    <n v="0"/>
    <n v="0"/>
    <n v="0"/>
    <n v="0"/>
    <n v="0"/>
    <n v="0"/>
    <n v="0"/>
    <n v="0"/>
    <n v="0"/>
    <n v="0"/>
    <n v="0"/>
    <n v="0"/>
    <n v="0"/>
    <n v="0"/>
    <n v="0"/>
    <n v="0"/>
    <n v="0"/>
    <n v="0"/>
    <n v="0"/>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73"/>
    <m/>
    <m/>
    <n v="517300"/>
    <m/>
    <m/>
    <s v="15"/>
    <x v="6"/>
    <x v="1"/>
    <x v="14"/>
    <n v="4800"/>
    <s v="Fall 2020"/>
    <x v="160"/>
    <x v="162"/>
    <s v="Elementary Statistics"/>
    <s v="MATH 1401"/>
    <s v="Mathematical Subjects"/>
    <m/>
    <m/>
    <m/>
    <m/>
    <x v="5"/>
    <s v="In Progress"/>
    <s v="In Progress"/>
    <n v="0"/>
    <n v="0"/>
    <n v="0"/>
    <n v="0"/>
    <n v="0"/>
    <n v="0"/>
    <s v="Fall 2020"/>
    <s v="N"/>
    <m/>
    <m/>
    <s v="Continued"/>
    <n v="0"/>
    <n v="0"/>
    <n v="0"/>
    <n v="0"/>
    <n v="0"/>
    <n v="0"/>
    <n v="0"/>
    <n v="0"/>
    <n v="0"/>
    <n v="0"/>
    <n v="0"/>
    <n v="0"/>
    <n v="0"/>
    <n v="0"/>
    <n v="0"/>
    <n v="0"/>
    <n v="0"/>
    <n v="0"/>
    <n v="0"/>
    <n v="0"/>
    <n v="0"/>
    <n v="0"/>
    <n v="0"/>
    <n v="0"/>
    <n v="0"/>
    <n v="0"/>
    <n v="0"/>
    <n v="0"/>
    <x v="4"/>
    <n v="0"/>
    <n v="0"/>
    <n v="0"/>
    <n v="0"/>
    <n v="0"/>
    <n v="0"/>
    <n v="0"/>
    <n v="0"/>
    <n v="0"/>
    <n v="0"/>
    <n v="0"/>
    <n v="0"/>
    <n v="0"/>
    <n v="0"/>
    <s v="Mini-Grant"/>
    <n v="0"/>
    <n v="0"/>
    <n v="0"/>
    <n v="0"/>
    <n v="0"/>
    <n v="0"/>
    <s v="Fall 2020"/>
    <n v="0"/>
    <n v="0"/>
    <n v="0"/>
    <n v="0"/>
    <n v="0"/>
    <n v="0"/>
    <n v="0"/>
    <n v="0"/>
    <s v="Mini-Grant"/>
    <n v="0"/>
    <n v="0"/>
    <n v="0"/>
    <n v="0"/>
    <n v="0"/>
    <n v="0"/>
    <s v="Fall 2020"/>
    <n v="0"/>
    <n v="0"/>
    <n v="0"/>
    <n v="0"/>
    <n v="0"/>
    <n v="0"/>
    <n v="0"/>
    <n v="0"/>
    <n v="0"/>
    <n v="0"/>
    <n v="0"/>
  </r>
  <r>
    <x v="374"/>
    <m/>
    <m/>
    <n v="517196"/>
    <m/>
    <m/>
    <s v="15"/>
    <x v="6"/>
    <x v="1"/>
    <x v="21"/>
    <n v="4800"/>
    <s v="Fall 2020"/>
    <x v="140"/>
    <x v="142"/>
    <s v="Web Technologies"/>
    <s v="ITEC 2130"/>
    <s v="Computing Disciplines"/>
    <m/>
    <m/>
    <m/>
    <m/>
    <x v="5"/>
    <s v="In Progress"/>
    <s v="In Progress"/>
    <n v="0"/>
    <n v="0"/>
    <n v="0"/>
    <n v="0"/>
    <n v="0"/>
    <n v="0"/>
    <s v="Fall 2020"/>
    <s v="N"/>
    <m/>
    <m/>
    <s v="Continued"/>
    <n v="0"/>
    <n v="0"/>
    <n v="0"/>
    <n v="0"/>
    <n v="0"/>
    <n v="0"/>
    <n v="0"/>
    <n v="0"/>
    <n v="0"/>
    <n v="0"/>
    <n v="0"/>
    <n v="0"/>
    <n v="0"/>
    <n v="0"/>
    <n v="0"/>
    <n v="0"/>
    <n v="0"/>
    <n v="0"/>
    <n v="0"/>
    <n v="0"/>
    <n v="0"/>
    <n v="0"/>
    <n v="0"/>
    <n v="0"/>
    <n v="0"/>
    <n v="0"/>
    <n v="0"/>
    <n v="0"/>
    <x v="4"/>
    <n v="0"/>
    <n v="0"/>
    <n v="0"/>
    <n v="0"/>
    <n v="0"/>
    <n v="0"/>
    <n v="0"/>
    <n v="0"/>
    <n v="0"/>
    <n v="0"/>
    <n v="0"/>
    <n v="0"/>
    <n v="0"/>
    <n v="0"/>
    <s v="Mini-Grant"/>
    <n v="0"/>
    <n v="0"/>
    <n v="0"/>
    <n v="0"/>
    <n v="0"/>
    <n v="0"/>
    <s v="Fall 2020"/>
    <n v="0"/>
    <n v="0"/>
    <n v="0"/>
    <n v="0"/>
    <n v="0"/>
    <n v="0"/>
    <n v="0"/>
    <n v="0"/>
    <s v="Mini-Grant"/>
    <n v="0"/>
    <n v="0"/>
    <n v="0"/>
    <n v="0"/>
    <n v="0"/>
    <n v="0"/>
    <s v="Fall 2020"/>
    <n v="0"/>
    <n v="0"/>
    <n v="0"/>
    <n v="0"/>
    <n v="0"/>
    <n v="0"/>
    <n v="0"/>
    <n v="0"/>
    <n v="0"/>
    <n v="0"/>
    <n v="0"/>
  </r>
  <r>
    <x v="375"/>
    <m/>
    <m/>
    <n v="517195"/>
    <m/>
    <m/>
    <s v="15"/>
    <x v="6"/>
    <x v="1"/>
    <x v="21"/>
    <n v="4800"/>
    <s v="Fall 2020"/>
    <x v="281"/>
    <x v="272"/>
    <s v="Introduction to Human Geography"/>
    <s v="GEOG 1101"/>
    <s v="Geological Sciences and Geography"/>
    <m/>
    <m/>
    <m/>
    <m/>
    <x v="5"/>
    <s v="In Progress"/>
    <s v="In Progress"/>
    <n v="0"/>
    <n v="0"/>
    <n v="0"/>
    <n v="0"/>
    <n v="0"/>
    <n v="0"/>
    <s v="Fall 2020"/>
    <s v="N"/>
    <m/>
    <m/>
    <s v="Continued"/>
    <n v="0"/>
    <n v="0"/>
    <n v="0"/>
    <n v="0"/>
    <n v="0"/>
    <n v="0"/>
    <n v="0"/>
    <n v="0"/>
    <n v="0"/>
    <n v="0"/>
    <n v="0"/>
    <n v="0"/>
    <n v="0"/>
    <n v="0"/>
    <n v="0"/>
    <n v="0"/>
    <n v="0"/>
    <n v="0"/>
    <n v="0"/>
    <n v="0"/>
    <n v="0"/>
    <n v="0"/>
    <n v="0"/>
    <n v="0"/>
    <n v="0"/>
    <n v="0"/>
    <n v="0"/>
    <n v="0"/>
    <x v="4"/>
    <n v="0"/>
    <n v="0"/>
    <n v="0"/>
    <n v="0"/>
    <n v="0"/>
    <n v="0"/>
    <n v="0"/>
    <n v="0"/>
    <n v="0"/>
    <n v="0"/>
    <n v="0"/>
    <n v="0"/>
    <n v="0"/>
    <n v="0"/>
    <s v="Mini-Grant"/>
    <n v="0"/>
    <n v="0"/>
    <n v="0"/>
    <n v="0"/>
    <n v="0"/>
    <n v="0"/>
    <s v="Fall 2020"/>
    <n v="0"/>
    <n v="0"/>
    <n v="0"/>
    <n v="0"/>
    <n v="0"/>
    <n v="0"/>
    <n v="0"/>
    <n v="0"/>
    <s v="Mini-Grant"/>
    <n v="0"/>
    <n v="0"/>
    <n v="0"/>
    <n v="0"/>
    <n v="0"/>
    <n v="0"/>
    <s v="Fall 2020"/>
    <n v="0"/>
    <n v="0"/>
    <n v="0"/>
    <n v="0"/>
    <n v="0"/>
    <n v="0"/>
    <n v="0"/>
    <n v="0"/>
    <n v="0"/>
    <n v="0"/>
    <n v="0"/>
  </r>
  <r>
    <x v="376"/>
    <m/>
    <m/>
    <n v="517266"/>
    <m/>
    <m/>
    <s v="15"/>
    <x v="6"/>
    <x v="1"/>
    <x v="1"/>
    <n v="4800"/>
    <s v="Summer 2020"/>
    <x v="139"/>
    <x v="141"/>
    <s v="Issues in Digital Accessibility, Technical Writing"/>
    <s v="TCOM 2050, TCOM 2010"/>
    <s v="Communication"/>
    <m/>
    <m/>
    <m/>
    <m/>
    <x v="5"/>
    <s v="In Progress"/>
    <s v="In Progress"/>
    <n v="0"/>
    <n v="0"/>
    <n v="0"/>
    <n v="0"/>
    <n v="0"/>
    <n v="0"/>
    <s v="Summer 2020"/>
    <s v="N"/>
    <m/>
    <m/>
    <s v="Continued"/>
    <n v="0"/>
    <n v="0"/>
    <n v="0"/>
    <n v="0"/>
    <n v="0"/>
    <n v="0"/>
    <n v="0"/>
    <n v="0"/>
    <n v="0"/>
    <n v="0"/>
    <n v="0"/>
    <n v="0"/>
    <n v="0"/>
    <n v="0"/>
    <n v="0"/>
    <n v="0"/>
    <n v="0"/>
    <n v="0"/>
    <n v="0"/>
    <n v="0"/>
    <n v="0"/>
    <n v="0"/>
    <n v="0"/>
    <n v="0"/>
    <n v="0"/>
    <n v="0"/>
    <n v="0"/>
    <n v="0"/>
    <x v="4"/>
    <n v="0"/>
    <n v="0"/>
    <n v="0"/>
    <n v="0"/>
    <n v="0"/>
    <n v="0"/>
    <n v="0"/>
    <n v="0"/>
    <n v="0"/>
    <n v="0"/>
    <n v="0"/>
    <n v="0"/>
    <n v="0"/>
    <n v="0"/>
    <s v="Mini-Grant"/>
    <n v="0"/>
    <n v="0"/>
    <n v="0"/>
    <n v="0"/>
    <n v="0"/>
    <n v="0"/>
    <s v="Summer 2020"/>
    <n v="0"/>
    <n v="0"/>
    <n v="0"/>
    <n v="0"/>
    <n v="0"/>
    <n v="0"/>
    <n v="0"/>
    <n v="0"/>
    <s v="Mini-Grant"/>
    <n v="0"/>
    <n v="0"/>
    <n v="0"/>
    <n v="0"/>
    <n v="0"/>
    <n v="0"/>
    <s v="Summer 2020"/>
    <n v="0"/>
    <n v="0"/>
    <n v="0"/>
    <n v="0"/>
    <n v="0"/>
    <n v="0"/>
    <n v="0"/>
    <n v="0"/>
    <n v="0"/>
    <n v="0"/>
    <n v="0"/>
  </r>
  <r>
    <x v="377"/>
    <m/>
    <m/>
    <n v="517753"/>
    <m/>
    <m/>
    <s v="16"/>
    <x v="6"/>
    <x v="0"/>
    <x v="1"/>
    <n v="30000"/>
    <s v="Spring 2021"/>
    <x v="282"/>
    <x v="273"/>
    <s v="Introduction to Database Systems, Big Data Analytics, Computer Graphics &amp; Multimedia"/>
    <s v="CS3410, CS4265, CS4722"/>
    <s v="Computing Disciplines"/>
    <m/>
    <m/>
    <m/>
    <m/>
    <x v="5"/>
    <s v="In Progress"/>
    <s v="In Progress"/>
    <n v="118069"/>
    <n v="623"/>
    <n v="189.51685393258427"/>
    <n v="82"/>
    <n v="218"/>
    <n v="323"/>
    <s v="Spring 2021"/>
    <s v="N"/>
    <m/>
    <m/>
    <s v="Continued"/>
    <n v="0"/>
    <n v="0"/>
    <n v="0"/>
    <n v="0"/>
    <n v="0"/>
    <n v="0"/>
    <n v="0"/>
    <n v="0"/>
    <n v="0"/>
    <n v="0"/>
    <n v="0"/>
    <n v="0"/>
    <n v="0"/>
    <n v="0"/>
    <n v="0"/>
    <n v="0"/>
    <n v="0"/>
    <n v="0"/>
    <n v="0"/>
    <n v="0"/>
    <n v="0"/>
    <n v="0"/>
    <n v="0"/>
    <n v="0"/>
    <n v="0"/>
    <n v="0"/>
    <n v="0"/>
    <n v="0"/>
    <x v="0"/>
    <n v="0"/>
    <n v="0"/>
    <n v="0"/>
    <n v="0"/>
    <n v="0"/>
    <n v="0"/>
    <n v="0"/>
    <n v="0"/>
    <n v="0"/>
    <n v="0"/>
    <n v="0"/>
    <n v="0"/>
    <n v="0"/>
    <n v="0"/>
    <s v="Continued"/>
    <n v="0"/>
    <n v="0"/>
    <n v="0"/>
    <n v="623"/>
    <n v="189.51685393258427"/>
    <n v="118069"/>
    <s v="Spring 2021"/>
    <n v="0"/>
    <n v="0"/>
    <n v="0"/>
    <n v="0"/>
    <n v="0"/>
    <n v="0"/>
    <n v="0"/>
    <n v="0"/>
    <s v="Continued"/>
    <n v="82"/>
    <n v="218"/>
    <n v="323"/>
    <n v="623"/>
    <n v="189.51685393258427"/>
    <n v="118069"/>
    <s v="Spring 2021"/>
    <n v="0"/>
    <n v="0"/>
    <n v="0"/>
    <n v="0"/>
    <n v="323"/>
    <n v="61213.943820224718"/>
    <n v="323"/>
    <n v="61213.943820224718"/>
    <n v="323"/>
    <n v="61213.943820224718"/>
    <n v="2.0404647940074905"/>
  </r>
  <r>
    <x v="378"/>
    <m/>
    <m/>
    <n v="517754"/>
    <m/>
    <m/>
    <s v="16"/>
    <x v="6"/>
    <x v="0"/>
    <x v="1"/>
    <n v="30000"/>
    <s v="Spring 2021"/>
    <x v="283"/>
    <x v="274"/>
    <s v="Introduction to GIS"/>
    <s v="GISC 2011 &amp; GISC 2011L (UNG) GEOG 3315 (KSU)"/>
    <s v="Geological Sciences and Geography"/>
    <m/>
    <m/>
    <m/>
    <m/>
    <x v="5"/>
    <s v="In Progress"/>
    <s v="In Progress"/>
    <n v="31070.880000000001"/>
    <n v="358"/>
    <n v="86.790167597765361"/>
    <n v="24"/>
    <n v="164"/>
    <n v="170"/>
    <s v="Spring 2021"/>
    <s v="N"/>
    <m/>
    <m/>
    <s v="Continued"/>
    <n v="0"/>
    <n v="0"/>
    <n v="0"/>
    <n v="0"/>
    <n v="0"/>
    <n v="0"/>
    <n v="0"/>
    <n v="0"/>
    <n v="0"/>
    <n v="0"/>
    <n v="0"/>
    <n v="0"/>
    <n v="0"/>
    <n v="0"/>
    <n v="0"/>
    <n v="0"/>
    <n v="0"/>
    <n v="0"/>
    <n v="0"/>
    <n v="0"/>
    <n v="0"/>
    <n v="0"/>
    <n v="0"/>
    <n v="0"/>
    <n v="0"/>
    <n v="0"/>
    <n v="0"/>
    <n v="0"/>
    <x v="0"/>
    <n v="0"/>
    <n v="0"/>
    <n v="0"/>
    <n v="0"/>
    <n v="0"/>
    <n v="0"/>
    <n v="0"/>
    <n v="0"/>
    <n v="0"/>
    <n v="0"/>
    <n v="0"/>
    <n v="0"/>
    <n v="0"/>
    <n v="0"/>
    <s v="Continued"/>
    <n v="0"/>
    <n v="0"/>
    <n v="0"/>
    <n v="358"/>
    <n v="86.790167597765361"/>
    <n v="31070.880000000001"/>
    <s v="Spring 2021"/>
    <n v="0"/>
    <n v="0"/>
    <n v="0"/>
    <n v="0"/>
    <n v="0"/>
    <n v="0"/>
    <n v="0"/>
    <n v="0"/>
    <s v="Continued"/>
    <n v="24"/>
    <n v="164"/>
    <n v="170"/>
    <n v="358"/>
    <n v="86.790167597765361"/>
    <n v="31070.880000000001"/>
    <s v="Spring 2021"/>
    <n v="0"/>
    <n v="0"/>
    <n v="0"/>
    <n v="0"/>
    <n v="170"/>
    <n v="14754.328491620112"/>
    <n v="170"/>
    <n v="14754.328491620112"/>
    <n v="170"/>
    <n v="14754.328491620112"/>
    <n v="0.49181094972067041"/>
  </r>
  <r>
    <x v="379"/>
    <m/>
    <m/>
    <m/>
    <m/>
    <m/>
    <m/>
    <x v="7"/>
    <x v="0"/>
    <x v="10"/>
    <m/>
    <s v="Spring 2021"/>
    <x v="284"/>
    <x v="275"/>
    <m/>
    <m/>
    <m/>
    <m/>
    <m/>
    <m/>
    <m/>
    <x v="6"/>
    <m/>
    <m/>
    <m/>
    <m/>
    <m/>
    <m/>
    <m/>
    <m/>
    <m/>
    <m/>
    <m/>
    <m/>
    <m/>
    <n v="0"/>
    <m/>
    <m/>
    <n v="0"/>
    <n v="0"/>
    <n v="0"/>
    <n v="0"/>
    <n v="0"/>
    <m/>
    <n v="0"/>
    <m/>
    <n v="0"/>
    <m/>
    <m/>
    <m/>
    <m/>
    <m/>
    <m/>
    <m/>
    <m/>
    <m/>
    <m/>
    <m/>
    <m/>
    <m/>
    <m/>
    <m/>
    <m/>
    <x v="5"/>
    <m/>
    <m/>
    <m/>
    <n v="0"/>
    <m/>
    <n v="0"/>
    <m/>
    <m/>
    <m/>
    <m/>
    <m/>
    <n v="0"/>
    <n v="0"/>
    <n v="0"/>
    <m/>
    <m/>
    <m/>
    <m/>
    <n v="0"/>
    <m/>
    <n v="0"/>
    <s v="Spring 2021"/>
    <n v="0"/>
    <n v="0"/>
    <n v="0"/>
    <n v="0"/>
    <n v="0"/>
    <n v="0"/>
    <n v="0"/>
    <n v="0"/>
    <s v="n/a"/>
    <n v="0"/>
    <n v="0"/>
    <n v="0"/>
    <n v="0"/>
    <m/>
    <n v="0"/>
    <s v="Spring 2021"/>
    <n v="0"/>
    <n v="0"/>
    <n v="0"/>
    <n v="0"/>
    <n v="0"/>
    <n v="0"/>
    <n v="0"/>
    <n v="0"/>
    <n v="0"/>
    <n v="0"/>
    <e v="#DIV/0!"/>
  </r>
  <r>
    <x v="380"/>
    <m/>
    <m/>
    <m/>
    <m/>
    <m/>
    <s v="16"/>
    <x v="6"/>
    <x v="0"/>
    <x v="7"/>
    <n v="29922"/>
    <s v="Spring 2021"/>
    <x v="285"/>
    <x v="276"/>
    <s v="Computing Applications in Mechanical Engineering"/>
    <s v="ENGR 1121"/>
    <s v="English"/>
    <m/>
    <m/>
    <m/>
    <m/>
    <x v="5"/>
    <s v="In Progress"/>
    <s v="In Progress"/>
    <n v="24209.5"/>
    <n v="270"/>
    <n v="89.664814814814818"/>
    <n v="0"/>
    <n v="95"/>
    <n v="175"/>
    <s v="Spring 2021"/>
    <s v="N"/>
    <m/>
    <m/>
    <s v="Continued"/>
    <n v="0"/>
    <n v="0"/>
    <n v="0"/>
    <n v="0"/>
    <n v="0"/>
    <n v="0"/>
    <n v="0"/>
    <n v="0"/>
    <n v="0"/>
    <n v="0"/>
    <n v="0"/>
    <n v="0"/>
    <n v="0"/>
    <n v="0"/>
    <n v="0"/>
    <n v="0"/>
    <n v="0"/>
    <n v="0"/>
    <n v="0"/>
    <n v="0"/>
    <n v="0"/>
    <n v="0"/>
    <n v="0"/>
    <n v="0"/>
    <n v="0"/>
    <n v="0"/>
    <n v="0"/>
    <n v="0"/>
    <x v="0"/>
    <n v="0"/>
    <n v="0"/>
    <n v="0"/>
    <n v="0"/>
    <n v="0"/>
    <n v="0"/>
    <n v="0"/>
    <n v="0"/>
    <n v="0"/>
    <n v="0"/>
    <n v="0"/>
    <n v="0"/>
    <n v="0"/>
    <n v="0"/>
    <s v="Continued"/>
    <n v="0"/>
    <n v="0"/>
    <n v="0"/>
    <n v="270"/>
    <n v="89.664814814814818"/>
    <n v="24209.5"/>
    <s v="Spring 2021"/>
    <n v="0"/>
    <n v="0"/>
    <n v="0"/>
    <n v="0"/>
    <n v="0"/>
    <n v="0"/>
    <n v="0"/>
    <n v="0"/>
    <s v="Continued"/>
    <n v="0"/>
    <n v="95"/>
    <n v="175"/>
    <n v="270"/>
    <n v="89.664814814814818"/>
    <n v="24209.5"/>
    <s v="Spring 2021"/>
    <n v="0"/>
    <n v="0"/>
    <n v="0"/>
    <n v="0"/>
    <n v="175"/>
    <n v="15691.342592592593"/>
    <n v="175"/>
    <n v="15691.342592592593"/>
    <n v="175"/>
    <n v="15691.342592592593"/>
    <n v="0.52440821444397412"/>
  </r>
  <r>
    <x v="381"/>
    <m/>
    <m/>
    <m/>
    <m/>
    <m/>
    <s v="16"/>
    <x v="6"/>
    <x v="0"/>
    <x v="21"/>
    <n v="10800"/>
    <s v="Spring 2021"/>
    <x v="286"/>
    <x v="277"/>
    <s v="Physical Science with Laboratory"/>
    <s v="PSCI 1101K"/>
    <s v="Physics and Astronomy"/>
    <m/>
    <m/>
    <m/>
    <m/>
    <x v="5"/>
    <s v="In Progress"/>
    <s v="In Progress"/>
    <n v="59270.2"/>
    <n v="220"/>
    <n v="269.40999999999997"/>
    <n v="20"/>
    <n v="80"/>
    <n v="120"/>
    <s v="Spring 2021"/>
    <s v="N"/>
    <m/>
    <m/>
    <s v="Continued"/>
    <n v="0"/>
    <n v="0"/>
    <n v="0"/>
    <n v="0"/>
    <n v="0"/>
    <n v="0"/>
    <n v="0"/>
    <n v="0"/>
    <n v="0"/>
    <n v="0"/>
    <n v="0"/>
    <n v="0"/>
    <n v="0"/>
    <n v="0"/>
    <n v="0"/>
    <n v="0"/>
    <n v="0"/>
    <n v="0"/>
    <n v="0"/>
    <n v="0"/>
    <n v="0"/>
    <n v="0"/>
    <n v="0"/>
    <n v="0"/>
    <n v="0"/>
    <n v="0"/>
    <n v="0"/>
    <n v="0"/>
    <x v="0"/>
    <n v="0"/>
    <n v="0"/>
    <n v="0"/>
    <n v="0"/>
    <n v="0"/>
    <n v="0"/>
    <n v="0"/>
    <n v="0"/>
    <n v="0"/>
    <n v="0"/>
    <n v="0"/>
    <n v="0"/>
    <n v="0"/>
    <n v="0"/>
    <s v="Continued"/>
    <n v="0"/>
    <n v="0"/>
    <n v="0"/>
    <n v="220"/>
    <n v="269.40999999999997"/>
    <n v="59270.19999999999"/>
    <s v="Spring 2021"/>
    <n v="0"/>
    <n v="0"/>
    <n v="0"/>
    <n v="0"/>
    <n v="0"/>
    <n v="0"/>
    <n v="0"/>
    <n v="0"/>
    <s v="Continued"/>
    <n v="20"/>
    <n v="80"/>
    <n v="120"/>
    <n v="220"/>
    <n v="269.40999999999997"/>
    <n v="59270.19999999999"/>
    <s v="Spring 2021"/>
    <n v="0"/>
    <n v="0"/>
    <n v="0"/>
    <n v="0"/>
    <n v="120"/>
    <n v="32329.199999999997"/>
    <n v="120"/>
    <n v="32329.199999999997"/>
    <n v="120"/>
    <n v="32329.199999999997"/>
    <n v="2.9934444444444441"/>
  </r>
  <r>
    <x v="382"/>
    <m/>
    <m/>
    <n v="517755"/>
    <m/>
    <m/>
    <s v="16"/>
    <x v="6"/>
    <x v="0"/>
    <x v="1"/>
    <n v="11800"/>
    <s v="Spring 2021"/>
    <x v="287"/>
    <x v="278"/>
    <s v="Survey of Engineering Applications from Mathematics, Systems Simulation"/>
    <s v="ENGR 1100, IET 4451"/>
    <s v="Engineering"/>
    <m/>
    <m/>
    <m/>
    <m/>
    <x v="5"/>
    <s v="In Progress"/>
    <s v="In Progress"/>
    <n v="28692"/>
    <n v="160"/>
    <n v="179.32499999999999"/>
    <n v="0"/>
    <n v="80"/>
    <n v="80"/>
    <s v="Spring 2021"/>
    <s v="N"/>
    <m/>
    <m/>
    <s v="Continued"/>
    <n v="0"/>
    <n v="0"/>
    <n v="0"/>
    <n v="0"/>
    <n v="0"/>
    <n v="0"/>
    <n v="0"/>
    <n v="0"/>
    <n v="0"/>
    <n v="0"/>
    <n v="0"/>
    <n v="0"/>
    <n v="0"/>
    <n v="0"/>
    <n v="0"/>
    <n v="0"/>
    <n v="0"/>
    <n v="0"/>
    <n v="0"/>
    <n v="0"/>
    <n v="0"/>
    <n v="0"/>
    <n v="0"/>
    <n v="0"/>
    <n v="0"/>
    <n v="0"/>
    <n v="0"/>
    <n v="0"/>
    <x v="0"/>
    <n v="0"/>
    <n v="0"/>
    <n v="0"/>
    <n v="0"/>
    <n v="0"/>
    <n v="0"/>
    <n v="0"/>
    <n v="0"/>
    <n v="0"/>
    <n v="0"/>
    <n v="0"/>
    <n v="0"/>
    <n v="0"/>
    <n v="0"/>
    <s v="Continued"/>
    <n v="0"/>
    <n v="0"/>
    <n v="0"/>
    <n v="160"/>
    <n v="179.32499999999999"/>
    <n v="28692"/>
    <s v="Spring 2021"/>
    <n v="0"/>
    <n v="0"/>
    <n v="0"/>
    <n v="0"/>
    <n v="0"/>
    <n v="0"/>
    <n v="0"/>
    <n v="0"/>
    <s v="Continued"/>
    <n v="0"/>
    <n v="80"/>
    <n v="80"/>
    <n v="160"/>
    <n v="179.32499999999999"/>
    <n v="28692"/>
    <s v="Spring 2021"/>
    <n v="0"/>
    <n v="0"/>
    <n v="0"/>
    <n v="0"/>
    <n v="80"/>
    <n v="14346"/>
    <n v="80"/>
    <n v="14346"/>
    <n v="80"/>
    <n v="14346"/>
    <n v="1.2157627118644068"/>
  </r>
  <r>
    <x v="383"/>
    <m/>
    <m/>
    <n v="517629"/>
    <m/>
    <m/>
    <s v="16"/>
    <x v="6"/>
    <x v="0"/>
    <x v="4"/>
    <n v="29016"/>
    <s v="Spring 2021"/>
    <x v="288"/>
    <x v="279"/>
    <s v="Entrepreneurial Thinking for Startups, Introduction to Entrepreneurship &amp; Innovation"/>
    <s v="ENI 3101, ENI 3100"/>
    <s v="Business Administration, Management, and Economics"/>
    <m/>
    <m/>
    <m/>
    <m/>
    <x v="5"/>
    <s v="In Progress"/>
    <s v="In Progress"/>
    <n v="120900"/>
    <n v="780"/>
    <n v="155"/>
    <n v="45"/>
    <n v="400"/>
    <n v="400"/>
    <s v="Spring 2021"/>
    <s v="N"/>
    <m/>
    <m/>
    <s v="Continued"/>
    <n v="0"/>
    <n v="0"/>
    <n v="0"/>
    <n v="0"/>
    <n v="0"/>
    <n v="0"/>
    <n v="0"/>
    <n v="0"/>
    <n v="0"/>
    <n v="0"/>
    <n v="0"/>
    <n v="0"/>
    <n v="0"/>
    <n v="0"/>
    <n v="0"/>
    <n v="0"/>
    <n v="0"/>
    <n v="0"/>
    <n v="0"/>
    <n v="0"/>
    <n v="0"/>
    <n v="0"/>
    <n v="0"/>
    <n v="0"/>
    <n v="0"/>
    <n v="0"/>
    <n v="0"/>
    <n v="0"/>
    <x v="0"/>
    <n v="0"/>
    <n v="0"/>
    <n v="0"/>
    <n v="0"/>
    <n v="0"/>
    <n v="0"/>
    <n v="0"/>
    <n v="0"/>
    <n v="0"/>
    <n v="0"/>
    <n v="0"/>
    <n v="0"/>
    <n v="0"/>
    <n v="0"/>
    <s v="Continued"/>
    <n v="0"/>
    <n v="0"/>
    <n v="0"/>
    <n v="780"/>
    <n v="155"/>
    <n v="120900"/>
    <s v="Spring 2021"/>
    <n v="0"/>
    <n v="0"/>
    <n v="0"/>
    <n v="0"/>
    <n v="0"/>
    <n v="0"/>
    <n v="0"/>
    <n v="0"/>
    <s v="Continued"/>
    <n v="45"/>
    <n v="400"/>
    <n v="400"/>
    <n v="845"/>
    <n v="155"/>
    <n v="130975"/>
    <s v="Spring 2021"/>
    <n v="0"/>
    <n v="0"/>
    <n v="0"/>
    <n v="0"/>
    <n v="400"/>
    <n v="62000"/>
    <n v="400"/>
    <n v="62000"/>
    <n v="400"/>
    <n v="62000"/>
    <n v="2.1367521367521367"/>
  </r>
  <r>
    <x v="384"/>
    <m/>
    <m/>
    <m/>
    <m/>
    <m/>
    <s v="16"/>
    <x v="6"/>
    <x v="0"/>
    <x v="11"/>
    <n v="30000"/>
    <s v="Spring 2021"/>
    <x v="289"/>
    <x v="280"/>
    <s v="Elementary Statistics"/>
    <s v="STAT 1401"/>
    <s v="Mathematical Subjects"/>
    <m/>
    <m/>
    <m/>
    <m/>
    <x v="5"/>
    <s v="In Progress"/>
    <s v="In Progress"/>
    <n v="53552.07"/>
    <n v="741.33"/>
    <n v="72.237829306786452"/>
    <n v="51.33"/>
    <n v="325.33"/>
    <n v="364.67"/>
    <s v="Spring 2021"/>
    <s v="N"/>
    <m/>
    <m/>
    <s v="Continued"/>
    <n v="0"/>
    <n v="0"/>
    <n v="0"/>
    <n v="0"/>
    <n v="0"/>
    <n v="0"/>
    <n v="0"/>
    <n v="0"/>
    <n v="0"/>
    <n v="0"/>
    <n v="0"/>
    <n v="0"/>
    <n v="0"/>
    <n v="0"/>
    <n v="0"/>
    <n v="0"/>
    <n v="0"/>
    <n v="0"/>
    <n v="0"/>
    <n v="0"/>
    <n v="0"/>
    <n v="0"/>
    <n v="0"/>
    <n v="0"/>
    <n v="0"/>
    <n v="0"/>
    <n v="0"/>
    <n v="0"/>
    <x v="0"/>
    <n v="0"/>
    <n v="0"/>
    <n v="0"/>
    <n v="0"/>
    <n v="0"/>
    <n v="0"/>
    <n v="0"/>
    <n v="0"/>
    <n v="0"/>
    <n v="0"/>
    <n v="0"/>
    <n v="0"/>
    <n v="0"/>
    <n v="0"/>
    <s v="Continued"/>
    <n v="0"/>
    <n v="0"/>
    <n v="0"/>
    <n v="741.33"/>
    <n v="72.237829306786452"/>
    <n v="53552.07"/>
    <s v="Spring 2021"/>
    <n v="0"/>
    <n v="0"/>
    <n v="0"/>
    <n v="0"/>
    <n v="0"/>
    <n v="0"/>
    <n v="0"/>
    <n v="0"/>
    <s v="Continued"/>
    <n v="51.33"/>
    <n v="325.33"/>
    <n v="364.67"/>
    <n v="741.32999999999993"/>
    <n v="72.237829306786452"/>
    <n v="53552.069999999992"/>
    <s v="Spring 2021"/>
    <n v="0"/>
    <n v="0"/>
    <n v="0"/>
    <n v="0"/>
    <n v="364.67"/>
    <n v="26342.969213305816"/>
    <n v="364.67"/>
    <n v="26342.969213305816"/>
    <n v="364.67"/>
    <n v="26342.969213305816"/>
    <n v="0.87809897377686053"/>
  </r>
  <r>
    <x v="385"/>
    <m/>
    <m/>
    <n v="517669"/>
    <m/>
    <m/>
    <s v="16"/>
    <x v="6"/>
    <x v="0"/>
    <x v="7"/>
    <n v="10800"/>
    <s v="Spring 2021"/>
    <x v="290"/>
    <x v="281"/>
    <s v="Organic Chemistry I Lab and Organic Chemistry II Lab"/>
    <s v="CHEM 3401L/CHEM 3402L"/>
    <s v="Chemistry"/>
    <m/>
    <m/>
    <m/>
    <m/>
    <x v="5"/>
    <s v="In Progress"/>
    <s v="In Progress"/>
    <n v="42878"/>
    <n v="864"/>
    <n v="49.627314814814817"/>
    <n v="96"/>
    <n v="384"/>
    <n v="384"/>
    <s v="Spring 2021"/>
    <s v="N"/>
    <m/>
    <m/>
    <s v="Continued"/>
    <n v="0"/>
    <n v="0"/>
    <n v="0"/>
    <n v="0"/>
    <n v="0"/>
    <n v="0"/>
    <n v="0"/>
    <n v="0"/>
    <n v="0"/>
    <n v="0"/>
    <n v="0"/>
    <n v="0"/>
    <n v="0"/>
    <n v="0"/>
    <n v="0"/>
    <n v="0"/>
    <n v="0"/>
    <n v="0"/>
    <n v="0"/>
    <n v="0"/>
    <n v="0"/>
    <n v="0"/>
    <n v="0"/>
    <n v="0"/>
    <n v="0"/>
    <n v="0"/>
    <n v="0"/>
    <n v="0"/>
    <x v="0"/>
    <n v="0"/>
    <n v="0"/>
    <n v="0"/>
    <n v="0"/>
    <n v="0"/>
    <n v="0"/>
    <n v="0"/>
    <n v="0"/>
    <n v="0"/>
    <n v="0"/>
    <n v="0"/>
    <n v="0"/>
    <n v="0"/>
    <n v="0"/>
    <s v="Continued"/>
    <n v="0"/>
    <n v="0"/>
    <n v="0"/>
    <n v="864"/>
    <n v="49.627314814814817"/>
    <n v="42878"/>
    <s v="Spring 2021"/>
    <n v="0"/>
    <n v="0"/>
    <n v="0"/>
    <n v="0"/>
    <n v="0"/>
    <n v="0"/>
    <n v="0"/>
    <n v="0"/>
    <s v="Continued"/>
    <n v="96"/>
    <n v="384"/>
    <n v="384"/>
    <n v="864"/>
    <n v="49.627314814814817"/>
    <n v="42878"/>
    <s v="Spring 2021"/>
    <n v="0"/>
    <n v="0"/>
    <n v="0"/>
    <n v="0"/>
    <n v="384"/>
    <n v="19056.888888888891"/>
    <n v="384"/>
    <n v="19056.888888888891"/>
    <n v="384"/>
    <n v="19056.888888888891"/>
    <n v="1.7645267489711935"/>
  </r>
  <r>
    <x v="386"/>
    <m/>
    <m/>
    <m/>
    <m/>
    <m/>
    <s v="16"/>
    <x v="6"/>
    <x v="0"/>
    <x v="12"/>
    <n v="30000"/>
    <s v="Spring 2021"/>
    <x v="78"/>
    <x v="282"/>
    <s v="Introduction to Statistics"/>
    <s v="MATH 2411"/>
    <s v="Mathematical Subjects"/>
    <m/>
    <m/>
    <m/>
    <m/>
    <x v="5"/>
    <s v="In Progress"/>
    <s v="In Progress"/>
    <n v="181584.48"/>
    <n v="952"/>
    <n v="190.74"/>
    <n v="190"/>
    <n v="381"/>
    <n v="381"/>
    <s v="Spring 2021"/>
    <s v="Y"/>
    <n v="159"/>
    <s v="Spring 2021"/>
    <s v="Continued"/>
    <n v="0"/>
    <n v="0"/>
    <n v="0"/>
    <n v="0"/>
    <n v="0"/>
    <n v="0"/>
    <n v="0"/>
    <n v="0"/>
    <n v="0"/>
    <n v="0"/>
    <n v="0"/>
    <n v="0"/>
    <n v="0"/>
    <n v="0"/>
    <n v="0"/>
    <n v="0"/>
    <n v="0"/>
    <n v="0"/>
    <n v="0"/>
    <n v="0"/>
    <n v="0"/>
    <n v="0"/>
    <n v="0"/>
    <n v="0"/>
    <n v="0"/>
    <n v="0"/>
    <n v="0"/>
    <n v="0"/>
    <x v="0"/>
    <n v="0"/>
    <n v="0"/>
    <n v="0"/>
    <n v="0"/>
    <n v="0"/>
    <n v="0"/>
    <n v="0"/>
    <n v="0"/>
    <n v="0"/>
    <n v="0"/>
    <n v="0"/>
    <n v="0"/>
    <n v="0"/>
    <n v="0"/>
    <s v="Continued"/>
    <n v="0"/>
    <n v="0"/>
    <n v="0"/>
    <n v="952"/>
    <n v="190.74"/>
    <n v="181584.48"/>
    <s v="Spring 2021"/>
    <n v="0"/>
    <n v="0"/>
    <n v="0"/>
    <n v="0"/>
    <n v="0"/>
    <n v="0"/>
    <n v="0"/>
    <n v="0"/>
    <s v="Continued"/>
    <n v="190"/>
    <n v="381"/>
    <n v="381"/>
    <n v="952"/>
    <n v="190.74"/>
    <n v="181584.48"/>
    <s v="Spring 2021"/>
    <n v="0"/>
    <n v="0"/>
    <n v="0"/>
    <n v="0"/>
    <n v="381"/>
    <n v="72671.94"/>
    <n v="381"/>
    <n v="72671.94"/>
    <n v="381"/>
    <n v="72671.94"/>
    <n v="2.4223980000000003"/>
  </r>
  <r>
    <x v="387"/>
    <m/>
    <m/>
    <n v="517756"/>
    <m/>
    <m/>
    <s v="16"/>
    <x v="6"/>
    <x v="0"/>
    <x v="1"/>
    <n v="30000"/>
    <s v="Spring 2021"/>
    <x v="159"/>
    <x v="161"/>
    <s v="Intro to FinTech in IT; Machine Learning for Enterprise Applications; Infrastructure Defense; Web &amp; Mobile Security"/>
    <s v="IT 4603; IT 4773; IT 4883; IT 4863"/>
    <s v="Computing Disciplines"/>
    <m/>
    <m/>
    <m/>
    <m/>
    <x v="5"/>
    <s v="In Progress"/>
    <s v="In Progress"/>
    <n v="49593.599999999999"/>
    <n v="360"/>
    <n v="137.76"/>
    <n v="90"/>
    <n v="135"/>
    <n v="135"/>
    <s v="Spring 2021"/>
    <s v="N"/>
    <m/>
    <m/>
    <s v="Continued"/>
    <n v="0"/>
    <n v="0"/>
    <n v="0"/>
    <n v="0"/>
    <n v="0"/>
    <n v="0"/>
    <n v="0"/>
    <n v="0"/>
    <n v="0"/>
    <n v="0"/>
    <n v="0"/>
    <n v="0"/>
    <n v="0"/>
    <n v="0"/>
    <n v="0"/>
    <n v="0"/>
    <n v="0"/>
    <n v="0"/>
    <n v="0"/>
    <n v="0"/>
    <n v="0"/>
    <n v="0"/>
    <n v="0"/>
    <n v="0"/>
    <n v="0"/>
    <n v="0"/>
    <n v="0"/>
    <n v="0"/>
    <x v="0"/>
    <n v="0"/>
    <n v="0"/>
    <n v="0"/>
    <n v="0"/>
    <n v="0"/>
    <n v="0"/>
    <n v="0"/>
    <n v="0"/>
    <n v="0"/>
    <n v="0"/>
    <n v="0"/>
    <n v="0"/>
    <n v="0"/>
    <n v="0"/>
    <s v="Continued"/>
    <n v="0"/>
    <n v="0"/>
    <n v="0"/>
    <n v="360"/>
    <n v="137.76"/>
    <n v="49593.599999999999"/>
    <s v="Spring 2021"/>
    <n v="0"/>
    <n v="0"/>
    <n v="0"/>
    <n v="0"/>
    <n v="0"/>
    <n v="0"/>
    <n v="0"/>
    <n v="0"/>
    <s v="Continued"/>
    <n v="90"/>
    <n v="135"/>
    <n v="135"/>
    <n v="360"/>
    <n v="137.76"/>
    <n v="49593.599999999999"/>
    <s v="Spring 2021"/>
    <n v="0"/>
    <n v="0"/>
    <n v="0"/>
    <n v="0"/>
    <n v="135"/>
    <n v="18597.599999999999"/>
    <n v="135"/>
    <n v="18597.599999999999"/>
    <n v="135"/>
    <n v="18597.599999999999"/>
    <n v="0.61991999999999992"/>
  </r>
  <r>
    <x v="388"/>
    <m/>
    <m/>
    <n v="517757"/>
    <m/>
    <m/>
    <s v="16"/>
    <x v="6"/>
    <x v="0"/>
    <x v="1"/>
    <n v="30000"/>
    <s v="Spring 2021"/>
    <x v="68"/>
    <x v="68"/>
    <s v="Introduction to Sociology"/>
    <s v="SOCI 1101"/>
    <s v="Sociology"/>
    <m/>
    <m/>
    <m/>
    <m/>
    <x v="5"/>
    <s v="In Progress"/>
    <s v="In Progress"/>
    <n v="112599"/>
    <n v="1050"/>
    <n v="107.23714285714286"/>
    <n v="80"/>
    <n v="680"/>
    <n v="290"/>
    <s v="Spring 2021"/>
    <s v="Y"/>
    <n v="143"/>
    <s v="Spring 2021"/>
    <s v="Continued"/>
    <n v="0"/>
    <n v="0"/>
    <n v="0"/>
    <n v="0"/>
    <n v="0"/>
    <n v="0"/>
    <n v="0"/>
    <n v="0"/>
    <n v="0"/>
    <n v="0"/>
    <n v="0"/>
    <n v="0"/>
    <n v="0"/>
    <n v="0"/>
    <n v="0"/>
    <n v="0"/>
    <n v="0"/>
    <n v="0"/>
    <n v="0"/>
    <n v="0"/>
    <n v="0"/>
    <n v="0"/>
    <n v="0"/>
    <n v="0"/>
    <n v="0"/>
    <n v="0"/>
    <n v="0"/>
    <n v="0"/>
    <x v="0"/>
    <n v="0"/>
    <n v="0"/>
    <n v="0"/>
    <n v="0"/>
    <n v="0"/>
    <n v="0"/>
    <n v="0"/>
    <n v="0"/>
    <n v="0"/>
    <n v="0"/>
    <n v="0"/>
    <n v="0"/>
    <n v="0"/>
    <n v="0"/>
    <s v="Continued"/>
    <n v="0"/>
    <n v="0"/>
    <n v="0"/>
    <n v="1050"/>
    <n v="107.23714285714286"/>
    <n v="112599"/>
    <s v="Spring 2021"/>
    <n v="0"/>
    <n v="0"/>
    <n v="0"/>
    <n v="0"/>
    <n v="0"/>
    <n v="0"/>
    <n v="0"/>
    <n v="0"/>
    <s v="Continued"/>
    <n v="80"/>
    <n v="680"/>
    <n v="290"/>
    <n v="1050"/>
    <n v="107.23714285714286"/>
    <n v="112599"/>
    <s v="Spring 2021"/>
    <n v="0"/>
    <n v="0"/>
    <n v="0"/>
    <n v="0"/>
    <n v="290"/>
    <n v="31098.771428571428"/>
    <n v="290"/>
    <n v="31098.771428571428"/>
    <n v="290"/>
    <n v="31098.771428571428"/>
    <n v="1.0366257142857143"/>
  </r>
  <r>
    <x v="389"/>
    <m/>
    <m/>
    <m/>
    <m/>
    <m/>
    <s v="16"/>
    <x v="6"/>
    <x v="0"/>
    <x v="11"/>
    <n v="12800"/>
    <s v="Spring 2021"/>
    <x v="291"/>
    <x v="283"/>
    <s v="Quantitative Skills and Reasoning"/>
    <s v="MATH 1001"/>
    <s v="Mathematical Subjects"/>
    <m/>
    <m/>
    <m/>
    <m/>
    <x v="5"/>
    <s v="In Progress"/>
    <s v="In Progress"/>
    <n v="27000"/>
    <n v="300"/>
    <n v="90"/>
    <n v="60"/>
    <n v="120"/>
    <n v="120"/>
    <s v="Spring 2021"/>
    <s v="N"/>
    <m/>
    <m/>
    <s v="Continued"/>
    <n v="0"/>
    <n v="0"/>
    <n v="0"/>
    <n v="0"/>
    <n v="0"/>
    <n v="0"/>
    <n v="0"/>
    <n v="0"/>
    <n v="0"/>
    <n v="0"/>
    <n v="0"/>
    <n v="0"/>
    <n v="0"/>
    <n v="0"/>
    <n v="0"/>
    <n v="0"/>
    <n v="0"/>
    <n v="0"/>
    <n v="0"/>
    <n v="0"/>
    <n v="0"/>
    <n v="0"/>
    <n v="0"/>
    <n v="0"/>
    <n v="0"/>
    <n v="0"/>
    <n v="0"/>
    <n v="0"/>
    <x v="0"/>
    <n v="0"/>
    <n v="0"/>
    <n v="0"/>
    <n v="0"/>
    <n v="0"/>
    <n v="0"/>
    <n v="0"/>
    <n v="0"/>
    <n v="0"/>
    <n v="0"/>
    <n v="0"/>
    <n v="0"/>
    <n v="0"/>
    <n v="0"/>
    <s v="Continued"/>
    <n v="0"/>
    <n v="0"/>
    <n v="0"/>
    <n v="300"/>
    <n v="90"/>
    <n v="27000"/>
    <s v="Spring 2021"/>
    <n v="0"/>
    <n v="0"/>
    <n v="0"/>
    <n v="0"/>
    <n v="0"/>
    <n v="0"/>
    <n v="0"/>
    <n v="0"/>
    <s v="Continued"/>
    <n v="60"/>
    <n v="120"/>
    <n v="120"/>
    <n v="300"/>
    <n v="90"/>
    <n v="27000"/>
    <s v="Spring 2021"/>
    <n v="0"/>
    <n v="0"/>
    <n v="0"/>
    <n v="0"/>
    <n v="120"/>
    <n v="10800"/>
    <n v="120"/>
    <n v="10800"/>
    <n v="120"/>
    <n v="10800"/>
    <n v="0.84375"/>
  </r>
  <r>
    <x v="390"/>
    <m/>
    <m/>
    <m/>
    <m/>
    <m/>
    <s v="16"/>
    <x v="6"/>
    <x v="0"/>
    <x v="4"/>
    <n v="30000"/>
    <s v="Spring 2021"/>
    <x v="292"/>
    <x v="284"/>
    <s v="Introduction to Sociology"/>
    <s v="SOCI 1101"/>
    <s v="Sociology"/>
    <m/>
    <m/>
    <m/>
    <m/>
    <x v="5"/>
    <s v="In Progress"/>
    <s v="In Progress"/>
    <n v="225000"/>
    <n v="3000"/>
    <n v="75"/>
    <n v="120"/>
    <n v="500"/>
    <n v="300"/>
    <s v="Fall 2020"/>
    <s v="Y"/>
    <n v="341"/>
    <s v="Fall 2020"/>
    <s v="Continued"/>
    <n v="0"/>
    <n v="0"/>
    <n v="0"/>
    <n v="0"/>
    <n v="0"/>
    <n v="0"/>
    <n v="0"/>
    <n v="0"/>
    <n v="0"/>
    <n v="0"/>
    <n v="0"/>
    <n v="0"/>
    <n v="0"/>
    <n v="0"/>
    <n v="0"/>
    <n v="0"/>
    <n v="0"/>
    <n v="0"/>
    <n v="0"/>
    <n v="0"/>
    <n v="0"/>
    <n v="0"/>
    <n v="0"/>
    <n v="0"/>
    <n v="0"/>
    <n v="0"/>
    <n v="0"/>
    <n v="0"/>
    <x v="0"/>
    <n v="0"/>
    <n v="0"/>
    <n v="0"/>
    <n v="0"/>
    <n v="0"/>
    <n v="0"/>
    <n v="0"/>
    <n v="0"/>
    <n v="0"/>
    <n v="0"/>
    <n v="0"/>
    <n v="0"/>
    <n v="0"/>
    <n v="0"/>
    <s v="Continued"/>
    <n v="0"/>
    <n v="0"/>
    <n v="0"/>
    <n v="3000"/>
    <n v="75"/>
    <n v="225000"/>
    <s v="Fall 2020"/>
    <n v="0"/>
    <n v="0"/>
    <n v="0"/>
    <n v="0"/>
    <n v="0"/>
    <n v="0"/>
    <n v="0"/>
    <n v="0"/>
    <s v="Continued"/>
    <n v="120"/>
    <n v="500"/>
    <n v="300"/>
    <n v="920"/>
    <n v="75"/>
    <n v="69000"/>
    <s v="Fall 2020"/>
    <n v="0"/>
    <n v="0"/>
    <n v="0"/>
    <n v="0"/>
    <n v="300"/>
    <n v="22500"/>
    <n v="300"/>
    <n v="22500"/>
    <n v="300"/>
    <n v="22500"/>
    <n v="0.75"/>
  </r>
  <r>
    <x v="391"/>
    <m/>
    <m/>
    <n v="517900"/>
    <m/>
    <m/>
    <s v="16"/>
    <x v="6"/>
    <x v="1"/>
    <x v="1"/>
    <n v="2800"/>
    <s v="Fall 2020"/>
    <x v="293"/>
    <x v="285"/>
    <s v="Front End Development I"/>
    <s v="TCID 3400"/>
    <s v="Computing Disciplines"/>
    <m/>
    <m/>
    <m/>
    <m/>
    <x v="5"/>
    <s v="In Progress"/>
    <s v="In Progress"/>
    <n v="0"/>
    <n v="0"/>
    <n v="0"/>
    <n v="0"/>
    <n v="0"/>
    <n v="0"/>
    <s v="Fall 2020"/>
    <s v="N"/>
    <m/>
    <m/>
    <m/>
    <n v="0"/>
    <n v="0"/>
    <n v="0"/>
    <n v="0"/>
    <n v="0"/>
    <n v="0"/>
    <n v="0"/>
    <n v="0"/>
    <n v="0"/>
    <n v="0"/>
    <n v="0"/>
    <n v="0"/>
    <n v="0"/>
    <n v="0"/>
    <n v="0"/>
    <n v="0"/>
    <n v="0"/>
    <n v="0"/>
    <n v="0"/>
    <n v="0"/>
    <n v="0"/>
    <n v="0"/>
    <n v="0"/>
    <n v="0"/>
    <n v="0"/>
    <n v="0"/>
    <n v="0"/>
    <n v="0"/>
    <x v="4"/>
    <n v="0"/>
    <n v="0"/>
    <n v="0"/>
    <n v="0"/>
    <n v="0"/>
    <n v="0"/>
    <n v="0"/>
    <n v="0"/>
    <n v="0"/>
    <n v="0"/>
    <n v="0"/>
    <n v="0"/>
    <n v="0"/>
    <n v="0"/>
    <s v="Mini-Grant"/>
    <n v="0"/>
    <n v="0"/>
    <n v="0"/>
    <n v="0"/>
    <n v="0"/>
    <n v="0"/>
    <s v="Fall 2020"/>
    <n v="0"/>
    <n v="0"/>
    <n v="0"/>
    <n v="0"/>
    <n v="0"/>
    <n v="0"/>
    <n v="0"/>
    <n v="0"/>
    <s v="Mini-Grant"/>
    <n v="0"/>
    <n v="0"/>
    <n v="0"/>
    <n v="0"/>
    <n v="0"/>
    <n v="0"/>
    <s v="Fall 2020"/>
    <n v="0"/>
    <n v="0"/>
    <n v="0"/>
    <n v="0"/>
    <n v="0"/>
    <n v="0"/>
    <n v="0"/>
    <n v="0"/>
    <n v="0"/>
    <n v="0"/>
    <n v="0"/>
  </r>
  <r>
    <x v="392"/>
    <m/>
    <m/>
    <n v="517623"/>
    <m/>
    <m/>
    <s v="16"/>
    <x v="6"/>
    <x v="1"/>
    <x v="10"/>
    <n v="4800"/>
    <s v="Spring 2021"/>
    <x v="264"/>
    <x v="256"/>
    <s v="Analytical Chemistry Laboratory"/>
    <s v="CHEM 2734L"/>
    <s v="Chemistry"/>
    <m/>
    <m/>
    <m/>
    <m/>
    <x v="5"/>
    <s v="In Progress"/>
    <s v="In Progress"/>
    <n v="0"/>
    <n v="0"/>
    <n v="0"/>
    <n v="0"/>
    <n v="0"/>
    <n v="0"/>
    <s v="Spring 2021"/>
    <s v="N"/>
    <m/>
    <m/>
    <m/>
    <n v="0"/>
    <n v="0"/>
    <n v="0"/>
    <n v="0"/>
    <n v="0"/>
    <n v="0"/>
    <n v="0"/>
    <n v="0"/>
    <n v="0"/>
    <n v="0"/>
    <n v="0"/>
    <n v="0"/>
    <n v="0"/>
    <n v="0"/>
    <n v="0"/>
    <n v="0"/>
    <n v="0"/>
    <n v="0"/>
    <n v="0"/>
    <n v="0"/>
    <n v="0"/>
    <n v="0"/>
    <n v="0"/>
    <n v="0"/>
    <n v="0"/>
    <n v="0"/>
    <n v="0"/>
    <n v="0"/>
    <x v="4"/>
    <n v="0"/>
    <n v="0"/>
    <n v="0"/>
    <n v="0"/>
    <n v="0"/>
    <n v="0"/>
    <n v="0"/>
    <n v="0"/>
    <n v="0"/>
    <n v="0"/>
    <n v="0"/>
    <n v="0"/>
    <n v="0"/>
    <n v="0"/>
    <s v="Mini-Grant"/>
    <n v="0"/>
    <n v="0"/>
    <n v="0"/>
    <n v="0"/>
    <n v="0"/>
    <n v="0"/>
    <s v="Spring 2021"/>
    <n v="0"/>
    <n v="0"/>
    <n v="0"/>
    <n v="0"/>
    <n v="0"/>
    <n v="0"/>
    <n v="0"/>
    <n v="0"/>
    <s v="Mini-Grant"/>
    <n v="0"/>
    <n v="0"/>
    <n v="0"/>
    <n v="0"/>
    <n v="0"/>
    <n v="0"/>
    <s v="Spring 2021"/>
    <n v="0"/>
    <n v="0"/>
    <n v="0"/>
    <n v="0"/>
    <n v="0"/>
    <n v="0"/>
    <n v="0"/>
    <n v="0"/>
    <n v="0"/>
    <n v="0"/>
    <n v="0"/>
  </r>
  <r>
    <x v="393"/>
    <m/>
    <m/>
    <m/>
    <m/>
    <m/>
    <s v="16"/>
    <x v="6"/>
    <x v="1"/>
    <x v="8"/>
    <n v="4800"/>
    <s v="Spring 2021"/>
    <x v="227"/>
    <x v="286"/>
    <s v="Principles of Macroeconomics"/>
    <s v="ECON 2105"/>
    <s v="Business Administration, Management, and Economics"/>
    <m/>
    <m/>
    <m/>
    <m/>
    <x v="5"/>
    <s v="In Progress"/>
    <s v="In Progress"/>
    <n v="0"/>
    <n v="0"/>
    <n v="0"/>
    <n v="0"/>
    <n v="0"/>
    <n v="0"/>
    <s v="Spring 2021"/>
    <s v="N"/>
    <m/>
    <m/>
    <m/>
    <n v="0"/>
    <n v="0"/>
    <n v="0"/>
    <n v="0"/>
    <n v="0"/>
    <n v="0"/>
    <n v="0"/>
    <n v="0"/>
    <n v="0"/>
    <n v="0"/>
    <n v="0"/>
    <n v="0"/>
    <n v="0"/>
    <n v="0"/>
    <n v="0"/>
    <n v="0"/>
    <n v="0"/>
    <n v="0"/>
    <n v="0"/>
    <n v="0"/>
    <n v="0"/>
    <n v="0"/>
    <n v="0"/>
    <n v="0"/>
    <n v="0"/>
    <n v="0"/>
    <n v="0"/>
    <n v="0"/>
    <x v="4"/>
    <n v="0"/>
    <n v="0"/>
    <n v="0"/>
    <n v="0"/>
    <n v="0"/>
    <n v="0"/>
    <n v="0"/>
    <n v="0"/>
    <n v="0"/>
    <n v="0"/>
    <n v="0"/>
    <n v="0"/>
    <n v="0"/>
    <n v="0"/>
    <s v="Mini-Grant"/>
    <n v="0"/>
    <n v="0"/>
    <n v="0"/>
    <n v="0"/>
    <n v="0"/>
    <n v="0"/>
    <s v="Spring 2021"/>
    <n v="0"/>
    <n v="0"/>
    <n v="0"/>
    <n v="0"/>
    <n v="0"/>
    <n v="0"/>
    <n v="0"/>
    <n v="0"/>
    <s v="Mini-Grant"/>
    <n v="0"/>
    <n v="0"/>
    <n v="0"/>
    <n v="0"/>
    <n v="0"/>
    <n v="0"/>
    <s v="Spring 2021"/>
    <n v="0"/>
    <n v="0"/>
    <n v="0"/>
    <n v="0"/>
    <n v="0"/>
    <n v="0"/>
    <n v="0"/>
    <n v="0"/>
    <n v="0"/>
    <n v="0"/>
    <n v="0"/>
  </r>
  <r>
    <x v="394"/>
    <m/>
    <m/>
    <n v="517815"/>
    <m/>
    <m/>
    <s v="16"/>
    <x v="6"/>
    <x v="1"/>
    <x v="21"/>
    <n v="4800"/>
    <s v="Fall 2020"/>
    <x v="294"/>
    <x v="287"/>
    <s v="Elementary French I/ Elementary French II"/>
    <s v="FREN 1001, FREN 1002"/>
    <s v="Foreign Languages"/>
    <m/>
    <m/>
    <m/>
    <m/>
    <x v="5"/>
    <s v="In Progress"/>
    <s v="In Progress"/>
    <n v="0"/>
    <n v="0"/>
    <n v="0"/>
    <n v="0"/>
    <n v="0"/>
    <n v="0"/>
    <s v="Fall 2020"/>
    <s v="N"/>
    <m/>
    <m/>
    <m/>
    <n v="0"/>
    <n v="0"/>
    <n v="0"/>
    <n v="0"/>
    <n v="0"/>
    <n v="0"/>
    <n v="0"/>
    <n v="0"/>
    <n v="0"/>
    <n v="0"/>
    <n v="0"/>
    <n v="0"/>
    <n v="0"/>
    <n v="0"/>
    <n v="0"/>
    <n v="0"/>
    <n v="0"/>
    <n v="0"/>
    <n v="0"/>
    <n v="0"/>
    <n v="0"/>
    <n v="0"/>
    <n v="0"/>
    <n v="0"/>
    <n v="0"/>
    <n v="0"/>
    <n v="0"/>
    <n v="0"/>
    <x v="4"/>
    <n v="0"/>
    <n v="0"/>
    <n v="0"/>
    <n v="0"/>
    <n v="0"/>
    <n v="0"/>
    <n v="0"/>
    <n v="0"/>
    <n v="0"/>
    <n v="0"/>
    <n v="0"/>
    <n v="0"/>
    <n v="0"/>
    <n v="0"/>
    <s v="Mini-Grant"/>
    <n v="0"/>
    <n v="0"/>
    <n v="0"/>
    <n v="0"/>
    <n v="0"/>
    <n v="0"/>
    <s v="Fall 2020"/>
    <n v="0"/>
    <n v="0"/>
    <n v="0"/>
    <n v="0"/>
    <n v="0"/>
    <n v="0"/>
    <n v="0"/>
    <n v="0"/>
    <s v="Mini-Grant"/>
    <n v="0"/>
    <n v="0"/>
    <n v="0"/>
    <n v="0"/>
    <n v="0"/>
    <n v="0"/>
    <s v="Fall 2020"/>
    <n v="0"/>
    <n v="0"/>
    <n v="0"/>
    <n v="0"/>
    <n v="0"/>
    <n v="0"/>
    <n v="0"/>
    <n v="0"/>
    <n v="0"/>
    <n v="0"/>
    <n v="0"/>
  </r>
  <r>
    <x v="395"/>
    <m/>
    <m/>
    <n v="517620"/>
    <m/>
    <m/>
    <s v="16"/>
    <x v="6"/>
    <x v="1"/>
    <x v="22"/>
    <n v="2800"/>
    <s v="Spring 2021"/>
    <x v="295"/>
    <x v="288"/>
    <s v="Research Design and Data Analysis I &amp; II"/>
    <s v="BEHV 2106, BEHV 2107"/>
    <s v="Psychology"/>
    <m/>
    <m/>
    <m/>
    <m/>
    <x v="5"/>
    <s v="In Progress"/>
    <s v="In Progress"/>
    <n v="0"/>
    <n v="0"/>
    <n v="0"/>
    <n v="0"/>
    <n v="0"/>
    <n v="0"/>
    <s v="Spring 2021"/>
    <s v="N"/>
    <m/>
    <m/>
    <m/>
    <n v="0"/>
    <n v="0"/>
    <n v="0"/>
    <n v="0"/>
    <n v="0"/>
    <n v="0"/>
    <n v="0"/>
    <n v="0"/>
    <n v="0"/>
    <n v="0"/>
    <n v="0"/>
    <n v="0"/>
    <n v="0"/>
    <n v="0"/>
    <n v="0"/>
    <n v="0"/>
    <n v="0"/>
    <n v="0"/>
    <n v="0"/>
    <n v="0"/>
    <n v="0"/>
    <n v="0"/>
    <n v="0"/>
    <n v="0"/>
    <n v="0"/>
    <n v="0"/>
    <n v="0"/>
    <n v="0"/>
    <x v="4"/>
    <n v="0"/>
    <n v="0"/>
    <n v="0"/>
    <n v="0"/>
    <n v="0"/>
    <n v="0"/>
    <n v="0"/>
    <n v="0"/>
    <n v="0"/>
    <n v="0"/>
    <n v="0"/>
    <n v="0"/>
    <n v="0"/>
    <n v="0"/>
    <s v="Mini-Grant"/>
    <n v="0"/>
    <n v="0"/>
    <n v="0"/>
    <n v="0"/>
    <n v="0"/>
    <n v="0"/>
    <s v="Spring 2021"/>
    <n v="0"/>
    <n v="0"/>
    <n v="0"/>
    <n v="0"/>
    <n v="0"/>
    <n v="0"/>
    <n v="0"/>
    <n v="0"/>
    <s v="Mini-Grant"/>
    <n v="0"/>
    <n v="0"/>
    <n v="0"/>
    <n v="0"/>
    <n v="0"/>
    <n v="0"/>
    <s v="Spring 2021"/>
    <n v="0"/>
    <n v="0"/>
    <n v="0"/>
    <n v="0"/>
    <n v="0"/>
    <n v="0"/>
    <n v="0"/>
    <n v="0"/>
    <n v="0"/>
    <n v="0"/>
    <n v="0"/>
  </r>
  <r>
    <x v="396"/>
    <m/>
    <m/>
    <n v="518110"/>
    <m/>
    <m/>
    <s v="16"/>
    <x v="6"/>
    <x v="1"/>
    <x v="18"/>
    <n v="4800"/>
    <s v="Fall 2020"/>
    <x v="296"/>
    <x v="289"/>
    <s v="Public Speaking"/>
    <s v="COMM 1110"/>
    <s v="Communication"/>
    <m/>
    <m/>
    <m/>
    <m/>
    <x v="5"/>
    <s v="In Progress"/>
    <s v="In Progress"/>
    <n v="0"/>
    <n v="0"/>
    <n v="0"/>
    <n v="0"/>
    <n v="0"/>
    <n v="0"/>
    <s v="Fall 2020"/>
    <s v="N"/>
    <m/>
    <m/>
    <m/>
    <n v="0"/>
    <n v="0"/>
    <n v="0"/>
    <n v="0"/>
    <n v="0"/>
    <n v="0"/>
    <n v="0"/>
    <n v="0"/>
    <n v="0"/>
    <n v="0"/>
    <n v="0"/>
    <n v="0"/>
    <n v="0"/>
    <n v="0"/>
    <n v="0"/>
    <n v="0"/>
    <n v="0"/>
    <n v="0"/>
    <n v="0"/>
    <n v="0"/>
    <n v="0"/>
    <n v="0"/>
    <n v="0"/>
    <n v="0"/>
    <n v="0"/>
    <n v="0"/>
    <n v="0"/>
    <n v="0"/>
    <x v="4"/>
    <n v="0"/>
    <n v="0"/>
    <n v="0"/>
    <n v="0"/>
    <n v="0"/>
    <n v="0"/>
    <n v="0"/>
    <n v="0"/>
    <n v="0"/>
    <n v="0"/>
    <n v="0"/>
    <n v="0"/>
    <n v="0"/>
    <n v="0"/>
    <s v="Mini-Grant"/>
    <n v="0"/>
    <n v="0"/>
    <n v="0"/>
    <n v="0"/>
    <n v="0"/>
    <n v="0"/>
    <s v="Fall 2020"/>
    <n v="0"/>
    <n v="0"/>
    <n v="0"/>
    <n v="0"/>
    <n v="0"/>
    <n v="0"/>
    <n v="0"/>
    <n v="0"/>
    <s v="Mini-Grant"/>
    <n v="0"/>
    <n v="0"/>
    <n v="0"/>
    <n v="0"/>
    <n v="0"/>
    <n v="0"/>
    <s v="Fall 2020"/>
    <n v="0"/>
    <n v="0"/>
    <n v="0"/>
    <n v="0"/>
    <n v="0"/>
    <n v="0"/>
    <n v="0"/>
    <n v="0"/>
    <n v="0"/>
    <n v="0"/>
    <n v="0"/>
  </r>
  <r>
    <x v="397"/>
    <m/>
    <m/>
    <n v="517893"/>
    <m/>
    <m/>
    <s v="16"/>
    <x v="6"/>
    <x v="1"/>
    <x v="14"/>
    <n v="4800"/>
    <s v="Fall 2020"/>
    <x v="297"/>
    <x v="290"/>
    <s v="Elementary Statistics Support"/>
    <s v="MATH 0996"/>
    <s v="Mathematical Subjects"/>
    <m/>
    <m/>
    <m/>
    <m/>
    <x v="5"/>
    <s v="In Progress"/>
    <s v="In Progress"/>
    <n v="0"/>
    <n v="0"/>
    <n v="0"/>
    <n v="0"/>
    <n v="0"/>
    <n v="0"/>
    <s v="Fall 2020"/>
    <s v="N"/>
    <m/>
    <m/>
    <m/>
    <n v="0"/>
    <n v="0"/>
    <n v="0"/>
    <n v="0"/>
    <n v="0"/>
    <n v="0"/>
    <n v="0"/>
    <n v="0"/>
    <n v="0"/>
    <n v="0"/>
    <n v="0"/>
    <n v="0"/>
    <n v="0"/>
    <n v="0"/>
    <n v="0"/>
    <n v="0"/>
    <n v="0"/>
    <n v="0"/>
    <n v="0"/>
    <n v="0"/>
    <n v="0"/>
    <n v="0"/>
    <n v="0"/>
    <n v="0"/>
    <n v="0"/>
    <n v="0"/>
    <n v="0"/>
    <n v="0"/>
    <x v="4"/>
    <n v="0"/>
    <n v="0"/>
    <n v="0"/>
    <n v="0"/>
    <n v="0"/>
    <n v="0"/>
    <n v="0"/>
    <n v="0"/>
    <n v="0"/>
    <n v="0"/>
    <n v="0"/>
    <n v="0"/>
    <n v="0"/>
    <n v="0"/>
    <s v="Mini-Grant"/>
    <n v="0"/>
    <n v="0"/>
    <n v="0"/>
    <n v="0"/>
    <n v="0"/>
    <n v="0"/>
    <s v="Fall 2020"/>
    <n v="0"/>
    <n v="0"/>
    <n v="0"/>
    <n v="0"/>
    <n v="0"/>
    <n v="0"/>
    <n v="0"/>
    <n v="0"/>
    <s v="Mini-Grant"/>
    <n v="0"/>
    <n v="0"/>
    <n v="0"/>
    <n v="0"/>
    <n v="0"/>
    <n v="0"/>
    <s v="Fall 2020"/>
    <n v="0"/>
    <n v="0"/>
    <n v="0"/>
    <n v="0"/>
    <n v="0"/>
    <n v="0"/>
    <n v="0"/>
    <n v="0"/>
    <n v="0"/>
    <n v="0"/>
    <n v="0"/>
  </r>
  <r>
    <x v="398"/>
    <m/>
    <m/>
    <m/>
    <m/>
    <m/>
    <s v="16"/>
    <x v="6"/>
    <x v="1"/>
    <x v="1"/>
    <n v="4800"/>
    <s v="Spring 2021"/>
    <x v="150"/>
    <x v="152"/>
    <s v="Data Communication and Networking"/>
    <s v="IT 4323"/>
    <s v="Computing Disciplines"/>
    <m/>
    <m/>
    <m/>
    <m/>
    <x v="5"/>
    <s v="In Progress"/>
    <s v="In Progress"/>
    <n v="0"/>
    <n v="0"/>
    <n v="0"/>
    <n v="0"/>
    <n v="0"/>
    <n v="0"/>
    <s v="Spring 2021"/>
    <s v="N"/>
    <m/>
    <m/>
    <m/>
    <n v="0"/>
    <n v="0"/>
    <n v="0"/>
    <n v="0"/>
    <n v="0"/>
    <n v="0"/>
    <n v="0"/>
    <n v="0"/>
    <n v="0"/>
    <n v="0"/>
    <n v="0"/>
    <n v="0"/>
    <n v="0"/>
    <n v="0"/>
    <n v="0"/>
    <n v="0"/>
    <n v="0"/>
    <n v="0"/>
    <n v="0"/>
    <n v="0"/>
    <n v="0"/>
    <n v="0"/>
    <n v="0"/>
    <n v="0"/>
    <n v="0"/>
    <n v="0"/>
    <n v="0"/>
    <n v="0"/>
    <x v="4"/>
    <n v="0"/>
    <n v="0"/>
    <n v="0"/>
    <n v="0"/>
    <n v="0"/>
    <n v="0"/>
    <n v="0"/>
    <n v="0"/>
    <n v="0"/>
    <n v="0"/>
    <n v="0"/>
    <n v="0"/>
    <n v="0"/>
    <n v="0"/>
    <s v="Mini-Grant"/>
    <n v="0"/>
    <n v="0"/>
    <n v="0"/>
    <n v="0"/>
    <n v="0"/>
    <n v="0"/>
    <s v="Spring 2021"/>
    <n v="0"/>
    <n v="0"/>
    <n v="0"/>
    <n v="0"/>
    <n v="0"/>
    <n v="0"/>
    <n v="0"/>
    <n v="0"/>
    <s v="Mini-Grant"/>
    <n v="0"/>
    <n v="0"/>
    <n v="0"/>
    <n v="0"/>
    <n v="0"/>
    <n v="0"/>
    <s v="Spring 2021"/>
    <n v="0"/>
    <n v="0"/>
    <n v="0"/>
    <n v="0"/>
    <n v="0"/>
    <n v="0"/>
    <n v="0"/>
    <n v="0"/>
    <n v="0"/>
    <n v="0"/>
    <n v="0"/>
  </r>
  <r>
    <x v="399"/>
    <m/>
    <m/>
    <n v="517621"/>
    <m/>
    <m/>
    <s v="16"/>
    <x v="6"/>
    <x v="1"/>
    <x v="7"/>
    <n v="4800"/>
    <s v="Fall 2020"/>
    <x v="298"/>
    <x v="291"/>
    <s v="Introduction to Exercise Science"/>
    <s v="KINS 2535"/>
    <s v="Kinesiology"/>
    <m/>
    <m/>
    <m/>
    <m/>
    <x v="5"/>
    <s v="In Progress"/>
    <s v="In Progress"/>
    <n v="0"/>
    <n v="0"/>
    <n v="0"/>
    <n v="0"/>
    <n v="0"/>
    <n v="0"/>
    <s v="Fall 2020"/>
    <s v="N"/>
    <m/>
    <m/>
    <m/>
    <n v="0"/>
    <n v="0"/>
    <n v="0"/>
    <n v="0"/>
    <n v="0"/>
    <n v="0"/>
    <n v="0"/>
    <n v="0"/>
    <n v="0"/>
    <n v="0"/>
    <n v="0"/>
    <n v="0"/>
    <n v="0"/>
    <n v="0"/>
    <n v="0"/>
    <n v="0"/>
    <n v="0"/>
    <n v="0"/>
    <n v="0"/>
    <n v="0"/>
    <n v="0"/>
    <n v="0"/>
    <n v="0"/>
    <n v="0"/>
    <n v="0"/>
    <n v="0"/>
    <n v="0"/>
    <n v="0"/>
    <x v="4"/>
    <n v="0"/>
    <n v="0"/>
    <n v="0"/>
    <n v="0"/>
    <n v="0"/>
    <n v="0"/>
    <n v="0"/>
    <n v="0"/>
    <n v="0"/>
    <n v="0"/>
    <n v="0"/>
    <n v="0"/>
    <n v="0"/>
    <n v="0"/>
    <s v="Mini-Grant"/>
    <n v="0"/>
    <n v="0"/>
    <n v="0"/>
    <n v="0"/>
    <n v="0"/>
    <n v="0"/>
    <s v="Fall 2020"/>
    <n v="0"/>
    <n v="0"/>
    <n v="0"/>
    <n v="0"/>
    <n v="0"/>
    <n v="0"/>
    <n v="0"/>
    <n v="0"/>
    <s v="Mini-Grant"/>
    <n v="0"/>
    <n v="0"/>
    <n v="0"/>
    <n v="0"/>
    <n v="0"/>
    <n v="0"/>
    <s v="Fall 2020"/>
    <n v="0"/>
    <n v="0"/>
    <n v="0"/>
    <n v="0"/>
    <n v="0"/>
    <n v="0"/>
    <n v="0"/>
    <n v="0"/>
    <n v="0"/>
    <n v="0"/>
    <n v="0"/>
  </r>
  <r>
    <x v="400"/>
    <m/>
    <m/>
    <n v="517621"/>
    <m/>
    <m/>
    <s v="16"/>
    <x v="6"/>
    <x v="1"/>
    <x v="22"/>
    <n v="4800"/>
    <s v="Spring 2021"/>
    <x v="299"/>
    <x v="292"/>
    <s v="Critical Thinking and Communication"/>
    <s v="HUMN 1201"/>
    <s v="Arts and Sciences"/>
    <m/>
    <s v="In Progress"/>
    <m/>
    <m/>
    <x v="5"/>
    <s v="In Progress"/>
    <s v="In Progress"/>
    <n v="0"/>
    <n v="0"/>
    <n v="0"/>
    <n v="0"/>
    <n v="0"/>
    <n v="0"/>
    <s v="Spring 2021"/>
    <s v="N"/>
    <m/>
    <m/>
    <m/>
    <n v="0"/>
    <n v="0"/>
    <n v="0"/>
    <n v="0"/>
    <n v="0"/>
    <n v="0"/>
    <n v="0"/>
    <n v="0"/>
    <n v="0"/>
    <n v="0"/>
    <n v="0"/>
    <n v="0"/>
    <n v="0"/>
    <n v="0"/>
    <n v="0"/>
    <n v="0"/>
    <n v="0"/>
    <n v="0"/>
    <n v="0"/>
    <n v="0"/>
    <n v="0"/>
    <n v="0"/>
    <n v="0"/>
    <n v="0"/>
    <n v="0"/>
    <n v="0"/>
    <n v="0"/>
    <n v="0"/>
    <x v="4"/>
    <n v="0"/>
    <n v="0"/>
    <n v="0"/>
    <n v="0"/>
    <n v="0"/>
    <n v="0"/>
    <n v="0"/>
    <n v="0"/>
    <n v="0"/>
    <n v="0"/>
    <n v="0"/>
    <n v="0"/>
    <n v="0"/>
    <n v="0"/>
    <s v="Mini-Grant"/>
    <n v="0"/>
    <n v="0"/>
    <n v="0"/>
    <n v="0"/>
    <n v="0"/>
    <n v="0"/>
    <s v="Spring 2021"/>
    <n v="0"/>
    <n v="0"/>
    <n v="0"/>
    <n v="0"/>
    <n v="0"/>
    <n v="0"/>
    <n v="0"/>
    <n v="0"/>
    <s v="Mini-Grant"/>
    <n v="0"/>
    <n v="0"/>
    <n v="0"/>
    <n v="0"/>
    <n v="0"/>
    <n v="0"/>
    <s v="Spring 2021"/>
    <n v="0"/>
    <n v="0"/>
    <n v="0"/>
    <n v="0"/>
    <n v="0"/>
    <n v="0"/>
    <n v="0"/>
    <n v="0"/>
    <n v="0"/>
    <n v="0"/>
    <n v="0"/>
  </r>
  <r>
    <x v="401"/>
    <m/>
    <m/>
    <m/>
    <m/>
    <m/>
    <s v="17"/>
    <x v="6"/>
    <x v="0"/>
    <x v="21"/>
    <n v="25800"/>
    <s v="Summer 2021"/>
    <x v="300"/>
    <x v="293"/>
    <s v="Precalculus, College Algebra, Corequisite College Algebra"/>
    <s v="MATH 1113, MATH 1111, MATH 0999/1111"/>
    <m/>
    <m/>
    <s v="In Progress"/>
    <m/>
    <s v="In Progress"/>
    <x v="5"/>
    <s v="In Progress"/>
    <s v="In Progress"/>
    <n v="441025"/>
    <s v="4,250"/>
    <n v="135.69999999999999"/>
    <n v="340"/>
    <s v="2,250"/>
    <s v="1,660"/>
    <s v="Summer 2021"/>
    <m/>
    <m/>
    <m/>
    <m/>
    <n v="0"/>
    <n v="0"/>
    <n v="0"/>
    <n v="0"/>
    <n v="0"/>
    <n v="0"/>
    <n v="0"/>
    <n v="0"/>
    <n v="0"/>
    <n v="0"/>
    <n v="0"/>
    <n v="0"/>
    <n v="0"/>
    <n v="0"/>
    <n v="0"/>
    <n v="0"/>
    <n v="0"/>
    <n v="0"/>
    <n v="0"/>
    <n v="0"/>
    <n v="0"/>
    <n v="0"/>
    <n v="0"/>
    <n v="0"/>
    <n v="0"/>
    <n v="0"/>
    <n v="0"/>
    <n v="0"/>
    <x v="0"/>
    <n v="0"/>
    <n v="0"/>
    <n v="0"/>
    <n v="0"/>
    <n v="0"/>
    <n v="0"/>
    <n v="0"/>
    <n v="0"/>
    <n v="0"/>
    <n v="0"/>
    <n v="0"/>
    <n v="0"/>
    <n v="0"/>
    <n v="0"/>
    <s v="Continued"/>
    <n v="340"/>
    <s v="2,250"/>
    <s v="1,660"/>
    <s v="4,250"/>
    <n v="135.69999999999999"/>
    <n v="576725"/>
    <s v="Summer 2021"/>
    <n v="0"/>
    <n v="0"/>
    <n v="0"/>
    <n v="0"/>
    <n v="0"/>
    <n v="0"/>
    <n v="0"/>
    <n v="0"/>
    <s v="Continued"/>
    <n v="340"/>
    <s v="2,250"/>
    <s v="1,660"/>
    <n v="4250"/>
    <n v="135.69999999999999"/>
    <n v="576725"/>
    <s v="Summer 2021"/>
    <n v="0"/>
    <n v="0"/>
    <n v="0"/>
    <n v="0"/>
    <n v="0"/>
    <n v="0"/>
    <n v="0"/>
    <n v="0"/>
    <n v="0"/>
    <n v="0"/>
    <n v="0"/>
  </r>
  <r>
    <x v="402"/>
    <m/>
    <m/>
    <m/>
    <m/>
    <m/>
    <s v="17"/>
    <x v="6"/>
    <x v="0"/>
    <x v="21"/>
    <n v="30000"/>
    <s v="Summer 2021"/>
    <x v="219"/>
    <x v="215"/>
    <s v="Intermediate Programming (Java II)"/>
    <s v="ITEC 2150"/>
    <m/>
    <m/>
    <s v="In Progress"/>
    <m/>
    <s v="In Progress"/>
    <x v="5"/>
    <s v="In Progress"/>
    <s v="In Progress"/>
    <n v="87353.279999999999"/>
    <n v="504"/>
    <n v="173.32"/>
    <n v="48"/>
    <n v="216"/>
    <n v="240"/>
    <s v="Summer 2021"/>
    <m/>
    <m/>
    <m/>
    <m/>
    <n v="0"/>
    <n v="0"/>
    <n v="0"/>
    <n v="0"/>
    <n v="0"/>
    <n v="0"/>
    <n v="0"/>
    <n v="0"/>
    <n v="0"/>
    <n v="0"/>
    <n v="0"/>
    <n v="0"/>
    <n v="0"/>
    <n v="0"/>
    <n v="0"/>
    <n v="0"/>
    <n v="0"/>
    <n v="0"/>
    <n v="0"/>
    <n v="0"/>
    <n v="0"/>
    <n v="0"/>
    <n v="0"/>
    <n v="0"/>
    <n v="0"/>
    <n v="0"/>
    <n v="0"/>
    <n v="0"/>
    <x v="0"/>
    <n v="0"/>
    <n v="0"/>
    <n v="0"/>
    <n v="0"/>
    <n v="0"/>
    <n v="0"/>
    <n v="0"/>
    <n v="0"/>
    <n v="0"/>
    <n v="0"/>
    <n v="0"/>
    <n v="0"/>
    <n v="0"/>
    <n v="0"/>
    <s v="Continued"/>
    <n v="48"/>
    <n v="216"/>
    <n v="240"/>
    <n v="504"/>
    <n v="173.32"/>
    <n v="87353.279999999999"/>
    <s v="Summer 2021"/>
    <n v="48"/>
    <n v="0"/>
    <n v="0"/>
    <n v="0"/>
    <n v="0"/>
    <n v="0"/>
    <n v="0"/>
    <n v="0"/>
    <s v="Continued"/>
    <n v="48"/>
    <n v="216"/>
    <n v="240"/>
    <n v="504"/>
    <n v="173.32"/>
    <n v="87353.279999999999"/>
    <s v="Summer 2021"/>
    <n v="0"/>
    <n v="0"/>
    <n v="0"/>
    <n v="0"/>
    <n v="0"/>
    <n v="0"/>
    <n v="0"/>
    <n v="0"/>
    <n v="0"/>
    <n v="0"/>
    <n v="0"/>
  </r>
  <r>
    <x v="403"/>
    <m/>
    <m/>
    <m/>
    <m/>
    <m/>
    <s v="17"/>
    <x v="6"/>
    <x v="0"/>
    <x v="4"/>
    <n v="10000"/>
    <s v="Summer 2021"/>
    <x v="301"/>
    <x v="294"/>
    <s v="Introduction to Social Work"/>
    <s v="SW 2000"/>
    <m/>
    <m/>
    <s v="In Progress"/>
    <m/>
    <s v="In Progress"/>
    <x v="5"/>
    <s v="In Progress"/>
    <s v="In Progress"/>
    <n v="67068.543999999994"/>
    <n v="662"/>
    <n v="101.312"/>
    <n v="30"/>
    <n v="367"/>
    <n v="265"/>
    <s v="Summer 2021"/>
    <m/>
    <m/>
    <m/>
    <m/>
    <n v="0"/>
    <n v="0"/>
    <n v="0"/>
    <n v="0"/>
    <n v="0"/>
    <n v="0"/>
    <n v="0"/>
    <n v="0"/>
    <n v="0"/>
    <n v="0"/>
    <n v="0"/>
    <n v="0"/>
    <n v="0"/>
    <n v="0"/>
    <n v="0"/>
    <n v="0"/>
    <n v="0"/>
    <n v="0"/>
    <n v="0"/>
    <n v="0"/>
    <n v="0"/>
    <n v="0"/>
    <n v="0"/>
    <n v="0"/>
    <n v="0"/>
    <n v="0"/>
    <n v="0"/>
    <n v="0"/>
    <x v="0"/>
    <n v="0"/>
    <n v="0"/>
    <n v="0"/>
    <n v="0"/>
    <n v="0"/>
    <n v="0"/>
    <n v="0"/>
    <n v="0"/>
    <n v="0"/>
    <n v="0"/>
    <n v="0"/>
    <n v="0"/>
    <n v="0"/>
    <n v="0"/>
    <s v="Continued"/>
    <n v="30"/>
    <n v="367"/>
    <n v="265"/>
    <n v="662"/>
    <n v="101.312"/>
    <n v="67068.543999999994"/>
    <s v="Summer 2021"/>
    <n v="30"/>
    <n v="0"/>
    <n v="0"/>
    <n v="0"/>
    <n v="0"/>
    <n v="0"/>
    <n v="0"/>
    <n v="0"/>
    <s v="Continued"/>
    <n v="30"/>
    <n v="367"/>
    <n v="265"/>
    <n v="662"/>
    <n v="101.312"/>
    <n v="67068.543999999994"/>
    <s v="Summer 2021"/>
    <n v="0"/>
    <n v="0"/>
    <n v="0"/>
    <n v="0"/>
    <n v="0"/>
    <n v="0"/>
    <n v="0"/>
    <n v="0"/>
    <n v="0"/>
    <n v="0"/>
    <n v="0"/>
  </r>
  <r>
    <x v="404"/>
    <m/>
    <m/>
    <m/>
    <m/>
    <m/>
    <s v="17"/>
    <x v="6"/>
    <x v="0"/>
    <x v="4"/>
    <n v="10800"/>
    <s v="Summer 2021"/>
    <x v="192"/>
    <x v="189"/>
    <s v="Survey of Chemistry II"/>
    <s v="CHEM 1152"/>
    <m/>
    <m/>
    <s v="In Progress"/>
    <m/>
    <s v="In Progress"/>
    <x v="5"/>
    <s v="In Progress"/>
    <s v="In Progress"/>
    <n v="102019.75"/>
    <n v="601"/>
    <n v="169.75"/>
    <n v="98"/>
    <n v="301"/>
    <n v="300"/>
    <s v="Summer 2021"/>
    <m/>
    <m/>
    <m/>
    <m/>
    <n v="0"/>
    <n v="0"/>
    <n v="0"/>
    <n v="0"/>
    <n v="0"/>
    <n v="0"/>
    <n v="0"/>
    <n v="0"/>
    <n v="0"/>
    <n v="0"/>
    <n v="0"/>
    <n v="0"/>
    <n v="0"/>
    <n v="0"/>
    <n v="0"/>
    <n v="0"/>
    <n v="0"/>
    <n v="0"/>
    <n v="0"/>
    <n v="0"/>
    <n v="0"/>
    <n v="0"/>
    <n v="0"/>
    <n v="0"/>
    <n v="0"/>
    <n v="0"/>
    <n v="0"/>
    <n v="0"/>
    <x v="0"/>
    <n v="0"/>
    <n v="0"/>
    <n v="0"/>
    <n v="0"/>
    <n v="0"/>
    <n v="0"/>
    <n v="0"/>
    <n v="0"/>
    <n v="0"/>
    <n v="0"/>
    <n v="0"/>
    <n v="0"/>
    <n v="0"/>
    <n v="0"/>
    <s v="Continued"/>
    <n v="98"/>
    <n v="301"/>
    <n v="300"/>
    <n v="601"/>
    <n v="169.75"/>
    <n v="102019.75"/>
    <s v="Summer 2021"/>
    <n v="98"/>
    <n v="0"/>
    <n v="0"/>
    <n v="0"/>
    <n v="0"/>
    <n v="0"/>
    <n v="0"/>
    <n v="0"/>
    <s v="Continued"/>
    <n v="98"/>
    <n v="301"/>
    <n v="300"/>
    <n v="699"/>
    <n v="169.75"/>
    <n v="118655.25"/>
    <s v="Summer 2021"/>
    <n v="0"/>
    <n v="0"/>
    <n v="0"/>
    <n v="0"/>
    <n v="0"/>
    <n v="0"/>
    <n v="0"/>
    <n v="0"/>
    <n v="0"/>
    <n v="0"/>
    <n v="0"/>
  </r>
  <r>
    <x v="405"/>
    <m/>
    <m/>
    <m/>
    <m/>
    <m/>
    <s v="17"/>
    <x v="6"/>
    <x v="0"/>
    <x v="23"/>
    <n v="10000"/>
    <s v="Summer 2021"/>
    <x v="302"/>
    <x v="295"/>
    <s v="Introduction to Research in the Human Sciences"/>
    <s v="EDRS 6301"/>
    <m/>
    <m/>
    <s v="In Progress"/>
    <m/>
    <s v="In Progress"/>
    <x v="5"/>
    <s v="In Progress"/>
    <s v="In Progress"/>
    <n v="24321"/>
    <n v="330"/>
    <n v="73.7"/>
    <n v="90"/>
    <n v="120"/>
    <n v="120"/>
    <s v="Summer 2021"/>
    <m/>
    <m/>
    <m/>
    <m/>
    <n v="0"/>
    <n v="0"/>
    <n v="0"/>
    <n v="0"/>
    <n v="0"/>
    <n v="0"/>
    <n v="0"/>
    <n v="0"/>
    <n v="0"/>
    <n v="0"/>
    <n v="0"/>
    <n v="0"/>
    <n v="0"/>
    <n v="0"/>
    <n v="0"/>
    <n v="0"/>
    <n v="0"/>
    <n v="0"/>
    <n v="0"/>
    <n v="0"/>
    <n v="0"/>
    <n v="0"/>
    <n v="0"/>
    <n v="0"/>
    <n v="0"/>
    <n v="0"/>
    <n v="0"/>
    <n v="0"/>
    <x v="0"/>
    <n v="0"/>
    <n v="0"/>
    <n v="0"/>
    <n v="0"/>
    <n v="0"/>
    <n v="0"/>
    <n v="0"/>
    <n v="0"/>
    <n v="0"/>
    <n v="0"/>
    <n v="0"/>
    <n v="0"/>
    <n v="0"/>
    <n v="0"/>
    <s v="Continued"/>
    <n v="90"/>
    <n v="120"/>
    <n v="120"/>
    <n v="330"/>
    <n v="73.7"/>
    <n v="24321"/>
    <s v="Summer 2021"/>
    <n v="90"/>
    <n v="0"/>
    <n v="0"/>
    <n v="0"/>
    <n v="0"/>
    <n v="0"/>
    <n v="0"/>
    <n v="0"/>
    <s v="Continued"/>
    <n v="90"/>
    <n v="120"/>
    <n v="120"/>
    <n v="330"/>
    <n v="73.7"/>
    <n v="24321"/>
    <s v="Summer 2021"/>
    <n v="0"/>
    <n v="0"/>
    <n v="0"/>
    <n v="0"/>
    <n v="0"/>
    <n v="0"/>
    <n v="0"/>
    <n v="0"/>
    <n v="0"/>
    <n v="0"/>
    <n v="0"/>
  </r>
  <r>
    <x v="406"/>
    <m/>
    <m/>
    <m/>
    <m/>
    <m/>
    <s v="17"/>
    <x v="6"/>
    <x v="0"/>
    <x v="23"/>
    <n v="30000"/>
    <s v="Summer 2021"/>
    <x v="303"/>
    <x v="296"/>
    <s v="Quantitative Skills and Reasoning,  Support for Quantitative Skills and Reasoning"/>
    <s v="MATH 1001, MATH 0997"/>
    <m/>
    <m/>
    <s v="In Progress"/>
    <m/>
    <s v="In Progress"/>
    <x v="5"/>
    <s v="In Progress"/>
    <s v="In Progress"/>
    <n v="234652"/>
    <s v="1,100"/>
    <n v="213.32"/>
    <n v="50"/>
    <n v="700"/>
    <n v="350"/>
    <s v="Summer 2021"/>
    <m/>
    <m/>
    <m/>
    <m/>
    <n v="0"/>
    <n v="0"/>
    <n v="0"/>
    <n v="0"/>
    <n v="0"/>
    <n v="0"/>
    <n v="0"/>
    <n v="0"/>
    <n v="0"/>
    <n v="0"/>
    <n v="0"/>
    <n v="0"/>
    <n v="0"/>
    <n v="0"/>
    <n v="0"/>
    <n v="0"/>
    <n v="0"/>
    <n v="0"/>
    <n v="0"/>
    <n v="0"/>
    <n v="0"/>
    <n v="0"/>
    <n v="0"/>
    <n v="0"/>
    <n v="0"/>
    <n v="0"/>
    <n v="0"/>
    <n v="0"/>
    <x v="0"/>
    <n v="0"/>
    <n v="0"/>
    <n v="0"/>
    <n v="0"/>
    <n v="0"/>
    <n v="0"/>
    <n v="0"/>
    <n v="0"/>
    <n v="0"/>
    <n v="0"/>
    <n v="0"/>
    <n v="0"/>
    <n v="0"/>
    <n v="0"/>
    <s v="Continued"/>
    <n v="50"/>
    <n v="700"/>
    <n v="350"/>
    <s v="1,100"/>
    <n v="213.32"/>
    <n v="234652"/>
    <s v="Summer 2021"/>
    <n v="50"/>
    <n v="0"/>
    <n v="0"/>
    <n v="0"/>
    <n v="0"/>
    <n v="0"/>
    <n v="0"/>
    <n v="0"/>
    <s v="Continued"/>
    <n v="50"/>
    <n v="700"/>
    <n v="350"/>
    <n v="1100"/>
    <n v="213.32"/>
    <n v="234652"/>
    <s v="Summer 2021"/>
    <n v="0"/>
    <n v="0"/>
    <n v="0"/>
    <n v="0"/>
    <n v="0"/>
    <n v="0"/>
    <n v="0"/>
    <n v="0"/>
    <n v="0"/>
    <n v="0"/>
    <n v="0"/>
  </r>
  <r>
    <x v="407"/>
    <m/>
    <m/>
    <m/>
    <m/>
    <m/>
    <s v="17"/>
    <x v="6"/>
    <x v="0"/>
    <x v="4"/>
    <n v="10800"/>
    <s v="Summer 2021"/>
    <x v="250"/>
    <x v="244"/>
    <s v="Criminal Law"/>
    <s v="CRJU 4780"/>
    <m/>
    <m/>
    <s v="In Progress"/>
    <m/>
    <s v="In Progress"/>
    <x v="5"/>
    <s v="In Progress"/>
    <s v="In Progress"/>
    <n v="35700"/>
    <n v="300"/>
    <n v="119"/>
    <n v="100"/>
    <n v="100"/>
    <n v="100"/>
    <s v="Summer 2021"/>
    <m/>
    <m/>
    <m/>
    <m/>
    <n v="0"/>
    <n v="0"/>
    <n v="0"/>
    <n v="0"/>
    <n v="0"/>
    <n v="0"/>
    <n v="0"/>
    <n v="0"/>
    <n v="0"/>
    <n v="0"/>
    <n v="0"/>
    <n v="0"/>
    <n v="0"/>
    <n v="0"/>
    <n v="0"/>
    <n v="0"/>
    <n v="0"/>
    <n v="0"/>
    <n v="0"/>
    <n v="0"/>
    <n v="0"/>
    <n v="0"/>
    <n v="0"/>
    <n v="0"/>
    <n v="0"/>
    <n v="0"/>
    <n v="0"/>
    <n v="0"/>
    <x v="0"/>
    <n v="0"/>
    <n v="0"/>
    <n v="0"/>
    <n v="0"/>
    <n v="0"/>
    <n v="0"/>
    <n v="0"/>
    <n v="0"/>
    <n v="0"/>
    <n v="0"/>
    <n v="0"/>
    <n v="0"/>
    <n v="0"/>
    <n v="0"/>
    <s v="Continued"/>
    <n v="100"/>
    <n v="100"/>
    <n v="100"/>
    <n v="300"/>
    <n v="119"/>
    <n v="35700"/>
    <s v="Summer 2021"/>
    <n v="100"/>
    <n v="0"/>
    <n v="0"/>
    <n v="0"/>
    <n v="0"/>
    <n v="0"/>
    <n v="0"/>
    <n v="0"/>
    <s v="Continued"/>
    <n v="100"/>
    <n v="100"/>
    <n v="100"/>
    <n v="300"/>
    <n v="119"/>
    <n v="35700"/>
    <s v="Summer 2021"/>
    <n v="0"/>
    <n v="0"/>
    <n v="0"/>
    <n v="0"/>
    <n v="0"/>
    <n v="0"/>
    <n v="0"/>
    <n v="0"/>
    <n v="0"/>
    <n v="0"/>
    <n v="0"/>
  </r>
  <r>
    <x v="408"/>
    <m/>
    <m/>
    <m/>
    <m/>
    <m/>
    <s v="17"/>
    <x v="6"/>
    <x v="0"/>
    <x v="23"/>
    <n v="10000"/>
    <s v="Summer 2021"/>
    <x v="304"/>
    <x v="297"/>
    <s v="Introduction to Physical Anthropology"/>
    <s v="ANTH 1105"/>
    <m/>
    <m/>
    <s v="In Progress"/>
    <m/>
    <s v="In Progress"/>
    <x v="5"/>
    <s v="In Progress"/>
    <s v="In Progress"/>
    <n v="64478.499999999993"/>
    <n v="430"/>
    <n v="149.94999999999999"/>
    <n v="70"/>
    <n v="180"/>
    <n v="180"/>
    <s v="Summer 2021"/>
    <m/>
    <m/>
    <m/>
    <m/>
    <n v="0"/>
    <n v="0"/>
    <n v="0"/>
    <n v="0"/>
    <n v="0"/>
    <n v="0"/>
    <n v="0"/>
    <n v="0"/>
    <n v="0"/>
    <n v="0"/>
    <n v="0"/>
    <n v="0"/>
    <n v="0"/>
    <n v="0"/>
    <n v="0"/>
    <n v="0"/>
    <n v="0"/>
    <n v="0"/>
    <n v="0"/>
    <n v="0"/>
    <n v="0"/>
    <n v="0"/>
    <n v="0"/>
    <n v="0"/>
    <n v="0"/>
    <n v="0"/>
    <n v="0"/>
    <n v="0"/>
    <x v="0"/>
    <n v="0"/>
    <n v="0"/>
    <n v="0"/>
    <n v="0"/>
    <n v="0"/>
    <n v="0"/>
    <n v="0"/>
    <n v="0"/>
    <n v="0"/>
    <n v="0"/>
    <n v="0"/>
    <n v="0"/>
    <n v="0"/>
    <n v="0"/>
    <s v="Continued"/>
    <n v="70"/>
    <n v="180"/>
    <n v="180"/>
    <n v="430"/>
    <n v="149.94999999999999"/>
    <n v="64478.499999999993"/>
    <s v="Summer 2021"/>
    <n v="70"/>
    <n v="0"/>
    <n v="0"/>
    <n v="0"/>
    <n v="0"/>
    <n v="0"/>
    <n v="0"/>
    <n v="0"/>
    <s v="Continued"/>
    <n v="70"/>
    <n v="180"/>
    <n v="180"/>
    <n v="430"/>
    <n v="149.94999999999999"/>
    <n v="64478.499999999993"/>
    <s v="Summer 2021"/>
    <n v="0"/>
    <n v="0"/>
    <n v="0"/>
    <n v="0"/>
    <n v="0"/>
    <n v="0"/>
    <n v="0"/>
    <n v="0"/>
    <n v="0"/>
    <n v="0"/>
    <n v="0"/>
  </r>
  <r>
    <x v="409"/>
    <m/>
    <m/>
    <m/>
    <m/>
    <m/>
    <s v="17"/>
    <x v="6"/>
    <x v="0"/>
    <x v="23"/>
    <n v="10800"/>
    <s v="Summer 2021"/>
    <x v="305"/>
    <x v="298"/>
    <s v="Organic Chemistry I (lecture) and Organic Chemistry II (lecture)"/>
    <s v="CHEM 2411, CHEM 3422"/>
    <m/>
    <m/>
    <s v="In Progress"/>
    <m/>
    <s v="In Progress"/>
    <x v="5"/>
    <s v="In Progress"/>
    <s v="In Progress"/>
    <n v="43182"/>
    <n v="225"/>
    <n v="287.88"/>
    <n v="25"/>
    <n v="100"/>
    <n v="100"/>
    <s v="Summer 2021"/>
    <m/>
    <m/>
    <m/>
    <m/>
    <n v="0"/>
    <n v="0"/>
    <n v="0"/>
    <n v="0"/>
    <n v="0"/>
    <n v="0"/>
    <n v="0"/>
    <n v="0"/>
    <n v="0"/>
    <n v="0"/>
    <n v="0"/>
    <n v="0"/>
    <n v="0"/>
    <n v="0"/>
    <n v="0"/>
    <n v="0"/>
    <n v="0"/>
    <n v="0"/>
    <n v="0"/>
    <n v="0"/>
    <n v="0"/>
    <n v="0"/>
    <n v="0"/>
    <n v="0"/>
    <n v="0"/>
    <n v="0"/>
    <n v="0"/>
    <n v="0"/>
    <x v="0"/>
    <n v="0"/>
    <n v="0"/>
    <n v="0"/>
    <n v="0"/>
    <n v="0"/>
    <n v="0"/>
    <n v="0"/>
    <n v="0"/>
    <n v="0"/>
    <n v="0"/>
    <n v="0"/>
    <n v="0"/>
    <n v="0"/>
    <n v="0"/>
    <s v="Continued"/>
    <n v="25"/>
    <n v="100"/>
    <n v="100"/>
    <n v="225"/>
    <n v="287.88"/>
    <n v="64773"/>
    <s v="Summer 2021"/>
    <n v="25"/>
    <n v="0"/>
    <n v="0"/>
    <n v="0"/>
    <n v="0"/>
    <n v="0"/>
    <n v="0"/>
    <n v="0"/>
    <s v="Continued"/>
    <n v="25"/>
    <n v="100"/>
    <n v="100"/>
    <n v="225"/>
    <n v="287.88"/>
    <n v="64773"/>
    <s v="Summer 2021"/>
    <n v="0"/>
    <n v="0"/>
    <n v="0"/>
    <n v="0"/>
    <n v="0"/>
    <n v="0"/>
    <n v="0"/>
    <n v="0"/>
    <n v="0"/>
    <n v="0"/>
    <n v="0"/>
  </r>
  <r>
    <x v="410"/>
    <m/>
    <m/>
    <m/>
    <m/>
    <m/>
    <s v="17"/>
    <x v="6"/>
    <x v="0"/>
    <x v="18"/>
    <n v="10800"/>
    <s v="Summer 2021"/>
    <x v="306"/>
    <x v="299"/>
    <s v="Elementary Spanish I, Elementary Spanish II"/>
    <s v="SPAN 1001, SPAN 1002"/>
    <m/>
    <m/>
    <s v="In Progress"/>
    <m/>
    <s v="In Progress"/>
    <x v="5"/>
    <s v="In Progress"/>
    <s v="In Progress"/>
    <n v="80775.100000000006"/>
    <n v="514"/>
    <n v="157.15"/>
    <n v="30"/>
    <n v="220"/>
    <n v="264"/>
    <s v="Summer 2021"/>
    <m/>
    <m/>
    <m/>
    <m/>
    <n v="0"/>
    <n v="0"/>
    <n v="0"/>
    <n v="0"/>
    <n v="0"/>
    <n v="0"/>
    <n v="0"/>
    <n v="0"/>
    <n v="0"/>
    <n v="0"/>
    <n v="0"/>
    <n v="0"/>
    <n v="0"/>
    <n v="0"/>
    <n v="0"/>
    <n v="0"/>
    <n v="0"/>
    <n v="0"/>
    <n v="0"/>
    <n v="0"/>
    <n v="0"/>
    <n v="0"/>
    <n v="0"/>
    <n v="0"/>
    <n v="0"/>
    <n v="0"/>
    <n v="0"/>
    <n v="0"/>
    <x v="0"/>
    <n v="0"/>
    <n v="0"/>
    <n v="0"/>
    <n v="0"/>
    <n v="0"/>
    <n v="0"/>
    <n v="0"/>
    <n v="0"/>
    <n v="0"/>
    <n v="0"/>
    <n v="0"/>
    <n v="0"/>
    <n v="0"/>
    <n v="0"/>
    <s v="Continued"/>
    <n v="30"/>
    <n v="220"/>
    <n v="264"/>
    <n v="514"/>
    <n v="157.15"/>
    <n v="80775.100000000006"/>
    <s v="Summer 2021"/>
    <n v="30"/>
    <n v="0"/>
    <n v="0"/>
    <n v="0"/>
    <n v="0"/>
    <n v="0"/>
    <n v="0"/>
    <n v="0"/>
    <s v="Continued"/>
    <n v="30"/>
    <n v="220"/>
    <n v="264"/>
    <n v="514"/>
    <n v="157.15"/>
    <n v="80775.100000000006"/>
    <s v="Summer 2021"/>
    <n v="0"/>
    <n v="0"/>
    <n v="0"/>
    <n v="0"/>
    <n v="0"/>
    <n v="0"/>
    <n v="0"/>
    <n v="0"/>
    <n v="0"/>
    <n v="0"/>
    <n v="0"/>
  </r>
  <r>
    <x v="411"/>
    <m/>
    <m/>
    <m/>
    <m/>
    <m/>
    <s v="17"/>
    <x v="6"/>
    <x v="0"/>
    <x v="1"/>
    <n v="15000"/>
    <s v="Summer 2021"/>
    <x v="307"/>
    <x v="300"/>
    <s v="Introduction to Computing Principles"/>
    <s v="CSE 1300"/>
    <m/>
    <m/>
    <s v="In Progress"/>
    <m/>
    <s v="In Progress"/>
    <x v="5"/>
    <s v="In Progress"/>
    <s v="In Progress"/>
    <n v="26136"/>
    <s v="1,000"/>
    <n v="54"/>
    <n v="40"/>
    <n v="240"/>
    <n v="240"/>
    <s v="Summer 2021"/>
    <m/>
    <m/>
    <m/>
    <m/>
    <n v="0"/>
    <n v="0"/>
    <n v="0"/>
    <n v="0"/>
    <n v="0"/>
    <n v="0"/>
    <n v="0"/>
    <n v="0"/>
    <n v="0"/>
    <n v="0"/>
    <n v="0"/>
    <n v="0"/>
    <n v="0"/>
    <n v="0"/>
    <n v="0"/>
    <n v="0"/>
    <n v="0"/>
    <n v="0"/>
    <n v="0"/>
    <n v="0"/>
    <n v="0"/>
    <n v="0"/>
    <n v="0"/>
    <n v="0"/>
    <n v="0"/>
    <n v="0"/>
    <n v="0"/>
    <n v="0"/>
    <x v="0"/>
    <n v="0"/>
    <n v="0"/>
    <n v="0"/>
    <n v="0"/>
    <n v="0"/>
    <n v="0"/>
    <n v="0"/>
    <n v="0"/>
    <n v="0"/>
    <n v="0"/>
    <n v="0"/>
    <n v="0"/>
    <n v="0"/>
    <n v="0"/>
    <s v="Continued"/>
    <n v="40"/>
    <n v="240"/>
    <n v="240"/>
    <s v="1,000"/>
    <n v="54"/>
    <n v="54000"/>
    <s v="Summer 2021"/>
    <n v="40"/>
    <n v="0"/>
    <n v="0"/>
    <n v="0"/>
    <n v="0"/>
    <n v="0"/>
    <n v="0"/>
    <n v="0"/>
    <s v="Continued"/>
    <n v="40"/>
    <n v="240"/>
    <n v="240"/>
    <n v="520"/>
    <n v="54"/>
    <n v="28080"/>
    <s v="Summer 2021"/>
    <n v="0"/>
    <n v="0"/>
    <n v="0"/>
    <n v="0"/>
    <n v="0"/>
    <n v="0"/>
    <n v="0"/>
    <n v="0"/>
    <n v="0"/>
    <n v="0"/>
    <n v="0"/>
  </r>
  <r>
    <x v="412"/>
    <m/>
    <m/>
    <m/>
    <m/>
    <m/>
    <s v="17"/>
    <x v="6"/>
    <x v="0"/>
    <x v="18"/>
    <n v="30000"/>
    <s v="Summer 2021"/>
    <x v="308"/>
    <x v="301"/>
    <s v="Survey of Chemistry I"/>
    <s v="CHEM 1151"/>
    <m/>
    <m/>
    <s v="In Progress"/>
    <m/>
    <s v="In Progress"/>
    <x v="5"/>
    <s v="In Progress"/>
    <s v="In Progress"/>
    <n v="72624.200000000012"/>
    <n v="484"/>
    <n v="150.05000000000001"/>
    <n v="56"/>
    <n v="244"/>
    <n v="184"/>
    <s v="Summer 2021"/>
    <m/>
    <m/>
    <m/>
    <m/>
    <n v="0"/>
    <n v="0"/>
    <n v="0"/>
    <n v="0"/>
    <n v="0"/>
    <n v="0"/>
    <n v="0"/>
    <n v="0"/>
    <n v="0"/>
    <n v="0"/>
    <n v="0"/>
    <n v="0"/>
    <n v="0"/>
    <n v="0"/>
    <n v="0"/>
    <n v="0"/>
    <n v="0"/>
    <n v="0"/>
    <n v="0"/>
    <n v="0"/>
    <n v="0"/>
    <n v="0"/>
    <n v="0"/>
    <n v="0"/>
    <n v="0"/>
    <n v="0"/>
    <n v="0"/>
    <n v="0"/>
    <x v="0"/>
    <n v="0"/>
    <n v="0"/>
    <n v="0"/>
    <n v="0"/>
    <n v="0"/>
    <n v="0"/>
    <n v="0"/>
    <n v="0"/>
    <n v="0"/>
    <n v="0"/>
    <n v="0"/>
    <n v="0"/>
    <n v="0"/>
    <n v="0"/>
    <s v="Continued"/>
    <n v="56"/>
    <n v="244"/>
    <n v="184"/>
    <n v="484"/>
    <n v="150.05000000000001"/>
    <n v="72624.200000000012"/>
    <s v="Summer 2021"/>
    <n v="56"/>
    <n v="0"/>
    <n v="0"/>
    <n v="0"/>
    <n v="0"/>
    <n v="0"/>
    <n v="0"/>
    <n v="0"/>
    <s v="Continued"/>
    <n v="56"/>
    <n v="244"/>
    <n v="184"/>
    <n v="484"/>
    <n v="150.05000000000001"/>
    <n v="72624.200000000012"/>
    <s v="Summer 2021"/>
    <n v="0"/>
    <n v="0"/>
    <n v="0"/>
    <n v="0"/>
    <n v="0"/>
    <n v="0"/>
    <n v="0"/>
    <n v="0"/>
    <n v="0"/>
    <n v="0"/>
    <n v="0"/>
  </r>
  <r>
    <x v="413"/>
    <m/>
    <m/>
    <m/>
    <m/>
    <m/>
    <s v="17"/>
    <x v="6"/>
    <x v="0"/>
    <x v="21"/>
    <n v="10800"/>
    <s v="Summer 2021"/>
    <x v="309"/>
    <x v="302"/>
    <s v="Information Security"/>
    <s v="ITEC 3300"/>
    <m/>
    <m/>
    <s v="In Progress"/>
    <m/>
    <s v="In Progress"/>
    <x v="5"/>
    <s v="In Progress"/>
    <s v="In Progress"/>
    <n v="57379.499999999993"/>
    <n v="205"/>
    <n v="279.89999999999998"/>
    <n v="25"/>
    <n v="100"/>
    <n v="80"/>
    <s v="Summer 2021"/>
    <m/>
    <m/>
    <m/>
    <m/>
    <n v="0"/>
    <n v="0"/>
    <n v="0"/>
    <n v="0"/>
    <n v="0"/>
    <n v="0"/>
    <n v="0"/>
    <n v="0"/>
    <n v="0"/>
    <n v="0"/>
    <n v="0"/>
    <n v="0"/>
    <n v="0"/>
    <n v="0"/>
    <n v="0"/>
    <n v="0"/>
    <n v="0"/>
    <n v="0"/>
    <n v="0"/>
    <n v="0"/>
    <n v="0"/>
    <n v="0"/>
    <n v="0"/>
    <n v="0"/>
    <n v="0"/>
    <n v="0"/>
    <n v="0"/>
    <n v="0"/>
    <x v="0"/>
    <n v="0"/>
    <n v="0"/>
    <n v="0"/>
    <n v="0"/>
    <n v="0"/>
    <n v="0"/>
    <n v="0"/>
    <n v="0"/>
    <n v="0"/>
    <n v="0"/>
    <n v="0"/>
    <n v="0"/>
    <n v="0"/>
    <n v="0"/>
    <s v="Continued"/>
    <n v="25"/>
    <n v="100"/>
    <n v="80"/>
    <n v="205"/>
    <n v="279.89999999999998"/>
    <n v="57379.499999999993"/>
    <s v="Summer 2021"/>
    <n v="25"/>
    <n v="0"/>
    <n v="0"/>
    <n v="0"/>
    <n v="0"/>
    <n v="0"/>
    <n v="0"/>
    <n v="0"/>
    <s v="Continued"/>
    <n v="25"/>
    <n v="100"/>
    <n v="80"/>
    <n v="205"/>
    <n v="279.89999999999998"/>
    <n v="57379.499999999993"/>
    <s v="Summer 2021"/>
    <n v="0"/>
    <n v="0"/>
    <n v="0"/>
    <n v="0"/>
    <n v="0"/>
    <n v="0"/>
    <n v="0"/>
    <n v="0"/>
    <n v="0"/>
    <n v="0"/>
    <n v="0"/>
  </r>
  <r>
    <x v="414"/>
    <m/>
    <m/>
    <m/>
    <m/>
    <m/>
    <s v="17"/>
    <x v="6"/>
    <x v="1"/>
    <x v="4"/>
    <n v="2400"/>
    <s v="Spring 2021"/>
    <x v="310"/>
    <x v="303"/>
    <s v="Calculus I"/>
    <s v="MATH 2211"/>
    <m/>
    <m/>
    <s v="In Progress"/>
    <m/>
    <s v="In Progress"/>
    <x v="5"/>
    <s v="In Progress"/>
    <s v="In Progress"/>
    <s v="n/a"/>
    <s v="n/a"/>
    <s v="n/a"/>
    <s v="n/a"/>
    <s v="n/a"/>
    <s v="n/a"/>
    <s v="Spring 2021"/>
    <m/>
    <m/>
    <m/>
    <m/>
    <s v="n/a"/>
    <n v="0"/>
    <n v="0"/>
    <n v="0"/>
    <n v="0"/>
    <n v="0"/>
    <n v="0"/>
    <n v="0"/>
    <n v="0"/>
    <n v="0"/>
    <n v="0"/>
    <n v="0"/>
    <n v="0"/>
    <n v="0"/>
    <n v="0"/>
    <n v="0"/>
    <n v="0"/>
    <n v="0"/>
    <n v="0"/>
    <n v="0"/>
    <n v="0"/>
    <n v="0"/>
    <n v="0"/>
    <n v="0"/>
    <n v="0"/>
    <n v="0"/>
    <n v="0"/>
    <n v="0"/>
    <x v="4"/>
    <n v="0"/>
    <n v="0"/>
    <n v="0"/>
    <n v="0"/>
    <n v="0"/>
    <n v="0"/>
    <n v="0"/>
    <m/>
    <n v="0"/>
    <n v="0"/>
    <n v="0"/>
    <n v="0"/>
    <n v="0"/>
    <n v="0"/>
    <s v="Mini-Grant"/>
    <n v="0"/>
    <n v="0"/>
    <n v="0"/>
    <s v="n/a"/>
    <s v="n/a"/>
    <n v="0"/>
    <s v="Spring 2021"/>
    <n v="0"/>
    <n v="0"/>
    <n v="0"/>
    <n v="0"/>
    <n v="0"/>
    <n v="0"/>
    <n v="0"/>
    <n v="0"/>
    <s v="Mini-Grant"/>
    <n v="0"/>
    <n v="0"/>
    <n v="0"/>
    <n v="0"/>
    <n v="0"/>
    <n v="0"/>
    <s v="Spring 2021"/>
    <n v="0"/>
    <n v="0"/>
    <n v="0"/>
    <n v="0"/>
    <n v="0"/>
    <n v="0"/>
    <n v="0"/>
    <n v="0"/>
    <n v="0"/>
    <n v="0"/>
    <n v="0"/>
  </r>
  <r>
    <x v="415"/>
    <m/>
    <m/>
    <m/>
    <m/>
    <m/>
    <s v="17"/>
    <x v="6"/>
    <x v="1"/>
    <x v="22"/>
    <n v="4000"/>
    <s v="Summer 2021"/>
    <x v="311"/>
    <x v="304"/>
    <s v="British Literature I"/>
    <s v="ENGL 2121"/>
    <m/>
    <m/>
    <s v="In Progress"/>
    <m/>
    <s v="In Progress"/>
    <x v="5"/>
    <s v="In Progress"/>
    <s v="In Progress"/>
    <s v="n/a"/>
    <s v="n/a"/>
    <s v="n/a"/>
    <s v="n/a"/>
    <s v="n/a"/>
    <s v="n/a"/>
    <s v="Summer 2021"/>
    <m/>
    <m/>
    <m/>
    <m/>
    <s v="n/a"/>
    <n v="0"/>
    <n v="0"/>
    <n v="0"/>
    <n v="0"/>
    <n v="0"/>
    <n v="0"/>
    <n v="0"/>
    <n v="0"/>
    <n v="0"/>
    <n v="0"/>
    <n v="0"/>
    <n v="0"/>
    <n v="0"/>
    <n v="0"/>
    <n v="0"/>
    <n v="0"/>
    <n v="0"/>
    <n v="0"/>
    <n v="0"/>
    <n v="0"/>
    <n v="0"/>
    <n v="0"/>
    <n v="0"/>
    <n v="0"/>
    <n v="0"/>
    <n v="0"/>
    <n v="0"/>
    <x v="4"/>
    <n v="0"/>
    <n v="0"/>
    <n v="0"/>
    <n v="0"/>
    <n v="0"/>
    <n v="0"/>
    <n v="0"/>
    <m/>
    <n v="0"/>
    <n v="0"/>
    <n v="0"/>
    <n v="0"/>
    <n v="0"/>
    <n v="0"/>
    <s v="Mini-Grant"/>
    <n v="0"/>
    <n v="0"/>
    <n v="0"/>
    <s v="n/a"/>
    <s v="n/a"/>
    <n v="0"/>
    <s v="Summer 2021"/>
    <n v="0"/>
    <n v="0"/>
    <n v="0"/>
    <n v="0"/>
    <n v="0"/>
    <n v="0"/>
    <n v="0"/>
    <n v="0"/>
    <s v="Mini-Grant"/>
    <n v="0"/>
    <n v="0"/>
    <n v="0"/>
    <n v="0"/>
    <n v="0"/>
    <n v="0"/>
    <s v="Summer 2021"/>
    <n v="0"/>
    <n v="0"/>
    <n v="0"/>
    <n v="0"/>
    <n v="0"/>
    <n v="0"/>
    <n v="0"/>
    <n v="0"/>
    <n v="0"/>
    <n v="0"/>
    <n v="0"/>
  </r>
  <r>
    <x v="416"/>
    <m/>
    <m/>
    <m/>
    <m/>
    <m/>
    <s v="17"/>
    <x v="6"/>
    <x v="1"/>
    <x v="1"/>
    <n v="4800"/>
    <s v="Spring 2021"/>
    <x v="312"/>
    <x v="305"/>
    <s v="Introduction to Italian Language and Culture I; Introduction to Italian Language and Culture II; Intermediate Italian Language and Culture I"/>
    <s v="ITAL 1001, ITAL 1002, ITAL 2001"/>
    <m/>
    <m/>
    <s v="In Progress"/>
    <m/>
    <s v="In Progress"/>
    <x v="5"/>
    <s v="In Progress"/>
    <s v="In Progress"/>
    <s v="n/a"/>
    <s v="n/a"/>
    <s v="n/a"/>
    <s v="n/a"/>
    <s v="n/a"/>
    <s v="n/a"/>
    <s v="Spring 2021"/>
    <m/>
    <m/>
    <m/>
    <m/>
    <s v="n/a"/>
    <n v="0"/>
    <n v="0"/>
    <n v="0"/>
    <n v="0"/>
    <n v="0"/>
    <n v="0"/>
    <n v="0"/>
    <n v="0"/>
    <n v="0"/>
    <n v="0"/>
    <n v="0"/>
    <n v="0"/>
    <n v="0"/>
    <n v="0"/>
    <n v="0"/>
    <n v="0"/>
    <n v="0"/>
    <n v="0"/>
    <n v="0"/>
    <n v="0"/>
    <n v="0"/>
    <n v="0"/>
    <n v="0"/>
    <n v="0"/>
    <n v="0"/>
    <n v="0"/>
    <n v="0"/>
    <x v="4"/>
    <n v="0"/>
    <n v="0"/>
    <n v="0"/>
    <n v="0"/>
    <n v="0"/>
    <n v="0"/>
    <n v="0"/>
    <m/>
    <n v="0"/>
    <n v="0"/>
    <n v="0"/>
    <n v="0"/>
    <n v="0"/>
    <n v="0"/>
    <s v="Mini-Grant"/>
    <n v="0"/>
    <n v="0"/>
    <n v="0"/>
    <s v="n/a"/>
    <s v="n/a"/>
    <n v="0"/>
    <s v="Spring 2021"/>
    <n v="0"/>
    <n v="0"/>
    <n v="0"/>
    <n v="0"/>
    <n v="0"/>
    <n v="0"/>
    <n v="0"/>
    <n v="0"/>
    <s v="Mini-Grant"/>
    <n v="0"/>
    <n v="0"/>
    <n v="0"/>
    <n v="0"/>
    <n v="0"/>
    <n v="0"/>
    <s v="Spring 2021"/>
    <n v="0"/>
    <n v="0"/>
    <n v="0"/>
    <n v="0"/>
    <n v="0"/>
    <n v="0"/>
    <n v="0"/>
    <n v="0"/>
    <n v="0"/>
    <n v="0"/>
    <n v="0"/>
  </r>
  <r>
    <x v="417"/>
    <m/>
    <m/>
    <m/>
    <m/>
    <m/>
    <s v="17"/>
    <x v="6"/>
    <x v="1"/>
    <x v="18"/>
    <n v="4780"/>
    <s v="Spring 2021"/>
    <x v="107"/>
    <x v="107"/>
    <s v="Applied Economics and Legal Issues-Admin./Tech. Managers"/>
    <s v="TECH 3111, TECH 3115"/>
    <m/>
    <m/>
    <s v="In Progress"/>
    <m/>
    <s v="In Progress"/>
    <x v="5"/>
    <s v="In Progress"/>
    <s v="In Progress"/>
    <s v="n/a"/>
    <s v="n/a"/>
    <s v="n/a"/>
    <s v="n/a"/>
    <s v="n/a"/>
    <s v="n/a"/>
    <s v="Spring 2021"/>
    <m/>
    <m/>
    <m/>
    <m/>
    <s v="n/a"/>
    <n v="0"/>
    <n v="0"/>
    <n v="0"/>
    <n v="0"/>
    <n v="0"/>
    <n v="0"/>
    <n v="0"/>
    <n v="0"/>
    <n v="0"/>
    <n v="0"/>
    <n v="0"/>
    <n v="0"/>
    <n v="0"/>
    <n v="0"/>
    <n v="0"/>
    <n v="0"/>
    <n v="0"/>
    <n v="0"/>
    <n v="0"/>
    <n v="0"/>
    <n v="0"/>
    <n v="0"/>
    <n v="0"/>
    <n v="0"/>
    <n v="0"/>
    <n v="0"/>
    <n v="0"/>
    <x v="4"/>
    <n v="0"/>
    <n v="0"/>
    <n v="0"/>
    <n v="0"/>
    <n v="0"/>
    <n v="0"/>
    <n v="0"/>
    <m/>
    <n v="0"/>
    <n v="0"/>
    <n v="0"/>
    <n v="0"/>
    <n v="0"/>
    <n v="0"/>
    <s v="Mini-Grant"/>
    <n v="0"/>
    <n v="0"/>
    <n v="0"/>
    <s v="n/a"/>
    <s v="n/a"/>
    <n v="0"/>
    <s v="Spring 2021"/>
    <n v="0"/>
    <n v="0"/>
    <n v="0"/>
    <n v="0"/>
    <n v="0"/>
    <n v="0"/>
    <n v="0"/>
    <n v="0"/>
    <s v="Mini-Grant"/>
    <n v="0"/>
    <n v="0"/>
    <n v="0"/>
    <n v="0"/>
    <n v="0"/>
    <n v="0"/>
    <s v="Spring 2021"/>
    <n v="0"/>
    <n v="0"/>
    <n v="0"/>
    <n v="0"/>
    <n v="0"/>
    <n v="0"/>
    <n v="0"/>
    <n v="0"/>
    <n v="0"/>
    <n v="0"/>
    <n v="0"/>
  </r>
  <r>
    <x v="418"/>
    <m/>
    <m/>
    <m/>
    <m/>
    <m/>
    <s v="17"/>
    <x v="6"/>
    <x v="1"/>
    <x v="1"/>
    <n v="2800"/>
    <s v="Summer 2021"/>
    <x v="246"/>
    <x v="240"/>
    <s v="Mobile Software Development"/>
    <s v="CS 4322"/>
    <m/>
    <m/>
    <s v="In Progress"/>
    <m/>
    <s v="In Progress"/>
    <x v="5"/>
    <s v="In Progress"/>
    <s v="In Progress"/>
    <s v="n/a"/>
    <s v="n/a"/>
    <s v="n/a"/>
    <s v="n/a"/>
    <s v="n/a"/>
    <s v="n/a"/>
    <s v="Summer 2021"/>
    <m/>
    <m/>
    <m/>
    <m/>
    <s v="n/a"/>
    <n v="0"/>
    <n v="0"/>
    <n v="0"/>
    <n v="0"/>
    <n v="0"/>
    <n v="0"/>
    <n v="0"/>
    <n v="0"/>
    <n v="0"/>
    <n v="0"/>
    <n v="0"/>
    <n v="0"/>
    <n v="0"/>
    <n v="0"/>
    <n v="0"/>
    <n v="0"/>
    <n v="0"/>
    <n v="0"/>
    <n v="0"/>
    <n v="0"/>
    <n v="0"/>
    <n v="0"/>
    <n v="0"/>
    <n v="0"/>
    <n v="0"/>
    <n v="0"/>
    <n v="0"/>
    <x v="4"/>
    <n v="0"/>
    <n v="0"/>
    <n v="0"/>
    <n v="0"/>
    <n v="0"/>
    <n v="0"/>
    <n v="0"/>
    <m/>
    <n v="0"/>
    <n v="0"/>
    <n v="0"/>
    <n v="0"/>
    <n v="0"/>
    <n v="0"/>
    <s v="Mini-Grant"/>
    <n v="0"/>
    <n v="0"/>
    <n v="0"/>
    <s v="n/a"/>
    <s v="n/a"/>
    <n v="0"/>
    <s v="Summer 2021"/>
    <n v="0"/>
    <n v="0"/>
    <n v="0"/>
    <n v="0"/>
    <n v="0"/>
    <n v="0"/>
    <n v="0"/>
    <n v="0"/>
    <s v="Mini-Grant"/>
    <n v="0"/>
    <n v="0"/>
    <n v="0"/>
    <n v="0"/>
    <n v="0"/>
    <n v="0"/>
    <s v="Summer 2021"/>
    <n v="0"/>
    <n v="0"/>
    <n v="0"/>
    <n v="0"/>
    <n v="0"/>
    <n v="0"/>
    <n v="0"/>
    <n v="0"/>
    <n v="0"/>
    <n v="0"/>
    <n v="0"/>
  </r>
  <r>
    <x v="419"/>
    <m/>
    <m/>
    <m/>
    <m/>
    <m/>
    <s v="17"/>
    <x v="6"/>
    <x v="1"/>
    <x v="23"/>
    <n v="4800"/>
    <s v="Spring 2021"/>
    <x v="189"/>
    <x v="185"/>
    <s v="Survey of Chemistry I"/>
    <s v="CHEM 1151"/>
    <m/>
    <m/>
    <s v="In Progress"/>
    <m/>
    <s v="In Progress"/>
    <x v="5"/>
    <s v="In Progress"/>
    <s v="In Progress"/>
    <s v="n/a"/>
    <s v="n/a"/>
    <s v="n/a"/>
    <s v="n/a"/>
    <s v="n/a"/>
    <s v="n/a"/>
    <s v="Spring 2021"/>
    <m/>
    <m/>
    <m/>
    <m/>
    <s v="n/a"/>
    <n v="0"/>
    <n v="0"/>
    <n v="0"/>
    <n v="0"/>
    <n v="0"/>
    <n v="0"/>
    <n v="0"/>
    <n v="0"/>
    <n v="0"/>
    <n v="0"/>
    <n v="0"/>
    <n v="0"/>
    <n v="0"/>
    <n v="0"/>
    <n v="0"/>
    <n v="0"/>
    <n v="0"/>
    <n v="0"/>
    <n v="0"/>
    <n v="0"/>
    <n v="0"/>
    <n v="0"/>
    <n v="0"/>
    <n v="0"/>
    <n v="0"/>
    <n v="0"/>
    <n v="0"/>
    <x v="4"/>
    <n v="0"/>
    <n v="0"/>
    <n v="0"/>
    <n v="0"/>
    <n v="0"/>
    <n v="0"/>
    <n v="0"/>
    <m/>
    <n v="0"/>
    <n v="0"/>
    <n v="0"/>
    <n v="0"/>
    <n v="0"/>
    <n v="0"/>
    <s v="Mini-Grant"/>
    <n v="0"/>
    <n v="0"/>
    <n v="0"/>
    <s v="n/a"/>
    <s v="n/a"/>
    <n v="0"/>
    <s v="Spring 2021"/>
    <n v="0"/>
    <n v="0"/>
    <n v="0"/>
    <n v="0"/>
    <n v="0"/>
    <n v="0"/>
    <n v="0"/>
    <n v="0"/>
    <s v="Mini-Grant"/>
    <n v="0"/>
    <n v="0"/>
    <n v="0"/>
    <n v="0"/>
    <n v="0"/>
    <n v="0"/>
    <s v="Spring 2021"/>
    <n v="0"/>
    <n v="0"/>
    <n v="0"/>
    <n v="0"/>
    <n v="0"/>
    <n v="0"/>
    <n v="0"/>
    <n v="0"/>
    <n v="0"/>
    <n v="0"/>
    <n v="0"/>
  </r>
  <r>
    <x v="420"/>
    <m/>
    <m/>
    <m/>
    <m/>
    <m/>
    <s v="17"/>
    <x v="6"/>
    <x v="1"/>
    <x v="14"/>
    <n v="4000"/>
    <s v="Spring 2021"/>
    <x v="313"/>
    <x v="306"/>
    <s v="Intermediate Spanish"/>
    <s v="SPAN 2001, SPAN 2002"/>
    <m/>
    <m/>
    <s v="In Progress"/>
    <m/>
    <s v="In Progress"/>
    <x v="5"/>
    <s v="In Progress"/>
    <s v="In Progress"/>
    <s v="n/a"/>
    <s v="n/a"/>
    <s v="n/a"/>
    <s v="n/a"/>
    <s v="n/a"/>
    <s v="n/a"/>
    <s v="Spring 2021"/>
    <m/>
    <m/>
    <m/>
    <m/>
    <s v="n/a"/>
    <n v="0"/>
    <n v="0"/>
    <n v="0"/>
    <n v="0"/>
    <n v="0"/>
    <n v="0"/>
    <n v="0"/>
    <n v="0"/>
    <n v="0"/>
    <n v="0"/>
    <n v="0"/>
    <n v="0"/>
    <n v="0"/>
    <n v="0"/>
    <n v="0"/>
    <n v="0"/>
    <n v="0"/>
    <n v="0"/>
    <n v="0"/>
    <n v="0"/>
    <n v="0"/>
    <n v="0"/>
    <n v="0"/>
    <n v="0"/>
    <n v="0"/>
    <n v="0"/>
    <n v="0"/>
    <x v="4"/>
    <n v="0"/>
    <n v="0"/>
    <n v="0"/>
    <n v="0"/>
    <n v="0"/>
    <n v="0"/>
    <n v="0"/>
    <m/>
    <n v="0"/>
    <n v="0"/>
    <n v="0"/>
    <n v="0"/>
    <n v="0"/>
    <n v="0"/>
    <s v="Mini-Grant"/>
    <n v="0"/>
    <n v="0"/>
    <n v="0"/>
    <s v="n/a"/>
    <s v="n/a"/>
    <n v="0"/>
    <s v="Spring 2021"/>
    <n v="0"/>
    <n v="0"/>
    <n v="0"/>
    <n v="0"/>
    <n v="0"/>
    <n v="0"/>
    <n v="0"/>
    <n v="0"/>
    <s v="Mini-Grant"/>
    <n v="0"/>
    <n v="0"/>
    <n v="0"/>
    <n v="0"/>
    <n v="0"/>
    <n v="0"/>
    <s v="Spring 2021"/>
    <n v="0"/>
    <n v="0"/>
    <n v="0"/>
    <n v="0"/>
    <n v="0"/>
    <n v="0"/>
    <n v="0"/>
    <n v="0"/>
    <n v="0"/>
    <n v="0"/>
    <n v="0"/>
  </r>
  <r>
    <x v="421"/>
    <m/>
    <m/>
    <m/>
    <m/>
    <m/>
    <s v="17"/>
    <x v="6"/>
    <x v="1"/>
    <x v="14"/>
    <n v="4000"/>
    <s v="Summer 2021"/>
    <x v="133"/>
    <x v="135"/>
    <s v="Minorities in US History"/>
    <s v="HIST 2111, HIST 2112, HIST 2154"/>
    <m/>
    <m/>
    <s v="In Progress"/>
    <m/>
    <s v="In Progress"/>
    <x v="5"/>
    <s v="In Progress"/>
    <s v="In Progress"/>
    <s v="n/a"/>
    <s v="n/a"/>
    <s v="n/a"/>
    <s v="n/a"/>
    <s v="n/a"/>
    <s v="n/a"/>
    <s v="Summer 2021"/>
    <m/>
    <m/>
    <m/>
    <m/>
    <s v="n/a"/>
    <n v="0"/>
    <n v="0"/>
    <n v="0"/>
    <n v="0"/>
    <n v="0"/>
    <n v="0"/>
    <n v="0"/>
    <n v="0"/>
    <n v="0"/>
    <n v="0"/>
    <n v="0"/>
    <n v="0"/>
    <n v="0"/>
    <n v="0"/>
    <n v="0"/>
    <n v="0"/>
    <n v="0"/>
    <n v="0"/>
    <n v="0"/>
    <n v="0"/>
    <n v="0"/>
    <n v="0"/>
    <n v="0"/>
    <n v="0"/>
    <n v="0"/>
    <n v="0"/>
    <n v="0"/>
    <x v="4"/>
    <n v="0"/>
    <n v="0"/>
    <n v="0"/>
    <n v="0"/>
    <n v="0"/>
    <n v="0"/>
    <n v="0"/>
    <m/>
    <n v="0"/>
    <n v="0"/>
    <n v="0"/>
    <n v="0"/>
    <n v="0"/>
    <n v="0"/>
    <s v="Mini-Grant"/>
    <n v="0"/>
    <n v="0"/>
    <n v="0"/>
    <s v="n/a"/>
    <s v="n/a"/>
    <n v="0"/>
    <s v="Summer 2021"/>
    <n v="0"/>
    <n v="0"/>
    <n v="0"/>
    <n v="0"/>
    <n v="0"/>
    <n v="0"/>
    <n v="0"/>
    <n v="0"/>
    <s v="Mini-Grant"/>
    <n v="0"/>
    <n v="0"/>
    <n v="0"/>
    <n v="0"/>
    <n v="0"/>
    <n v="0"/>
    <s v="Summer 2021"/>
    <n v="0"/>
    <n v="0"/>
    <n v="0"/>
    <n v="0"/>
    <n v="0"/>
    <n v="0"/>
    <n v="0"/>
    <n v="0"/>
    <n v="0"/>
    <n v="0"/>
    <n v="0"/>
  </r>
  <r>
    <x v="422"/>
    <m/>
    <m/>
    <m/>
    <m/>
    <m/>
    <s v="17"/>
    <x v="6"/>
    <x v="1"/>
    <x v="22"/>
    <n v="4800"/>
    <s v="Spring 2021"/>
    <x v="314"/>
    <x v="307"/>
    <s v="Special Topics in Civil Engineering (Timber and Masonry Design)"/>
    <s v="ENGT 4903"/>
    <m/>
    <m/>
    <s v="In Progress"/>
    <m/>
    <s v="In Progress"/>
    <x v="5"/>
    <s v="In Progress"/>
    <s v="In Progress"/>
    <s v="n/a"/>
    <s v="n/a"/>
    <s v="n/a"/>
    <s v="n/a"/>
    <s v="n/a"/>
    <s v="n/a"/>
    <s v="Spring 2021"/>
    <m/>
    <m/>
    <m/>
    <m/>
    <s v="n/a"/>
    <n v="0"/>
    <n v="0"/>
    <n v="0"/>
    <n v="0"/>
    <n v="0"/>
    <n v="0"/>
    <n v="0"/>
    <n v="0"/>
    <n v="0"/>
    <n v="0"/>
    <n v="0"/>
    <n v="0"/>
    <n v="0"/>
    <n v="0"/>
    <n v="0"/>
    <n v="0"/>
    <n v="0"/>
    <n v="0"/>
    <n v="0"/>
    <n v="0"/>
    <n v="0"/>
    <n v="0"/>
    <n v="0"/>
    <n v="0"/>
    <n v="0"/>
    <n v="0"/>
    <n v="0"/>
    <x v="4"/>
    <n v="0"/>
    <n v="0"/>
    <n v="0"/>
    <n v="0"/>
    <n v="0"/>
    <n v="0"/>
    <n v="0"/>
    <m/>
    <n v="0"/>
    <n v="0"/>
    <n v="0"/>
    <n v="0"/>
    <n v="0"/>
    <n v="0"/>
    <s v="Mini-Grant"/>
    <n v="0"/>
    <n v="0"/>
    <n v="0"/>
    <s v="n/a"/>
    <s v="n/a"/>
    <n v="0"/>
    <s v="Spring 2021"/>
    <n v="0"/>
    <n v="0"/>
    <n v="0"/>
    <n v="0"/>
    <n v="0"/>
    <n v="0"/>
    <n v="0"/>
    <n v="0"/>
    <s v="Mini-Grant"/>
    <n v="0"/>
    <n v="0"/>
    <n v="0"/>
    <n v="0"/>
    <n v="0"/>
    <n v="0"/>
    <s v="Spring 2021"/>
    <n v="0"/>
    <n v="0"/>
    <n v="0"/>
    <n v="0"/>
    <n v="0"/>
    <n v="0"/>
    <n v="0"/>
    <n v="0"/>
    <n v="0"/>
    <n v="0"/>
    <n v="0"/>
  </r>
  <r>
    <x v="423"/>
    <m/>
    <m/>
    <m/>
    <m/>
    <m/>
    <s v="18"/>
    <x v="8"/>
    <x v="0"/>
    <x v="4"/>
    <n v="25346"/>
    <s v="Fall 2021"/>
    <x v="315"/>
    <x v="308"/>
    <m/>
    <s v="BUSA 4980"/>
    <m/>
    <m/>
    <m/>
    <m/>
    <m/>
    <x v="6"/>
    <m/>
    <m/>
    <n v="150851.75"/>
    <n v="1035"/>
    <n v="145.75"/>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145.75"/>
    <n v="0"/>
    <s v="Fall 2021"/>
    <n v="0"/>
    <n v="0"/>
    <n v="0"/>
    <n v="0"/>
    <n v="0"/>
    <n v="0"/>
    <n v="0"/>
    <n v="0"/>
    <n v="0"/>
    <n v="0"/>
    <n v="0"/>
  </r>
  <r>
    <x v="424"/>
    <m/>
    <m/>
    <m/>
    <m/>
    <m/>
    <s v="18"/>
    <x v="8"/>
    <x v="0"/>
    <x v="1"/>
    <n v="24000"/>
    <s v="Fall 2021"/>
    <x v="159"/>
    <x v="161"/>
    <m/>
    <s v="IT 4853"/>
    <m/>
    <m/>
    <m/>
    <m/>
    <m/>
    <x v="6"/>
    <m/>
    <m/>
    <n v="47286.6"/>
    <n v="268"/>
    <n v="149.94999999999999"/>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199.95"/>
    <n v="0"/>
    <s v="Fall 2021"/>
    <n v="0"/>
    <n v="0"/>
    <n v="0"/>
    <n v="0"/>
    <n v="0"/>
    <n v="0"/>
    <n v="0"/>
    <n v="0"/>
    <n v="0"/>
    <n v="0"/>
    <n v="0"/>
  </r>
  <r>
    <x v="425"/>
    <m/>
    <m/>
    <m/>
    <m/>
    <m/>
    <s v="18"/>
    <x v="8"/>
    <x v="0"/>
    <x v="14"/>
    <n v="11000"/>
    <s v="Fall 2021"/>
    <x v="120"/>
    <x v="121"/>
    <m/>
    <s v="SMGT 2300"/>
    <m/>
    <m/>
    <m/>
    <m/>
    <m/>
    <x v="6"/>
    <m/>
    <m/>
    <n v="14190"/>
    <n v="110"/>
    <n v="129"/>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129"/>
    <n v="0"/>
    <s v="Fall 2021"/>
    <n v="0"/>
    <n v="0"/>
    <n v="0"/>
    <n v="0"/>
    <n v="0"/>
    <n v="0"/>
    <n v="0"/>
    <n v="0"/>
    <n v="0"/>
    <n v="0"/>
    <n v="0"/>
  </r>
  <r>
    <x v="426"/>
    <m/>
    <m/>
    <m/>
    <m/>
    <m/>
    <s v="18"/>
    <x v="8"/>
    <x v="0"/>
    <x v="23"/>
    <n v="7000"/>
    <s v="Fall 2021"/>
    <x v="316"/>
    <x v="309"/>
    <m/>
    <s v="ECON 2106 "/>
    <m/>
    <m/>
    <m/>
    <m/>
    <m/>
    <x v="6"/>
    <m/>
    <m/>
    <n v="60652.81"/>
    <n v="238.8"/>
    <n v="253.99"/>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253.99"/>
    <n v="0"/>
    <s v="Fall 2021"/>
    <n v="0"/>
    <n v="0"/>
    <n v="0"/>
    <n v="0"/>
    <n v="0"/>
    <n v="0"/>
    <n v="0"/>
    <n v="0"/>
    <n v="0"/>
    <n v="0"/>
    <n v="0"/>
  </r>
  <r>
    <x v="427"/>
    <m/>
    <m/>
    <m/>
    <m/>
    <m/>
    <s v="18"/>
    <x v="8"/>
    <x v="0"/>
    <x v="7"/>
    <n v="25500"/>
    <s v="Fall 2021"/>
    <x v="317"/>
    <x v="310"/>
    <m/>
    <s v="ELEM 6130"/>
    <m/>
    <m/>
    <m/>
    <m/>
    <m/>
    <x v="6"/>
    <m/>
    <m/>
    <n v="10623.75"/>
    <n v="294"/>
    <n v="35.412500000000001"/>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141.65"/>
    <n v="0"/>
    <s v="Fall 2021"/>
    <n v="0"/>
    <n v="0"/>
    <n v="0"/>
    <n v="0"/>
    <n v="0"/>
    <n v="0"/>
    <n v="0"/>
    <n v="0"/>
    <n v="0"/>
    <n v="0"/>
    <n v="0"/>
  </r>
  <r>
    <x v="428"/>
    <m/>
    <m/>
    <m/>
    <m/>
    <m/>
    <s v="18"/>
    <x v="8"/>
    <x v="0"/>
    <x v="17"/>
    <n v="26400"/>
    <s v="Fall 2021"/>
    <x v="318"/>
    <x v="311"/>
    <m/>
    <s v="PSYC 1101 "/>
    <m/>
    <m/>
    <m/>
    <m/>
    <m/>
    <x v="6"/>
    <m/>
    <m/>
    <n v="90432"/>
    <n v="960"/>
    <n v="94.2"/>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94.2"/>
    <n v="0"/>
    <s v="Fall 2021"/>
    <n v="0"/>
    <n v="0"/>
    <n v="0"/>
    <n v="0"/>
    <n v="0"/>
    <n v="0"/>
    <n v="0"/>
    <n v="0"/>
    <n v="0"/>
    <n v="0"/>
    <n v="0"/>
  </r>
  <r>
    <x v="429"/>
    <m/>
    <m/>
    <m/>
    <m/>
    <m/>
    <s v="18"/>
    <x v="8"/>
    <x v="0"/>
    <x v="21"/>
    <n v="15000"/>
    <s v="Fall 2021"/>
    <x v="319"/>
    <x v="312"/>
    <m/>
    <s v="MATH 2200 "/>
    <m/>
    <m/>
    <m/>
    <m/>
    <m/>
    <x v="6"/>
    <m/>
    <m/>
    <n v="61992"/>
    <n v="560"/>
    <n v="110.7"/>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110.7"/>
    <n v="0"/>
    <s v="Fall 2021"/>
    <n v="0"/>
    <n v="0"/>
    <n v="0"/>
    <n v="0"/>
    <n v="0"/>
    <n v="0"/>
    <n v="0"/>
    <n v="0"/>
    <n v="0"/>
    <n v="0"/>
    <n v="0"/>
  </r>
  <r>
    <x v="430"/>
    <m/>
    <m/>
    <m/>
    <m/>
    <m/>
    <s v="18"/>
    <x v="8"/>
    <x v="0"/>
    <x v="4"/>
    <n v="20000"/>
    <s v="Fall 2021"/>
    <x v="320"/>
    <x v="313"/>
    <m/>
    <s v="PSYC 2621"/>
    <m/>
    <m/>
    <m/>
    <m/>
    <m/>
    <x v="6"/>
    <m/>
    <m/>
    <n v="69264"/>
    <n v="558"/>
    <n v="159"/>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90"/>
    <n v="0"/>
    <s v="Fall 2021"/>
    <n v="0"/>
    <n v="0"/>
    <n v="0"/>
    <n v="0"/>
    <n v="0"/>
    <n v="0"/>
    <n v="0"/>
    <n v="0"/>
    <n v="0"/>
    <n v="0"/>
    <n v="0"/>
  </r>
  <r>
    <x v="431"/>
    <m/>
    <m/>
    <m/>
    <m/>
    <m/>
    <s v="18"/>
    <x v="8"/>
    <x v="0"/>
    <x v="4"/>
    <n v="30000"/>
    <s v="Fall 2021"/>
    <x v="321"/>
    <x v="189"/>
    <m/>
    <s v="CHEM 1211"/>
    <m/>
    <m/>
    <m/>
    <m/>
    <m/>
    <x v="6"/>
    <m/>
    <m/>
    <n v="115500"/>
    <n v="525"/>
    <n v="220"/>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220"/>
    <n v="0"/>
    <s v="Fall 2021"/>
    <n v="0"/>
    <n v="0"/>
    <n v="0"/>
    <n v="0"/>
    <n v="0"/>
    <n v="0"/>
    <n v="0"/>
    <n v="0"/>
    <n v="0"/>
    <n v="0"/>
    <n v="0"/>
  </r>
  <r>
    <x v="432"/>
    <m/>
    <m/>
    <m/>
    <m/>
    <m/>
    <s v="18"/>
    <x v="8"/>
    <x v="0"/>
    <x v="9"/>
    <n v="10000"/>
    <s v="Fall 2021"/>
    <x v="115"/>
    <x v="115"/>
    <m/>
    <s v="BIOL 1103"/>
    <m/>
    <m/>
    <m/>
    <m/>
    <m/>
    <x v="6"/>
    <m/>
    <m/>
    <n v="33295.5"/>
    <n v="294"/>
    <n v="113.25"/>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113.25"/>
    <n v="0"/>
    <s v="Fall 2021"/>
    <n v="0"/>
    <n v="0"/>
    <n v="0"/>
    <n v="0"/>
    <n v="0"/>
    <n v="0"/>
    <n v="0"/>
    <n v="0"/>
    <n v="0"/>
    <n v="0"/>
    <n v="0"/>
  </r>
  <r>
    <x v="433"/>
    <m/>
    <m/>
    <m/>
    <m/>
    <m/>
    <s v="18"/>
    <x v="8"/>
    <x v="0"/>
    <x v="11"/>
    <n v="25000"/>
    <s v="Fall 2021"/>
    <x v="322"/>
    <x v="314"/>
    <m/>
    <s v="CPSC 5135"/>
    <m/>
    <m/>
    <m/>
    <m/>
    <m/>
    <x v="6"/>
    <m/>
    <m/>
    <n v="25597.47"/>
    <n v="292"/>
    <n v="111.51749999999998"/>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187.95"/>
    <n v="0"/>
    <s v="Fall 2021"/>
    <n v="0"/>
    <n v="0"/>
    <n v="0"/>
    <n v="0"/>
    <n v="0"/>
    <n v="0"/>
    <n v="0"/>
    <n v="0"/>
    <n v="0"/>
    <n v="0"/>
    <n v="0"/>
  </r>
  <r>
    <x v="434"/>
    <m/>
    <m/>
    <m/>
    <m/>
    <m/>
    <s v="18"/>
    <x v="8"/>
    <x v="0"/>
    <x v="18"/>
    <n v="27550"/>
    <s v="Fall 2021"/>
    <x v="323"/>
    <x v="315"/>
    <m/>
    <s v="ASTR 1010"/>
    <m/>
    <m/>
    <m/>
    <m/>
    <m/>
    <x v="6"/>
    <m/>
    <m/>
    <n v="46641.3"/>
    <n v="294"/>
    <n v="127.13749999999999"/>
    <m/>
    <m/>
    <m/>
    <s v="Fall 2021"/>
    <m/>
    <m/>
    <m/>
    <m/>
    <n v="0"/>
    <m/>
    <m/>
    <n v="0"/>
    <n v="0"/>
    <n v="0"/>
    <n v="0"/>
    <n v="0"/>
    <m/>
    <n v="0"/>
    <m/>
    <n v="0"/>
    <m/>
    <m/>
    <m/>
    <m/>
    <m/>
    <m/>
    <m/>
    <m/>
    <m/>
    <m/>
    <m/>
    <m/>
    <n v="0"/>
    <n v="0"/>
    <n v="0"/>
    <n v="0"/>
    <x v="0"/>
    <n v="0"/>
    <n v="0"/>
    <n v="0"/>
    <n v="0"/>
    <n v="0"/>
    <n v="0"/>
    <n v="0"/>
    <n v="0"/>
    <n v="0"/>
    <n v="0"/>
    <n v="0"/>
    <n v="0"/>
    <n v="0"/>
    <n v="0"/>
    <s v="Continued"/>
    <n v="0"/>
    <n v="0"/>
    <n v="0"/>
    <n v="0"/>
    <n v="0"/>
    <n v="0"/>
    <s v="Fall 2021"/>
    <n v="0"/>
    <n v="0"/>
    <n v="0"/>
    <n v="0"/>
    <n v="0"/>
    <n v="0"/>
    <n v="0"/>
    <n v="0"/>
    <s v="Continued"/>
    <n v="0"/>
    <n v="0"/>
    <n v="0"/>
    <n v="0"/>
    <n v="230"/>
    <n v="0"/>
    <s v="Fall 2021"/>
    <n v="0"/>
    <n v="0"/>
    <n v="0"/>
    <n v="0"/>
    <n v="0"/>
    <n v="0"/>
    <n v="0"/>
    <n v="0"/>
    <n v="0"/>
    <n v="0"/>
    <n v="0"/>
  </r>
  <r>
    <x v="435"/>
    <m/>
    <m/>
    <m/>
    <m/>
    <m/>
    <s v="18"/>
    <x v="8"/>
    <x v="1"/>
    <x v="1"/>
    <n v="10000"/>
    <s v="Fall 2021"/>
    <x v="101"/>
    <x v="101"/>
    <m/>
    <s v="IT 6103 "/>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36"/>
    <m/>
    <m/>
    <m/>
    <m/>
    <m/>
    <s v="18"/>
    <x v="8"/>
    <x v="1"/>
    <x v="1"/>
    <n v="10000"/>
    <s v="Fall 2021"/>
    <x v="50"/>
    <x v="50"/>
    <m/>
    <s v="IT 4153 "/>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37"/>
    <m/>
    <m/>
    <m/>
    <m/>
    <m/>
    <s v="18"/>
    <x v="8"/>
    <x v="1"/>
    <x v="4"/>
    <n v="10000"/>
    <s v="Fall 2021"/>
    <x v="324"/>
    <x v="316"/>
    <m/>
    <s v="CIS 4850 "/>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38"/>
    <m/>
    <m/>
    <m/>
    <m/>
    <m/>
    <s v="18"/>
    <x v="8"/>
    <x v="1"/>
    <x v="14"/>
    <n v="4000"/>
    <s v="Fall 2021"/>
    <x v="261"/>
    <x v="135"/>
    <m/>
    <s v="HIST 1111 &amp; HIST 1112"/>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39"/>
    <m/>
    <m/>
    <m/>
    <m/>
    <m/>
    <s v="18"/>
    <x v="8"/>
    <x v="1"/>
    <x v="14"/>
    <n v="10000"/>
    <s v="Fall 2021"/>
    <x v="120"/>
    <x v="121"/>
    <m/>
    <s v="PHED 1010 "/>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40"/>
    <m/>
    <m/>
    <m/>
    <m/>
    <m/>
    <s v="18"/>
    <x v="8"/>
    <x v="1"/>
    <x v="14"/>
    <n v="9000"/>
    <s v="Fall 2021"/>
    <x v="120"/>
    <x v="121"/>
    <m/>
    <s v="BIOL 2190, PHED 2202"/>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41"/>
    <m/>
    <m/>
    <m/>
    <m/>
    <m/>
    <s v="18"/>
    <x v="8"/>
    <x v="1"/>
    <x v="7"/>
    <n v="10000"/>
    <s v="Fall 2021"/>
    <x v="255"/>
    <x v="249"/>
    <m/>
    <s v="Remote Mentoring of Undergraduate Research Students (ReMentURS)"/>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42"/>
    <m/>
    <m/>
    <m/>
    <m/>
    <m/>
    <s v="18"/>
    <x v="8"/>
    <x v="1"/>
    <x v="0"/>
    <n v="10000"/>
    <s v="Fall 2021"/>
    <x v="325"/>
    <x v="317"/>
    <m/>
    <s v="HIST IIII"/>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43"/>
    <m/>
    <m/>
    <m/>
    <m/>
    <m/>
    <s v="18"/>
    <x v="8"/>
    <x v="1"/>
    <x v="19"/>
    <n v="10000"/>
    <s v="Fall 2021"/>
    <x v="47"/>
    <x v="116"/>
    <m/>
    <s v="MATH 1101"/>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44"/>
    <m/>
    <m/>
    <m/>
    <m/>
    <m/>
    <s v="18"/>
    <x v="8"/>
    <x v="1"/>
    <x v="5"/>
    <n v="1500"/>
    <s v="Summer 2021"/>
    <x v="276"/>
    <x v="267"/>
    <m/>
    <s v="PHYS 1112K"/>
    <m/>
    <m/>
    <m/>
    <m/>
    <m/>
    <x v="6"/>
    <m/>
    <m/>
    <m/>
    <m/>
    <m/>
    <m/>
    <m/>
    <m/>
    <s v="n/a"/>
    <m/>
    <m/>
    <m/>
    <m/>
    <n v="0"/>
    <m/>
    <m/>
    <n v="0"/>
    <n v="0"/>
    <n v="0"/>
    <n v="0"/>
    <n v="0"/>
    <m/>
    <n v="0"/>
    <m/>
    <n v="0"/>
    <m/>
    <m/>
    <m/>
    <m/>
    <m/>
    <m/>
    <m/>
    <m/>
    <m/>
    <m/>
    <m/>
    <m/>
    <n v="0"/>
    <n v="0"/>
    <n v="0"/>
    <n v="0"/>
    <x v="4"/>
    <n v="0"/>
    <n v="0"/>
    <n v="0"/>
    <n v="0"/>
    <n v="0"/>
    <n v="0"/>
    <n v="0"/>
    <n v="0"/>
    <n v="0"/>
    <n v="0"/>
    <n v="0"/>
    <n v="0"/>
    <n v="0"/>
    <n v="0"/>
    <s v="Mini-Grant"/>
    <n v="0"/>
    <n v="0"/>
    <n v="0"/>
    <n v="0"/>
    <n v="0"/>
    <n v="0"/>
    <s v="Summer 2021"/>
    <n v="0"/>
    <n v="0"/>
    <n v="0"/>
    <n v="0"/>
    <n v="0"/>
    <n v="0"/>
    <n v="0"/>
    <n v="0"/>
    <s v="Mini-Grant"/>
    <n v="0"/>
    <n v="0"/>
    <n v="0"/>
    <n v="0"/>
    <n v="0"/>
    <n v="0"/>
    <s v="Summer 2021"/>
    <n v="0"/>
    <n v="0"/>
    <n v="0"/>
    <n v="0"/>
    <n v="0"/>
    <n v="0"/>
    <n v="0"/>
    <n v="0"/>
    <n v="0"/>
    <n v="0"/>
    <n v="0"/>
  </r>
  <r>
    <x v="445"/>
    <m/>
    <m/>
    <m/>
    <m/>
    <m/>
    <s v="18"/>
    <x v="8"/>
    <x v="1"/>
    <x v="14"/>
    <n v="6000"/>
    <s v="Summer 2021"/>
    <x v="326"/>
    <x v="318"/>
    <m/>
    <s v="BIOL 2161K"/>
    <m/>
    <m/>
    <m/>
    <m/>
    <m/>
    <x v="6"/>
    <m/>
    <m/>
    <m/>
    <m/>
    <m/>
    <m/>
    <m/>
    <m/>
    <s v="n/a"/>
    <m/>
    <m/>
    <m/>
    <m/>
    <n v="0"/>
    <m/>
    <m/>
    <n v="0"/>
    <n v="0"/>
    <n v="0"/>
    <n v="0"/>
    <n v="0"/>
    <m/>
    <n v="0"/>
    <m/>
    <n v="0"/>
    <m/>
    <m/>
    <m/>
    <m/>
    <m/>
    <m/>
    <m/>
    <m/>
    <m/>
    <m/>
    <m/>
    <m/>
    <n v="0"/>
    <n v="0"/>
    <n v="0"/>
    <n v="0"/>
    <x v="4"/>
    <n v="0"/>
    <n v="0"/>
    <n v="0"/>
    <n v="0"/>
    <n v="0"/>
    <n v="0"/>
    <n v="0"/>
    <n v="0"/>
    <n v="0"/>
    <n v="0"/>
    <n v="0"/>
    <n v="0"/>
    <n v="0"/>
    <n v="0"/>
    <s v="Mini-Grant"/>
    <n v="0"/>
    <n v="0"/>
    <n v="0"/>
    <n v="0"/>
    <n v="0"/>
    <n v="0"/>
    <s v="Summer 2021"/>
    <n v="0"/>
    <n v="0"/>
    <n v="0"/>
    <n v="0"/>
    <n v="0"/>
    <n v="0"/>
    <n v="0"/>
    <n v="0"/>
    <s v="Mini-Grant"/>
    <n v="0"/>
    <n v="0"/>
    <n v="0"/>
    <n v="0"/>
    <n v="0"/>
    <n v="0"/>
    <s v="Summer 2021"/>
    <n v="0"/>
    <n v="0"/>
    <n v="0"/>
    <n v="0"/>
    <n v="0"/>
    <n v="0"/>
    <n v="0"/>
    <n v="0"/>
    <n v="0"/>
    <n v="0"/>
    <n v="0"/>
  </r>
  <r>
    <x v="446"/>
    <m/>
    <m/>
    <m/>
    <m/>
    <m/>
    <s v="18"/>
    <x v="8"/>
    <x v="1"/>
    <x v="21"/>
    <n v="9594"/>
    <s v="Fall 2021"/>
    <x v="327"/>
    <x v="319"/>
    <m/>
    <s v="ITEC 3870"/>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47"/>
    <m/>
    <m/>
    <m/>
    <m/>
    <m/>
    <s v="18"/>
    <x v="8"/>
    <x v="1"/>
    <x v="24"/>
    <n v="10000"/>
    <s v="Fall 2021"/>
    <x v="328"/>
    <x v="320"/>
    <m/>
    <s v="FRSC 4630"/>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48"/>
    <m/>
    <m/>
    <m/>
    <m/>
    <m/>
    <s v="18"/>
    <x v="8"/>
    <x v="1"/>
    <x v="1"/>
    <n v="2800"/>
    <s v="Fall 2021"/>
    <x v="282"/>
    <x v="273"/>
    <m/>
    <s v="CS 4712 "/>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49"/>
    <m/>
    <m/>
    <m/>
    <m/>
    <m/>
    <s v="18"/>
    <x v="8"/>
    <x v="1"/>
    <x v="1"/>
    <n v="5300"/>
    <s v="Fall 2021"/>
    <x v="329"/>
    <x v="321"/>
    <m/>
    <s v="MUSI 1111 1112 2111 2112 "/>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r>
    <x v="450"/>
    <m/>
    <m/>
    <m/>
    <m/>
    <m/>
    <s v="18"/>
    <x v="8"/>
    <x v="1"/>
    <x v="23"/>
    <n v="5000"/>
    <s v="Summer 2021"/>
    <x v="189"/>
    <x v="185"/>
    <m/>
    <s v="CHEM1152"/>
    <m/>
    <m/>
    <m/>
    <m/>
    <m/>
    <x v="6"/>
    <m/>
    <m/>
    <m/>
    <m/>
    <m/>
    <m/>
    <m/>
    <m/>
    <s v="n/a"/>
    <m/>
    <m/>
    <m/>
    <m/>
    <n v="0"/>
    <m/>
    <m/>
    <n v="0"/>
    <n v="0"/>
    <n v="0"/>
    <n v="0"/>
    <n v="0"/>
    <m/>
    <n v="0"/>
    <m/>
    <n v="0"/>
    <m/>
    <m/>
    <m/>
    <m/>
    <m/>
    <m/>
    <m/>
    <m/>
    <m/>
    <m/>
    <m/>
    <m/>
    <n v="0"/>
    <n v="0"/>
    <n v="0"/>
    <n v="0"/>
    <x v="4"/>
    <n v="0"/>
    <n v="0"/>
    <n v="0"/>
    <n v="0"/>
    <n v="0"/>
    <n v="0"/>
    <n v="0"/>
    <n v="0"/>
    <n v="0"/>
    <n v="0"/>
    <n v="0"/>
    <n v="0"/>
    <n v="0"/>
    <n v="0"/>
    <s v="Mini-Grant"/>
    <n v="0"/>
    <n v="0"/>
    <n v="0"/>
    <n v="0"/>
    <n v="0"/>
    <n v="0"/>
    <s v="Summer 2021"/>
    <n v="0"/>
    <n v="0"/>
    <n v="0"/>
    <n v="0"/>
    <n v="0"/>
    <n v="0"/>
    <n v="0"/>
    <n v="0"/>
    <s v="Mini-Grant"/>
    <n v="0"/>
    <n v="0"/>
    <n v="0"/>
    <n v="0"/>
    <n v="0"/>
    <n v="0"/>
    <s v="Summer 2021"/>
    <n v="0"/>
    <n v="0"/>
    <n v="0"/>
    <n v="0"/>
    <n v="0"/>
    <n v="0"/>
    <n v="0"/>
    <n v="0"/>
    <n v="0"/>
    <n v="0"/>
    <n v="0"/>
  </r>
  <r>
    <x v="451"/>
    <m/>
    <m/>
    <m/>
    <m/>
    <m/>
    <s v="18"/>
    <x v="8"/>
    <x v="1"/>
    <x v="2"/>
    <n v="4075"/>
    <s v="Fall 2021"/>
    <x v="330"/>
    <x v="322"/>
    <m/>
    <s v="JURI4071; JURI4081"/>
    <m/>
    <m/>
    <m/>
    <m/>
    <m/>
    <x v="6"/>
    <m/>
    <m/>
    <m/>
    <m/>
    <m/>
    <m/>
    <m/>
    <m/>
    <s v="n/a"/>
    <m/>
    <m/>
    <m/>
    <m/>
    <n v="0"/>
    <m/>
    <m/>
    <n v="0"/>
    <n v="0"/>
    <n v="0"/>
    <n v="0"/>
    <n v="0"/>
    <m/>
    <n v="0"/>
    <m/>
    <n v="0"/>
    <m/>
    <m/>
    <m/>
    <m/>
    <m/>
    <m/>
    <m/>
    <m/>
    <m/>
    <m/>
    <m/>
    <m/>
    <n v="0"/>
    <n v="0"/>
    <n v="0"/>
    <n v="0"/>
    <x v="4"/>
    <n v="0"/>
    <n v="0"/>
    <n v="0"/>
    <n v="0"/>
    <n v="0"/>
    <n v="0"/>
    <n v="0"/>
    <n v="0"/>
    <n v="0"/>
    <n v="0"/>
    <n v="0"/>
    <n v="0"/>
    <n v="0"/>
    <n v="0"/>
    <s v="Mini-Grant"/>
    <n v="0"/>
    <n v="0"/>
    <n v="0"/>
    <n v="0"/>
    <n v="0"/>
    <n v="0"/>
    <s v="Fall 2021"/>
    <n v="0"/>
    <n v="0"/>
    <n v="0"/>
    <n v="0"/>
    <n v="0"/>
    <n v="0"/>
    <n v="0"/>
    <n v="0"/>
    <s v="Mini-Grant"/>
    <n v="0"/>
    <n v="0"/>
    <n v="0"/>
    <n v="0"/>
    <n v="0"/>
    <n v="0"/>
    <s v="Fall 2021"/>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2"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9:B10" firstHeaderRow="0" firstDataRow="1" firstDataCol="0"/>
  <pivotFields count="27">
    <pivotField showAll="0"/>
    <pivotField showAll="0"/>
    <pivotField showAll="0"/>
    <pivotField showAll="0"/>
    <pivotField showAll="0"/>
    <pivotField numFmtId="165" showAll="0"/>
    <pivotField showAll="0"/>
    <pivotField numFmtId="165" showAll="0"/>
    <pivotField showAll="0"/>
    <pivotField numFmtId="165" showAll="0"/>
    <pivotField showAll="0"/>
    <pivotField showAll="0"/>
    <pivotField showAll="0"/>
    <pivotField showAll="0"/>
    <pivotField numFmtId="165" showAll="0"/>
    <pivotField numFmtId="1" showAll="0"/>
    <pivotField numFmtId="1" showAll="0"/>
    <pivotField numFmtId="1" showAll="0"/>
    <pivotField numFmtId="1" showAll="0"/>
    <pivotField numFmtId="165" showAll="0"/>
    <pivotField numFmtId="1" showAll="0"/>
    <pivotField numFmtId="1" showAll="0"/>
    <pivotField numFmtId="1" showAll="0"/>
    <pivotField numFmtId="1" showAll="0"/>
    <pivotField numFmtId="165" showAll="0"/>
    <pivotField dataField="1" numFmtId="165" showAll="0"/>
    <pivotField dataField="1" numFmtId="1" showAll="0"/>
  </pivotFields>
  <rowItems count="1">
    <i/>
  </rowItems>
  <colFields count="1">
    <field x="-2"/>
  </colFields>
  <colItems count="2">
    <i>
      <x/>
    </i>
    <i i="1">
      <x v="1"/>
    </i>
  </colItems>
  <dataFields count="2">
    <dataField name="Total Students Affected" fld="26" baseField="0" baseItem="0" numFmtId="3"/>
    <dataField name="Total Textbook Cost Savings" fld="25" baseField="0" baseItem="0" numFmtId="165"/>
  </dataFields>
  <formats count="38">
    <format dxfId="1864">
      <pivotArea outline="0" collapsedLevelsAreSubtotals="1" fieldPosition="0">
        <references count="1">
          <reference field="4294967294" count="1" selected="0">
            <x v="1"/>
          </reference>
        </references>
      </pivotArea>
    </format>
    <format dxfId="1863">
      <pivotArea outline="0" collapsedLevelsAreSubtotals="1" fieldPosition="0">
        <references count="1">
          <reference field="4294967294" count="1" selected="0">
            <x v="1"/>
          </reference>
        </references>
      </pivotArea>
    </format>
    <format dxfId="1862">
      <pivotArea outline="0" collapsedLevelsAreSubtotals="1" fieldPosition="0">
        <references count="1">
          <reference field="4294967294" count="1" selected="0">
            <x v="0"/>
          </reference>
        </references>
      </pivotArea>
    </format>
    <format dxfId="1861">
      <pivotArea outline="0" collapsedLevelsAreSubtotals="1" fieldPosition="0">
        <references count="1">
          <reference field="4294967294" count="1" selected="0">
            <x v="0"/>
          </reference>
        </references>
      </pivotArea>
    </format>
    <format dxfId="1860">
      <pivotArea outline="0" collapsedLevelsAreSubtotals="1" fieldPosition="0">
        <references count="1">
          <reference field="4294967294" count="1" selected="0">
            <x v="0"/>
          </reference>
        </references>
      </pivotArea>
    </format>
    <format dxfId="1859">
      <pivotArea outline="0" collapsedLevelsAreSubtotals="1" fieldPosition="0"/>
    </format>
    <format dxfId="1858">
      <pivotArea type="all" dataOnly="0" outline="0" fieldPosition="0"/>
    </format>
    <format dxfId="1857">
      <pivotArea outline="0" collapsedLevelsAreSubtotals="1" fieldPosition="0"/>
    </format>
    <format dxfId="1856">
      <pivotArea dataOnly="0" labelOnly="1" outline="0" fieldPosition="0">
        <references count="1">
          <reference field="4294967294" count="2">
            <x v="0"/>
            <x v="1"/>
          </reference>
        </references>
      </pivotArea>
    </format>
    <format dxfId="1855">
      <pivotArea type="all" dataOnly="0" outline="0" fieldPosition="0"/>
    </format>
    <format dxfId="1854">
      <pivotArea outline="0" collapsedLevelsAreSubtotals="1" fieldPosition="0"/>
    </format>
    <format dxfId="1853">
      <pivotArea dataOnly="0" labelOnly="1" outline="0" fieldPosition="0">
        <references count="1">
          <reference field="4294967294" count="2">
            <x v="0"/>
            <x v="1"/>
          </reference>
        </references>
      </pivotArea>
    </format>
    <format dxfId="1852">
      <pivotArea type="all" dataOnly="0" outline="0" fieldPosition="0"/>
    </format>
    <format dxfId="1851">
      <pivotArea outline="0" collapsedLevelsAreSubtotals="1" fieldPosition="0"/>
    </format>
    <format dxfId="1850">
      <pivotArea dataOnly="0" labelOnly="1" outline="0" fieldPosition="0">
        <references count="1">
          <reference field="4294967294" count="2">
            <x v="0"/>
            <x v="1"/>
          </reference>
        </references>
      </pivotArea>
    </format>
    <format dxfId="1849">
      <pivotArea outline="0" collapsedLevelsAreSubtotals="1" fieldPosition="0">
        <references count="1">
          <reference field="4294967294" count="1" selected="0">
            <x v="0"/>
          </reference>
        </references>
      </pivotArea>
    </format>
    <format dxfId="1848">
      <pivotArea outline="0" collapsedLevelsAreSubtotals="1" fieldPosition="0">
        <references count="1">
          <reference field="4294967294" count="1" selected="0">
            <x v="0"/>
          </reference>
        </references>
      </pivotArea>
    </format>
    <format dxfId="1847">
      <pivotArea outline="0" collapsedLevelsAreSubtotals="1" fieldPosition="0">
        <references count="1">
          <reference field="4294967294" count="1" selected="0">
            <x v="0"/>
          </reference>
        </references>
      </pivotArea>
    </format>
    <format dxfId="1846">
      <pivotArea outline="0" collapsedLevelsAreSubtotals="1" fieldPosition="0"/>
    </format>
    <format dxfId="1845">
      <pivotArea type="all" dataOnly="0" outline="0" fieldPosition="0"/>
    </format>
    <format dxfId="1844">
      <pivotArea outline="0" collapsedLevelsAreSubtotals="1" fieldPosition="0"/>
    </format>
    <format dxfId="1843">
      <pivotArea dataOnly="0" labelOnly="1" outline="0" fieldPosition="0">
        <references count="1">
          <reference field="4294967294" count="2">
            <x v="0"/>
            <x v="1"/>
          </reference>
        </references>
      </pivotArea>
    </format>
    <format dxfId="1842">
      <pivotArea type="all" dataOnly="0" outline="0" fieldPosition="0"/>
    </format>
    <format dxfId="1841">
      <pivotArea outline="0" collapsedLevelsAreSubtotals="1" fieldPosition="0"/>
    </format>
    <format dxfId="1840">
      <pivotArea dataOnly="0" labelOnly="1" outline="0" fieldPosition="0">
        <references count="1">
          <reference field="4294967294" count="2">
            <x v="0"/>
            <x v="1"/>
          </reference>
        </references>
      </pivotArea>
    </format>
    <format dxfId="1839">
      <pivotArea outline="0" collapsedLevelsAreSubtotals="1" fieldPosition="0">
        <references count="1">
          <reference field="4294967294" count="1" selected="0">
            <x v="0"/>
          </reference>
        </references>
      </pivotArea>
    </format>
    <format dxfId="1838">
      <pivotArea outline="0" collapsedLevelsAreSubtotals="1" fieldPosition="0">
        <references count="1">
          <reference field="4294967294" count="1" selected="0">
            <x v="0"/>
          </reference>
        </references>
      </pivotArea>
    </format>
    <format dxfId="1837">
      <pivotArea outline="0" collapsedLevelsAreSubtotals="1" fieldPosition="0">
        <references count="1">
          <reference field="4294967294" count="1" selected="0">
            <x v="0"/>
          </reference>
        </references>
      </pivotArea>
    </format>
    <format dxfId="1836">
      <pivotArea outline="0" collapsedLevelsAreSubtotals="1" fieldPosition="0">
        <references count="1">
          <reference field="4294967294" count="1" selected="0">
            <x v="0"/>
          </reference>
        </references>
      </pivotArea>
    </format>
    <format dxfId="1835">
      <pivotArea outline="0" collapsedLevelsAreSubtotals="1" fieldPosition="0">
        <references count="1">
          <reference field="4294967294" count="1" selected="0">
            <x v="0"/>
          </reference>
        </references>
      </pivotArea>
    </format>
    <format dxfId="1834">
      <pivotArea outline="0" collapsedLevelsAreSubtotals="1" fieldPosition="0">
        <references count="1">
          <reference field="4294967294" count="1" selected="0">
            <x v="0"/>
          </reference>
        </references>
      </pivotArea>
    </format>
    <format dxfId="1833">
      <pivotArea outline="0" collapsedLevelsAreSubtotals="1" fieldPosition="0">
        <references count="1">
          <reference field="4294967294" count="1" selected="0">
            <x v="0"/>
          </reference>
        </references>
      </pivotArea>
    </format>
    <format dxfId="1832">
      <pivotArea outline="0" collapsedLevelsAreSubtotals="1" fieldPosition="0">
        <references count="1">
          <reference field="4294967294" count="1" selected="0">
            <x v="0"/>
          </reference>
        </references>
      </pivotArea>
    </format>
    <format dxfId="1831">
      <pivotArea outline="0" collapsedLevelsAreSubtotals="1" fieldPosition="0">
        <references count="1">
          <reference field="4294967294" count="1" selected="0">
            <x v="0"/>
          </reference>
        </references>
      </pivotArea>
    </format>
    <format dxfId="1830">
      <pivotArea type="all" dataOnly="0" outline="0" fieldPosition="0"/>
    </format>
    <format dxfId="1829">
      <pivotArea outline="0" collapsedLevelsAreSubtotals="1" fieldPosition="0"/>
    </format>
    <format dxfId="1828">
      <pivotArea dataOnly="0" labelOnly="1" outline="0" fieldPosition="0">
        <references count="1">
          <reference field="4294967294" count="2">
            <x v="0"/>
            <x v="1"/>
          </reference>
        </references>
      </pivotArea>
    </format>
    <format dxfId="1827">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1E7B903-B65F-4D9E-A5C3-947315E159BB}" name="PivotTable4" cacheId="1" applyNumberFormats="0" applyBorderFormats="0" applyFontFormats="0" applyPatternFormats="0" applyAlignmentFormats="0" applyWidthHeightFormats="1" dataCaption="Values" updatedVersion="6" minRefreshableVersion="3" useAutoFormatting="1" itemPrintTitles="1" createdVersion="6" indent="0" showHeaders="0" outline="1" outlineData="1" multipleFieldFilters="0">
  <location ref="C16:C17" firstHeaderRow="1" firstDataRow="1" firstDataCol="0" rowPageCount="1" colPageCount="1"/>
  <pivotFields count="113">
    <pivotField showAll="0"/>
    <pivotField showAll="0"/>
    <pivotField showAll="0"/>
    <pivotField showAll="0"/>
    <pivotField showAll="0"/>
    <pivotField showAll="0"/>
    <pivotField showAll="0"/>
    <pivotField showAll="0"/>
    <pivotField axis="axisPage" multipleItemSelectionAllowed="1" showAll="0">
      <items count="5">
        <item h="1" x="1"/>
        <item m="1" x="3"/>
        <item x="0"/>
        <item h="1" m="1" x="2"/>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numFmtId="3" showAll="0"/>
    <pivotField numFmtId="165"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numFmtId="1" showAll="0"/>
    <pivotField showAll="0"/>
    <pivotField showAll="0"/>
    <pivotField showAll="0"/>
    <pivotField showAll="0"/>
    <pivotField showAll="0"/>
    <pivotField numFmtId="1" showAll="0"/>
    <pivotField showAll="0"/>
    <pivotField showAll="0"/>
    <pivotField showAll="0"/>
    <pivotField showAll="0"/>
    <pivotField numFmtId="165" showAll="0"/>
    <pivotField showAll="0"/>
    <pivotField showAll="0"/>
    <pivotField showAll="0"/>
    <pivotField numFmtId="165" showAll="0"/>
    <pivotField showAll="0"/>
    <pivotField numFmtId="165" showAll="0"/>
    <pivotField numFmtId="1" showAll="0"/>
    <pivotField showAll="0"/>
    <pivotField showAll="0"/>
  </pivotFields>
  <rowItems count="1">
    <i/>
  </rowItems>
  <colItems count="1">
    <i/>
  </colItems>
  <pageFields count="1">
    <pageField fld="8" hier="-1"/>
  </pageFields>
  <dataFields count="1">
    <dataField name="Total Grants Awarded (excluding Mini-Grants) " fld="10" baseField="0" baseItem="0" numFmtId="165"/>
  </dataFields>
  <formats count="10">
    <format dxfId="1874">
      <pivotArea outline="0" collapsedLevelsAreSubtotals="1" fieldPosition="0"/>
    </format>
    <format dxfId="1873">
      <pivotArea dataOnly="0" labelOnly="1" outline="0" axis="axisValues" fieldPosition="0"/>
    </format>
    <format dxfId="1872">
      <pivotArea dataOnly="0" labelOnly="1" outline="0" axis="axisValues" fieldPosition="0"/>
    </format>
    <format dxfId="1871">
      <pivotArea outline="0" collapsedLevelsAreSubtotals="1" fieldPosition="0"/>
    </format>
    <format dxfId="1870">
      <pivotArea outline="0" collapsedLevelsAreSubtotals="1" fieldPosition="0"/>
    </format>
    <format dxfId="1869">
      <pivotArea outline="0" collapsedLevelsAreSubtotals="1" fieldPosition="0"/>
    </format>
    <format dxfId="1868">
      <pivotArea type="all" dataOnly="0" outline="0" fieldPosition="0"/>
    </format>
    <format dxfId="1867">
      <pivotArea outline="0" collapsedLevelsAreSubtotals="1" fieldPosition="0"/>
    </format>
    <format dxfId="1866">
      <pivotArea dataOnly="0" labelOnly="1" outline="0" axis="axisValues" fieldPosition="0"/>
    </format>
    <format dxfId="186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5:B6" firstHeaderRow="0" firstDataRow="1" firstDataCol="0"/>
  <pivotFields count="113">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numFmtId="1" showAll="0"/>
    <pivotField showAll="0"/>
    <pivotField showAll="0"/>
    <pivotField showAll="0"/>
    <pivotField showAll="0"/>
    <pivotField showAll="0"/>
    <pivotField numFmtId="1" showAll="0"/>
    <pivotField showAll="0"/>
    <pivotField showAll="0"/>
    <pivotField showAll="0"/>
    <pivotField showAll="0"/>
    <pivotField numFmtId="165" showAll="0"/>
    <pivotField showAll="0"/>
    <pivotField showAll="0"/>
    <pivotField showAll="0"/>
    <pivotField numFmtId="165" showAll="0"/>
    <pivotField showAll="0"/>
    <pivotField numFmtId="165" showAll="0"/>
    <pivotField dataField="1" showAll="0"/>
    <pivotField dataField="1" showAll="0"/>
    <pivotField numFmtId="165" showAll="0" defaultSubtotal="0"/>
  </pivotFields>
  <rowItems count="1">
    <i/>
  </rowItems>
  <colFields count="1">
    <field x="-2"/>
  </colFields>
  <colItems count="2">
    <i>
      <x/>
    </i>
    <i i="1">
      <x v="1"/>
    </i>
  </colItems>
  <dataFields count="2">
    <dataField name="Total Students Affected" fld="110" baseField="0" baseItem="642670944" numFmtId="3"/>
    <dataField name="Total Textbook Cost Savings" fld="111" baseField="0" baseItem="1" numFmtId="165"/>
  </dataFields>
  <formats count="29">
    <format dxfId="1903">
      <pivotArea outline="0" collapsedLevelsAreSubtotals="1" fieldPosition="0">
        <references count="1">
          <reference field="4294967294" count="1" selected="0">
            <x v="1"/>
          </reference>
        </references>
      </pivotArea>
    </format>
    <format dxfId="1902">
      <pivotArea outline="0" collapsedLevelsAreSubtotals="1" fieldPosition="0">
        <references count="1">
          <reference field="4294967294" count="1" selected="0">
            <x v="0"/>
          </reference>
        </references>
      </pivotArea>
    </format>
    <format dxfId="1901">
      <pivotArea outline="0" collapsedLevelsAreSubtotals="1" fieldPosition="0">
        <references count="1">
          <reference field="4294967294" count="1" selected="0">
            <x v="0"/>
          </reference>
        </references>
      </pivotArea>
    </format>
    <format dxfId="1900">
      <pivotArea outline="0" collapsedLevelsAreSubtotals="1" fieldPosition="0">
        <references count="1">
          <reference field="4294967294" count="1" selected="0">
            <x v="0"/>
          </reference>
        </references>
      </pivotArea>
    </format>
    <format dxfId="1899">
      <pivotArea outline="0" collapsedLevelsAreSubtotals="1" fieldPosition="0">
        <references count="1">
          <reference field="4294967294" count="1" selected="0">
            <x v="0"/>
          </reference>
        </references>
      </pivotArea>
    </format>
    <format dxfId="1898">
      <pivotArea type="all" dataOnly="0" outline="0" fieldPosition="0"/>
    </format>
    <format dxfId="1897">
      <pivotArea outline="0" collapsedLevelsAreSubtotals="1" fieldPosition="0"/>
    </format>
    <format dxfId="1896">
      <pivotArea dataOnly="0" labelOnly="1" outline="0" fieldPosition="0">
        <references count="1">
          <reference field="4294967294" count="2">
            <x v="0"/>
            <x v="1"/>
          </reference>
        </references>
      </pivotArea>
    </format>
    <format dxfId="1895">
      <pivotArea outline="0" collapsedLevelsAreSubtotals="1" fieldPosition="0">
        <references count="1">
          <reference field="4294967294" count="1" selected="0">
            <x v="0"/>
          </reference>
        </references>
      </pivotArea>
    </format>
    <format dxfId="1894">
      <pivotArea outline="0" collapsedLevelsAreSubtotals="1" fieldPosition="0">
        <references count="1">
          <reference field="4294967294" count="1" selected="0">
            <x v="0"/>
          </reference>
        </references>
      </pivotArea>
    </format>
    <format dxfId="1893">
      <pivotArea outline="0" collapsedLevelsAreSubtotals="1" fieldPosition="0">
        <references count="1">
          <reference field="4294967294" count="1" selected="0">
            <x v="0"/>
          </reference>
        </references>
      </pivotArea>
    </format>
    <format dxfId="1892">
      <pivotArea outline="0" collapsedLevelsAreSubtotals="1" fieldPosition="0"/>
    </format>
    <format dxfId="1891">
      <pivotArea outline="0" collapsedLevelsAreSubtotals="1" fieldPosition="0">
        <references count="1">
          <reference field="4294967294" count="1" selected="0">
            <x v="0"/>
          </reference>
        </references>
      </pivotArea>
    </format>
    <format dxfId="1890">
      <pivotArea type="all" dataOnly="0" outline="0" fieldPosition="0"/>
    </format>
    <format dxfId="1889">
      <pivotArea outline="0" collapsedLevelsAreSubtotals="1" fieldPosition="0"/>
    </format>
    <format dxfId="1888">
      <pivotArea dataOnly="0" labelOnly="1" outline="0" fieldPosition="0">
        <references count="1">
          <reference field="4294967294" count="2">
            <x v="0"/>
            <x v="1"/>
          </reference>
        </references>
      </pivotArea>
    </format>
    <format dxfId="1887">
      <pivotArea type="all" dataOnly="0" outline="0" fieldPosition="0"/>
    </format>
    <format dxfId="1886">
      <pivotArea outline="0" collapsedLevelsAreSubtotals="1" fieldPosition="0"/>
    </format>
    <format dxfId="1885">
      <pivotArea dataOnly="0" labelOnly="1" outline="0" fieldPosition="0">
        <references count="1">
          <reference field="4294967294" count="2">
            <x v="0"/>
            <x v="1"/>
          </reference>
        </references>
      </pivotArea>
    </format>
    <format dxfId="1884">
      <pivotArea outline="0" collapsedLevelsAreSubtotals="1" fieldPosition="0">
        <references count="1">
          <reference field="4294967294" count="1" selected="0">
            <x v="0"/>
          </reference>
        </references>
      </pivotArea>
    </format>
    <format dxfId="1883">
      <pivotArea outline="0" collapsedLevelsAreSubtotals="1" fieldPosition="0">
        <references count="1">
          <reference field="4294967294" count="1" selected="0">
            <x v="0"/>
          </reference>
        </references>
      </pivotArea>
    </format>
    <format dxfId="1882">
      <pivotArea outline="0" collapsedLevelsAreSubtotals="1" fieldPosition="0">
        <references count="1">
          <reference field="4294967294" count="1" selected="0">
            <x v="0"/>
          </reference>
        </references>
      </pivotArea>
    </format>
    <format dxfId="1881">
      <pivotArea outline="0" collapsedLevelsAreSubtotals="1" fieldPosition="0">
        <references count="1">
          <reference field="4294967294" count="1" selected="0">
            <x v="0"/>
          </reference>
        </references>
      </pivotArea>
    </format>
    <format dxfId="1880">
      <pivotArea outline="0" collapsedLevelsAreSubtotals="1" fieldPosition="0">
        <references count="1">
          <reference field="4294967294" count="1" selected="0">
            <x v="0"/>
          </reference>
        </references>
      </pivotArea>
    </format>
    <format dxfId="1879">
      <pivotArea outline="0" collapsedLevelsAreSubtotals="1" fieldPosition="0">
        <references count="1">
          <reference field="4294967294" count="1" selected="0">
            <x v="0"/>
          </reference>
        </references>
      </pivotArea>
    </format>
    <format dxfId="1878">
      <pivotArea type="all" dataOnly="0" outline="0" fieldPosition="0"/>
    </format>
    <format dxfId="1877">
      <pivotArea outline="0" collapsedLevelsAreSubtotals="1" fieldPosition="0"/>
    </format>
    <format dxfId="1876">
      <pivotArea dataOnly="0" labelOnly="1" outline="0" fieldPosition="0">
        <references count="1">
          <reference field="4294967294" count="2">
            <x v="0"/>
            <x v="1"/>
          </reference>
        </references>
      </pivotArea>
    </format>
    <format dxfId="1875">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C583ABC-30EE-4CD9-9949-DF47B1F7695B}"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B1123" firstHeaderRow="1" firstDataRow="1" firstDataCol="1"/>
  <pivotFields count="113">
    <pivotField axis="axisRow" showAll="0">
      <items count="454">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8"/>
        <item x="79"/>
        <item x="80"/>
        <item x="81"/>
        <item x="82"/>
        <item x="83"/>
        <item x="84"/>
        <item x="85"/>
        <item x="86"/>
        <item x="87"/>
        <item x="88"/>
        <item x="89"/>
        <item x="90"/>
        <item x="91"/>
        <item x="92"/>
        <item x="93"/>
        <item x="94"/>
        <item x="95"/>
        <item x="96"/>
        <item x="97"/>
        <item x="98"/>
        <item x="99"/>
        <item x="102"/>
        <item x="103"/>
        <item x="104"/>
        <item x="105"/>
        <item x="106"/>
        <item x="107"/>
        <item x="108"/>
        <item x="109"/>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6"/>
        <item x="157"/>
        <item x="158"/>
        <item x="159"/>
        <item x="160"/>
        <item x="161"/>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32"/>
        <item x="233"/>
        <item x="234"/>
        <item x="235"/>
        <item x="236"/>
        <item x="237"/>
        <item x="238"/>
        <item x="239"/>
        <item x="240"/>
        <item x="241"/>
        <item x="242"/>
        <item x="243"/>
        <item x="244"/>
        <item x="245"/>
        <item x="246"/>
        <item x="247"/>
        <item x="248"/>
        <item x="249"/>
        <item x="250"/>
        <item x="276"/>
        <item x="277"/>
        <item x="278"/>
        <item x="279"/>
        <item x="280"/>
        <item x="281"/>
        <item x="282"/>
        <item x="283"/>
        <item x="284"/>
        <item x="285"/>
        <item x="286"/>
        <item x="287"/>
        <item x="288"/>
        <item x="289"/>
        <item x="290"/>
        <item x="291"/>
        <item x="292"/>
        <item x="293"/>
        <item x="294"/>
        <item x="309"/>
        <item x="310"/>
        <item x="311"/>
        <item x="312"/>
        <item x="313"/>
        <item x="314"/>
        <item x="315"/>
        <item x="316"/>
        <item x="317"/>
        <item x="318"/>
        <item x="319"/>
        <item x="320"/>
        <item x="321"/>
        <item x="322"/>
        <item x="323"/>
        <item x="324"/>
        <item x="325"/>
        <item x="326"/>
        <item x="327"/>
        <item x="328"/>
        <item x="329"/>
        <item x="330"/>
        <item x="331"/>
        <item x="332"/>
        <item x="349"/>
        <item x="350"/>
        <item x="351"/>
        <item x="352"/>
        <item x="353"/>
        <item x="354"/>
        <item x="355"/>
        <item x="356"/>
        <item x="357"/>
        <item x="358"/>
        <item x="359"/>
        <item x="360"/>
        <item x="361"/>
        <item x="362"/>
        <item x="363"/>
        <item x="364"/>
        <item x="365"/>
        <item x="377"/>
        <item m="1" x="452"/>
        <item x="380"/>
        <item x="381"/>
        <item x="382"/>
        <item x="383"/>
        <item x="384"/>
        <item x="385"/>
        <item x="386"/>
        <item x="387"/>
        <item x="388"/>
        <item x="389"/>
        <item x="39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76"/>
        <item x="77"/>
        <item x="100"/>
        <item x="101"/>
        <item x="110"/>
        <item x="111"/>
        <item x="112"/>
        <item x="113"/>
        <item x="114"/>
        <item x="115"/>
        <item x="154"/>
        <item x="155"/>
        <item x="227"/>
        <item x="228"/>
        <item x="229"/>
        <item x="230"/>
        <item x="231"/>
        <item x="270"/>
        <item x="271"/>
        <item x="272"/>
        <item x="273"/>
        <item x="274"/>
        <item x="275"/>
        <item x="183"/>
        <item x="184"/>
        <item x="185"/>
        <item x="186"/>
        <item x="187"/>
        <item x="188"/>
        <item x="189"/>
        <item x="190"/>
        <item x="191"/>
        <item x="208"/>
        <item x="209"/>
        <item x="210"/>
        <item x="211"/>
        <item x="212"/>
        <item x="213"/>
        <item x="214"/>
        <item x="215"/>
        <item x="216"/>
        <item x="217"/>
        <item x="218"/>
        <item x="219"/>
        <item x="220"/>
        <item x="221"/>
        <item x="222"/>
        <item x="223"/>
        <item x="224"/>
        <item x="225"/>
        <item x="226"/>
        <item x="251"/>
        <item x="252"/>
        <item x="253"/>
        <item x="254"/>
        <item x="255"/>
        <item x="256"/>
        <item x="257"/>
        <item x="258"/>
        <item x="259"/>
        <item x="260"/>
        <item x="261"/>
        <item x="262"/>
        <item x="263"/>
        <item x="264"/>
        <item x="265"/>
        <item x="266"/>
        <item x="267"/>
        <item x="268"/>
        <item x="269"/>
        <item x="295"/>
        <item x="296"/>
        <item x="297"/>
        <item x="298"/>
        <item x="299"/>
        <item x="300"/>
        <item x="301"/>
        <item x="302"/>
        <item x="303"/>
        <item x="304"/>
        <item x="305"/>
        <item x="306"/>
        <item x="307"/>
        <item x="308"/>
        <item x="366"/>
        <item x="367"/>
        <item x="368"/>
        <item x="369"/>
        <item x="370"/>
        <item x="371"/>
        <item x="372"/>
        <item x="373"/>
        <item x="374"/>
        <item x="375"/>
        <item x="376"/>
        <item x="391"/>
        <item x="392"/>
        <item x="393"/>
        <item x="394"/>
        <item x="395"/>
        <item x="396"/>
        <item x="397"/>
        <item x="398"/>
        <item x="399"/>
        <item x="400"/>
        <item x="333"/>
        <item x="334"/>
        <item x="335"/>
        <item x="336"/>
        <item x="337"/>
        <item x="338"/>
        <item x="339"/>
        <item x="340"/>
        <item x="341"/>
        <item x="342"/>
        <item x="343"/>
        <item x="344"/>
        <item x="345"/>
        <item x="346"/>
        <item x="347"/>
        <item x="348"/>
        <item x="378"/>
        <item x="379"/>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334">
        <item x="212"/>
        <item x="82"/>
        <item x="21"/>
        <item x="175"/>
        <item x="105"/>
        <item x="129"/>
        <item x="173"/>
        <item x="24"/>
        <item x="72"/>
        <item x="198"/>
        <item x="216"/>
        <item x="142"/>
        <item x="189"/>
        <item x="192"/>
        <item x="17"/>
        <item x="9"/>
        <item x="56"/>
        <item x="102"/>
        <item x="144"/>
        <item x="20"/>
        <item x="227"/>
        <item x="247"/>
        <item x="180"/>
        <item x="170"/>
        <item x="116"/>
        <item x="55"/>
        <item x="294"/>
        <item x="259"/>
        <item x="202"/>
        <item x="191"/>
        <item x="58"/>
        <item x="4"/>
        <item x="113"/>
        <item x="252"/>
        <item x="94"/>
        <item x="160"/>
        <item x="1"/>
        <item x="196"/>
        <item x="64"/>
        <item x="80"/>
        <item x="273"/>
        <item x="96"/>
        <item x="163"/>
        <item m="1" x="331"/>
        <item x="40"/>
        <item x="22"/>
        <item x="91"/>
        <item x="75"/>
        <item x="101"/>
        <item x="57"/>
        <item x="100"/>
        <item x="7"/>
        <item x="290"/>
        <item x="228"/>
        <item x="124"/>
        <item x="241"/>
        <item x="117"/>
        <item x="130"/>
        <item x="193"/>
        <item x="250"/>
        <item x="213"/>
        <item x="121"/>
        <item x="68"/>
        <item x="256"/>
        <item x="126"/>
        <item x="187"/>
        <item x="236"/>
        <item x="60"/>
        <item x="110"/>
        <item x="85"/>
        <item x="232"/>
        <item x="89"/>
        <item x="266"/>
        <item x="141"/>
        <item x="112"/>
        <item x="178"/>
        <item x="206"/>
        <item x="161"/>
        <item x="235"/>
        <item x="54"/>
        <item x="172"/>
        <item x="237"/>
        <item x="263"/>
        <item x="181"/>
        <item x="171"/>
        <item x="86"/>
        <item x="145"/>
        <item x="79"/>
        <item x="230"/>
        <item x="138"/>
        <item x="128"/>
        <item x="114"/>
        <item x="174"/>
        <item x="288"/>
        <item x="99"/>
        <item x="48"/>
        <item x="61"/>
        <item x="221"/>
        <item x="23"/>
        <item x="229"/>
        <item x="199"/>
        <item x="103"/>
        <item x="214"/>
        <item x="179"/>
        <item x="119"/>
        <item x="53"/>
        <item x="36"/>
        <item x="127"/>
        <item x="211"/>
        <item x="291"/>
        <item x="219"/>
        <item x="209"/>
        <item x="254"/>
        <item x="185"/>
        <item x="66"/>
        <item x="268"/>
        <item x="244"/>
        <item x="168"/>
        <item x="167"/>
        <item x="279"/>
        <item x="132"/>
        <item x="215"/>
        <item x="11"/>
        <item x="234"/>
        <item x="122"/>
        <item x="136"/>
        <item x="93"/>
        <item x="261"/>
        <item x="133"/>
        <item x="154"/>
        <item x="76"/>
        <item x="177"/>
        <item x="59"/>
        <item x="207"/>
        <item x="41"/>
        <item x="147"/>
        <item x="34"/>
        <item x="104"/>
        <item x="77"/>
        <item x="243"/>
        <item x="46"/>
        <item x="87"/>
        <item x="280"/>
        <item x="157"/>
        <item x="10"/>
        <item x="182"/>
        <item x="274"/>
        <item x="0"/>
        <item x="292"/>
        <item x="153"/>
        <item x="84"/>
        <item x="240"/>
        <item x="156"/>
        <item x="44"/>
        <item x="97"/>
        <item x="164"/>
        <item x="52"/>
        <item x="265"/>
        <item x="225"/>
        <item x="201"/>
        <item x="143"/>
        <item x="2"/>
        <item x="123"/>
        <item x="118"/>
        <item x="50"/>
        <item x="204"/>
        <item x="152"/>
        <item x="287"/>
        <item x="165"/>
        <item x="239"/>
        <item x="120"/>
        <item x="299"/>
        <item x="223"/>
        <item x="3"/>
        <item x="25"/>
        <item x="245"/>
        <item x="26"/>
        <item x="108"/>
        <item x="28"/>
        <item x="262"/>
        <item x="83"/>
        <item x="81"/>
        <item x="203"/>
        <item m="1" x="332"/>
        <item x="115"/>
        <item x="27"/>
        <item x="49"/>
        <item x="106"/>
        <item x="150"/>
        <item x="257"/>
        <item x="71"/>
        <item x="15"/>
        <item x="267"/>
        <item x="176"/>
        <item x="19"/>
        <item x="88"/>
        <item x="260"/>
        <item x="18"/>
        <item x="5"/>
        <item x="217"/>
        <item x="210"/>
        <item x="74"/>
        <item x="258"/>
        <item x="162"/>
        <item x="278"/>
        <item x="149"/>
        <item x="208"/>
        <item x="137"/>
        <item x="188"/>
        <item x="218"/>
        <item x="194"/>
        <item x="285"/>
        <item x="231"/>
        <item x="242"/>
        <item x="249"/>
        <item x="298"/>
        <item x="183"/>
        <item x="159"/>
        <item x="42"/>
        <item x="197"/>
        <item x="35"/>
        <item x="43"/>
        <item x="270"/>
        <item x="226"/>
        <item x="169"/>
        <item x="39"/>
        <item x="47"/>
        <item x="277"/>
        <item x="45"/>
        <item x="205"/>
        <item x="155"/>
        <item x="282"/>
        <item x="134"/>
        <item x="73"/>
        <item x="125"/>
        <item x="246"/>
        <item x="14"/>
        <item x="276"/>
        <item x="255"/>
        <item x="109"/>
        <item x="271"/>
        <item x="275"/>
        <item x="90"/>
        <item x="146"/>
        <item x="31"/>
        <item x="67"/>
        <item x="224"/>
        <item x="220"/>
        <item x="166"/>
        <item x="295"/>
        <item x="107"/>
        <item x="269"/>
        <item x="200"/>
        <item x="63"/>
        <item x="140"/>
        <item x="286"/>
        <item x="195"/>
        <item x="38"/>
        <item x="32"/>
        <item x="69"/>
        <item x="184"/>
        <item x="33"/>
        <item x="158"/>
        <item x="16"/>
        <item x="296"/>
        <item x="30"/>
        <item x="238"/>
        <item x="62"/>
        <item x="297"/>
        <item x="264"/>
        <item x="65"/>
        <item x="135"/>
        <item x="51"/>
        <item x="131"/>
        <item x="253"/>
        <item x="111"/>
        <item x="98"/>
        <item x="139"/>
        <item x="8"/>
        <item x="281"/>
        <item x="92"/>
        <item x="248"/>
        <item x="13"/>
        <item x="148"/>
        <item x="95"/>
        <item x="283"/>
        <item x="293"/>
        <item x="70"/>
        <item x="37"/>
        <item x="29"/>
        <item x="151"/>
        <item x="251"/>
        <item x="6"/>
        <item x="289"/>
        <item x="190"/>
        <item x="233"/>
        <item x="222"/>
        <item x="186"/>
        <item x="12"/>
        <item x="78"/>
        <item x="272"/>
        <item x="284"/>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t="default"/>
      </items>
    </pivotField>
    <pivotField axis="axisRow" showAll="0">
      <items count="325">
        <item x="102"/>
        <item x="105"/>
        <item x="82"/>
        <item x="208"/>
        <item x="21"/>
        <item x="189"/>
        <item x="185"/>
        <item x="9"/>
        <item x="146"/>
        <item x="174"/>
        <item x="72"/>
        <item x="282"/>
        <item x="144"/>
        <item x="17"/>
        <item x="56"/>
        <item x="212"/>
        <item x="177"/>
        <item x="20"/>
        <item x="195"/>
        <item x="223"/>
        <item x="286"/>
        <item x="241"/>
        <item x="58"/>
        <item x="4"/>
        <item x="117"/>
        <item x="187"/>
        <item x="287"/>
        <item x="94"/>
        <item x="253"/>
        <item x="113"/>
        <item x="246"/>
        <item x="200"/>
        <item x="76"/>
        <item x="161"/>
        <item x="55"/>
        <item x="205"/>
        <item x="116"/>
        <item x="235"/>
        <item x="164"/>
        <item x="22"/>
        <item x="193"/>
        <item x="179"/>
        <item x="264"/>
        <item x="277"/>
        <item x="96"/>
        <item x="40"/>
        <item x="91"/>
        <item x="75"/>
        <item x="101"/>
        <item x="7"/>
        <item x="176"/>
        <item x="57"/>
        <item x="12"/>
        <item x="224"/>
        <item x="125"/>
        <item x="244"/>
        <item x="118"/>
        <item x="131"/>
        <item x="162"/>
        <item x="190"/>
        <item x="64"/>
        <item x="281"/>
        <item x="100"/>
        <item x="204"/>
        <item x="122"/>
        <item x="32"/>
        <item x="183"/>
        <item x="250"/>
        <item x="112"/>
        <item x="127"/>
        <item x="60"/>
        <item x="220"/>
        <item x="68"/>
        <item x="89"/>
        <item x="230"/>
        <item x="110"/>
        <item x="227"/>
        <item x="268"/>
        <item x="143"/>
        <item x="209"/>
        <item x="258"/>
        <item x="147"/>
        <item x="86"/>
        <item x="170"/>
        <item x="79"/>
        <item x="140"/>
        <item x="225"/>
        <item x="283"/>
        <item x="83"/>
        <item x="129"/>
        <item x="114"/>
        <item x="181"/>
        <item x="173"/>
        <item x="103"/>
        <item x="178"/>
        <item x="217"/>
        <item x="99"/>
        <item x="48"/>
        <item x="61"/>
        <item x="23"/>
        <item x="120"/>
        <item x="53"/>
        <item x="36"/>
        <item x="85"/>
        <item x="128"/>
        <item x="215"/>
        <item x="16"/>
        <item x="207"/>
        <item x="138"/>
        <item x="134"/>
        <item x="11"/>
        <item x="93"/>
        <item x="169"/>
        <item x="238"/>
        <item x="168"/>
        <item x="54"/>
        <item x="229"/>
        <item x="41"/>
        <item x="265"/>
        <item x="135"/>
        <item x="284"/>
        <item x="211"/>
        <item x="34"/>
        <item x="104"/>
        <item x="149"/>
        <item x="123"/>
        <item x="77"/>
        <item x="237"/>
        <item x="46"/>
        <item x="80"/>
        <item x="87"/>
        <item x="159"/>
        <item x="270"/>
        <item x="271"/>
        <item x="10"/>
        <item x="0"/>
        <item x="156"/>
        <item x="155"/>
        <item x="234"/>
        <item x="84"/>
        <item x="158"/>
        <item x="231"/>
        <item x="257"/>
        <item x="171"/>
        <item x="97"/>
        <item x="52"/>
        <item x="44"/>
        <item x="199"/>
        <item x="165"/>
        <item x="145"/>
        <item x="124"/>
        <item x="202"/>
        <item x="233"/>
        <item x="166"/>
        <item x="154"/>
        <item x="121"/>
        <item x="25"/>
        <item x="279"/>
        <item x="219"/>
        <item x="198"/>
        <item x="50"/>
        <item x="278"/>
        <item x="3"/>
        <item x="119"/>
        <item x="1"/>
        <item x="2"/>
        <item x="172"/>
        <item x="26"/>
        <item x="108"/>
        <item x="81"/>
        <item x="27"/>
        <item x="196"/>
        <item x="49"/>
        <item x="251"/>
        <item x="152"/>
        <item x="15"/>
        <item x="259"/>
        <item x="71"/>
        <item x="88"/>
        <item x="254"/>
        <item x="19"/>
        <item x="255"/>
        <item x="132"/>
        <item x="106"/>
        <item x="175"/>
        <item m="1" x="323"/>
        <item x="18"/>
        <item x="201"/>
        <item x="115"/>
        <item x="28"/>
        <item x="280"/>
        <item x="213"/>
        <item x="5"/>
        <item x="252"/>
        <item x="163"/>
        <item x="74"/>
        <item x="206"/>
        <item x="139"/>
        <item x="214"/>
        <item x="276"/>
        <item x="184"/>
        <item x="191"/>
        <item x="59"/>
        <item x="269"/>
        <item x="226"/>
        <item x="243"/>
        <item x="239"/>
        <item x="130"/>
        <item x="210"/>
        <item x="261"/>
        <item x="194"/>
        <item x="291"/>
        <item x="236"/>
        <item x="39"/>
        <item x="42"/>
        <item x="216"/>
        <item x="45"/>
        <item x="24"/>
        <item x="33"/>
        <item x="66"/>
        <item x="47"/>
        <item x="38"/>
        <item x="203"/>
        <item x="197"/>
        <item x="288"/>
        <item x="160"/>
        <item x="109"/>
        <item x="221"/>
        <item x="67"/>
        <item x="266"/>
        <item x="240"/>
        <item x="148"/>
        <item x="157"/>
        <item x="107"/>
        <item x="167"/>
        <item x="73"/>
        <item x="260"/>
        <item x="126"/>
        <item x="63"/>
        <item x="249"/>
        <item x="180"/>
        <item x="267"/>
        <item x="192"/>
        <item x="43"/>
        <item x="273"/>
        <item x="248"/>
        <item x="90"/>
        <item x="262"/>
        <item x="69"/>
        <item x="35"/>
        <item x="136"/>
        <item x="289"/>
        <item x="232"/>
        <item x="14"/>
        <item x="31"/>
        <item x="142"/>
        <item x="137"/>
        <item x="242"/>
        <item x="133"/>
        <item x="256"/>
        <item x="65"/>
        <item x="247"/>
        <item x="111"/>
        <item x="98"/>
        <item x="51"/>
        <item x="13"/>
        <item x="272"/>
        <item x="95"/>
        <item x="150"/>
        <item x="92"/>
        <item x="8"/>
        <item x="62"/>
        <item x="151"/>
        <item x="141"/>
        <item x="290"/>
        <item x="274"/>
        <item x="285"/>
        <item x="70"/>
        <item x="37"/>
        <item x="188"/>
        <item x="245"/>
        <item x="30"/>
        <item x="153"/>
        <item x="6"/>
        <item x="222"/>
        <item x="29"/>
        <item x="218"/>
        <item x="228"/>
        <item x="292"/>
        <item x="182"/>
        <item x="186"/>
        <item x="78"/>
        <item x="263"/>
        <item x="275"/>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numFmtId="3" showAll="0"/>
    <pivotField numFmtId="165"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numFmtId="1" showAll="0"/>
    <pivotField showAll="0"/>
    <pivotField showAll="0"/>
    <pivotField showAll="0"/>
    <pivotField showAll="0"/>
    <pivotField showAll="0"/>
    <pivotField numFmtId="1" showAll="0"/>
    <pivotField showAll="0"/>
    <pivotField showAll="0"/>
    <pivotField showAll="0"/>
    <pivotField showAll="0"/>
    <pivotField numFmtId="165" showAll="0"/>
    <pivotField showAll="0"/>
    <pivotField showAll="0"/>
    <pivotField showAll="0"/>
    <pivotField numFmtId="165" showAll="0"/>
    <pivotField showAll="0"/>
    <pivotField numFmtId="165" showAll="0"/>
    <pivotField numFmtId="1" showAll="0"/>
    <pivotField showAll="0"/>
    <pivotField showAll="0"/>
  </pivotFields>
  <rowFields count="3">
    <field x="12"/>
    <field x="13"/>
    <field x="0"/>
  </rowFields>
  <rowItems count="1122">
    <i>
      <x/>
    </i>
    <i r="1">
      <x v="3"/>
    </i>
    <i r="2">
      <x v="348"/>
    </i>
    <i>
      <x v="1"/>
    </i>
    <i r="1">
      <x v="2"/>
    </i>
    <i r="2">
      <x v="45"/>
    </i>
    <i>
      <x v="2"/>
    </i>
    <i r="1">
      <x v="4"/>
    </i>
    <i r="2">
      <x v="260"/>
    </i>
    <i>
      <x v="3"/>
    </i>
    <i r="1">
      <x v="9"/>
    </i>
    <i r="2">
      <x v="322"/>
    </i>
    <i r="2">
      <x v="389"/>
    </i>
    <i>
      <x v="4"/>
    </i>
    <i r="1">
      <x v="1"/>
    </i>
    <i r="2">
      <x v="287"/>
    </i>
    <i>
      <x v="5"/>
    </i>
    <i r="1">
      <x v="207"/>
    </i>
    <i r="2">
      <x v="91"/>
    </i>
    <i>
      <x v="6"/>
    </i>
    <i r="1">
      <x v="166"/>
    </i>
    <i r="2">
      <x v="318"/>
    </i>
    <i>
      <x v="7"/>
    </i>
    <i r="1">
      <x v="217"/>
    </i>
    <i r="2">
      <x v="263"/>
    </i>
    <i>
      <x v="8"/>
    </i>
    <i r="1">
      <x v="10"/>
    </i>
    <i r="2">
      <x v="279"/>
    </i>
    <i>
      <x v="9"/>
    </i>
    <i r="1">
      <x v="18"/>
    </i>
    <i r="2">
      <x v="162"/>
    </i>
    <i>
      <x v="10"/>
    </i>
    <i r="1">
      <x v="15"/>
    </i>
    <i r="2">
      <x v="299"/>
    </i>
    <i>
      <x v="11"/>
    </i>
    <i r="1">
      <x v="12"/>
    </i>
    <i r="2">
      <x v="107"/>
    </i>
    <i>
      <x v="12"/>
    </i>
    <i r="1">
      <x v="6"/>
    </i>
    <i r="2">
      <x v="150"/>
    </i>
    <i r="2">
      <x v="420"/>
    </i>
    <i r="2">
      <x v="451"/>
    </i>
    <i>
      <x v="13"/>
    </i>
    <i r="1">
      <x v="5"/>
    </i>
    <i r="2">
      <x v="154"/>
    </i>
    <i r="2">
      <x v="405"/>
    </i>
    <i>
      <x v="14"/>
    </i>
    <i r="1">
      <x v="13"/>
    </i>
    <i r="2">
      <x v="13"/>
    </i>
    <i r="2">
      <x v="256"/>
    </i>
    <i>
      <x v="15"/>
    </i>
    <i r="1">
      <x v="7"/>
    </i>
    <i r="2">
      <x v="248"/>
    </i>
    <i>
      <x v="16"/>
    </i>
    <i r="1">
      <x v="14"/>
    </i>
    <i r="2">
      <x v="20"/>
    </i>
    <i>
      <x v="17"/>
    </i>
    <i r="1">
      <x/>
    </i>
    <i r="2">
      <x v="128"/>
    </i>
    <i r="2">
      <x v="200"/>
    </i>
    <i r="2">
      <x v="284"/>
    </i>
    <i>
      <x v="18"/>
    </i>
    <i r="1">
      <x v="8"/>
    </i>
    <i r="2">
      <x v="109"/>
    </i>
    <i>
      <x v="19"/>
    </i>
    <i r="1">
      <x v="17"/>
    </i>
    <i r="2">
      <x v="259"/>
    </i>
    <i>
      <x v="20"/>
    </i>
    <i r="1">
      <x v="19"/>
    </i>
    <i r="2">
      <x v="174"/>
    </i>
    <i r="1">
      <x v="20"/>
    </i>
    <i r="2">
      <x v="376"/>
    </i>
    <i>
      <x v="21"/>
    </i>
    <i r="1">
      <x v="21"/>
    </i>
    <i r="2">
      <x v="190"/>
    </i>
    <i>
      <x v="22"/>
    </i>
    <i r="1">
      <x v="16"/>
    </i>
    <i r="2">
      <x v="327"/>
    </i>
    <i>
      <x v="23"/>
    </i>
    <i r="1">
      <x v="34"/>
    </i>
    <i r="2">
      <x v="312"/>
    </i>
    <i r="2">
      <x v="385"/>
    </i>
    <i>
      <x v="24"/>
    </i>
    <i r="1">
      <x v="24"/>
    </i>
    <i r="2">
      <x v="78"/>
    </i>
    <i>
      <x v="25"/>
    </i>
    <i r="1">
      <x v="34"/>
    </i>
    <i r="2">
      <x v="19"/>
    </i>
    <i>
      <x v="26"/>
    </i>
    <i r="1">
      <x v="26"/>
    </i>
    <i r="2">
      <x v="377"/>
    </i>
    <i>
      <x v="27"/>
    </i>
    <i r="1">
      <x v="28"/>
    </i>
    <i r="2">
      <x v="206"/>
    </i>
    <i>
      <x v="28"/>
    </i>
    <i r="1">
      <x v="31"/>
    </i>
    <i r="2">
      <x v="333"/>
    </i>
    <i>
      <x v="29"/>
    </i>
    <i r="1">
      <x v="25"/>
    </i>
    <i r="2">
      <x v="152"/>
    </i>
    <i>
      <x v="30"/>
    </i>
    <i r="1">
      <x v="22"/>
    </i>
    <i r="2">
      <x v="22"/>
    </i>
    <i>
      <x v="31"/>
    </i>
    <i r="1">
      <x v="23"/>
    </i>
    <i r="2">
      <x v="9"/>
    </i>
    <i r="2">
      <x v="243"/>
    </i>
    <i>
      <x v="32"/>
    </i>
    <i r="1">
      <x v="29"/>
    </i>
    <i r="2">
      <x v="73"/>
    </i>
    <i>
      <x v="33"/>
    </i>
    <i r="1">
      <x v="30"/>
    </i>
    <i r="2">
      <x v="198"/>
    </i>
    <i>
      <x v="34"/>
    </i>
    <i r="1">
      <x v="27"/>
    </i>
    <i r="2">
      <x v="58"/>
    </i>
    <i>
      <x v="35"/>
    </i>
    <i r="1">
      <x v="58"/>
    </i>
    <i r="2">
      <x v="137"/>
    </i>
    <i r="2">
      <x v="370"/>
    </i>
    <i>
      <x v="36"/>
    </i>
    <i r="1">
      <x v="164"/>
    </i>
    <i r="2">
      <x v="240"/>
    </i>
    <i>
      <x v="37"/>
    </i>
    <i r="1">
      <x v="40"/>
    </i>
    <i r="2">
      <x v="159"/>
    </i>
    <i>
      <x v="38"/>
    </i>
    <i r="1">
      <x v="60"/>
    </i>
    <i r="2">
      <x v="28"/>
    </i>
    <i>
      <x v="39"/>
    </i>
    <i r="1">
      <x v="129"/>
    </i>
    <i r="2">
      <x v="42"/>
    </i>
    <i>
      <x v="40"/>
    </i>
    <i r="1">
      <x v="42"/>
    </i>
    <i r="2">
      <x v="215"/>
    </i>
    <i>
      <x v="41"/>
    </i>
    <i r="1">
      <x v="44"/>
    </i>
    <i r="2">
      <x v="60"/>
    </i>
    <i>
      <x v="42"/>
    </i>
    <i r="1">
      <x v="38"/>
    </i>
    <i r="2">
      <x v="140"/>
    </i>
    <i>
      <x v="44"/>
    </i>
    <i r="1">
      <x v="45"/>
    </i>
    <i r="2">
      <x v="1"/>
    </i>
    <i r="2">
      <x v="112"/>
    </i>
    <i>
      <x v="45"/>
    </i>
    <i r="1">
      <x v="39"/>
    </i>
    <i r="2">
      <x v="261"/>
    </i>
    <i>
      <x v="46"/>
    </i>
    <i r="1">
      <x v="46"/>
    </i>
    <i r="2">
      <x v="56"/>
    </i>
    <i>
      <x v="47"/>
    </i>
    <i r="1">
      <x v="47"/>
    </i>
    <i r="2">
      <x v="37"/>
    </i>
    <i>
      <x v="48"/>
    </i>
    <i r="1">
      <x v="48"/>
    </i>
    <i r="2">
      <x v="65"/>
    </i>
    <i r="2">
      <x v="436"/>
    </i>
    <i>
      <x v="49"/>
    </i>
    <i r="1">
      <x v="51"/>
    </i>
    <i r="2">
      <x v="21"/>
    </i>
    <i>
      <x v="50"/>
    </i>
    <i r="1">
      <x v="62"/>
    </i>
    <i r="2">
      <x v="64"/>
    </i>
    <i>
      <x v="51"/>
    </i>
    <i r="1">
      <x v="49"/>
    </i>
    <i r="2">
      <x v="246"/>
    </i>
    <i>
      <x v="52"/>
    </i>
    <i r="1">
      <x v="61"/>
    </i>
    <i r="2">
      <x v="233"/>
    </i>
    <i>
      <x v="53"/>
    </i>
    <i r="1">
      <x v="53"/>
    </i>
    <i r="2">
      <x v="175"/>
    </i>
    <i>
      <x v="54"/>
    </i>
    <i r="1">
      <x v="54"/>
    </i>
    <i r="2">
      <x v="86"/>
    </i>
    <i>
      <x v="55"/>
    </i>
    <i r="1">
      <x v="37"/>
    </i>
    <i r="2">
      <x v="360"/>
    </i>
    <i>
      <x v="56"/>
    </i>
    <i r="1">
      <x v="56"/>
    </i>
    <i r="2">
      <x v="79"/>
    </i>
    <i>
      <x v="57"/>
    </i>
    <i r="1">
      <x v="57"/>
    </i>
    <i r="2">
      <x v="92"/>
    </i>
    <i>
      <x v="58"/>
    </i>
    <i r="1">
      <x v="59"/>
    </i>
    <i r="2">
      <x v="155"/>
    </i>
    <i>
      <x v="59"/>
    </i>
    <i r="1">
      <x v="55"/>
    </i>
    <i r="2">
      <x v="193"/>
    </i>
    <i r="2">
      <x v="408"/>
    </i>
    <i>
      <x v="60"/>
    </i>
    <i r="1">
      <x v="79"/>
    </i>
    <i r="2">
      <x v="296"/>
    </i>
    <i>
      <x v="61"/>
    </i>
    <i r="1">
      <x v="64"/>
    </i>
    <i r="2">
      <x v="83"/>
    </i>
    <i>
      <x v="62"/>
    </i>
    <i r="1">
      <x v="72"/>
    </i>
    <i r="2">
      <x v="32"/>
    </i>
    <i r="2">
      <x v="124"/>
    </i>
    <i r="2">
      <x v="184"/>
    </i>
    <i r="2">
      <x v="223"/>
    </i>
    <i r="2">
      <x v="236"/>
    </i>
    <i>
      <x v="63"/>
    </i>
    <i r="1">
      <x v="67"/>
    </i>
    <i r="2">
      <x v="203"/>
    </i>
    <i>
      <x v="64"/>
    </i>
    <i r="1">
      <x v="69"/>
    </i>
    <i r="2">
      <x v="88"/>
    </i>
    <i r="2">
      <x v="317"/>
    </i>
    <i>
      <x v="65"/>
    </i>
    <i r="1">
      <x v="66"/>
    </i>
    <i r="2">
      <x v="148"/>
    </i>
    <i>
      <x v="66"/>
    </i>
    <i r="1">
      <x v="74"/>
    </i>
    <i r="2">
      <x v="352"/>
    </i>
    <i>
      <x v="67"/>
    </i>
    <i r="1">
      <x v="70"/>
    </i>
    <i r="2">
      <x v="24"/>
    </i>
    <i>
      <x v="68"/>
    </i>
    <i r="1">
      <x v="75"/>
    </i>
    <i r="2">
      <x v="69"/>
    </i>
    <i>
      <x v="69"/>
    </i>
    <i r="1">
      <x v="103"/>
    </i>
    <i r="2">
      <x v="48"/>
    </i>
    <i r="2">
      <x v="295"/>
    </i>
    <i r="2">
      <x v="303"/>
    </i>
    <i>
      <x v="70"/>
    </i>
    <i r="1">
      <x v="76"/>
    </i>
    <i r="2">
      <x v="181"/>
    </i>
    <i>
      <x v="71"/>
    </i>
    <i r="1">
      <x v="73"/>
    </i>
    <i r="2">
      <x v="53"/>
    </i>
    <i>
      <x v="72"/>
    </i>
    <i r="1">
      <x v="80"/>
    </i>
    <i r="2">
      <x v="395"/>
    </i>
    <i r="2">
      <x v="396"/>
    </i>
    <i>
      <x v="73"/>
    </i>
    <i r="1">
      <x v="78"/>
    </i>
    <i r="2">
      <x v="106"/>
    </i>
    <i>
      <x v="74"/>
    </i>
    <i r="1">
      <x v="68"/>
    </i>
    <i r="2">
      <x v="71"/>
    </i>
    <i>
      <x v="75"/>
    </i>
    <i r="1">
      <x v="50"/>
    </i>
    <i r="2">
      <x v="325"/>
    </i>
    <i>
      <x v="76"/>
    </i>
    <i r="1">
      <x v="63"/>
    </i>
    <i r="2">
      <x v="338"/>
    </i>
    <i>
      <x v="77"/>
    </i>
    <i r="1">
      <x v="75"/>
    </i>
    <i r="2">
      <x v="138"/>
    </i>
    <i>
      <x v="78"/>
    </i>
    <i r="1">
      <x v="99"/>
    </i>
    <i r="2">
      <x v="351"/>
    </i>
    <i>
      <x v="79"/>
    </i>
    <i r="1">
      <x v="115"/>
    </i>
    <i r="2">
      <x v="18"/>
    </i>
    <i>
      <x v="80"/>
    </i>
    <i r="1">
      <x v="143"/>
    </i>
    <i r="2">
      <x v="316"/>
    </i>
    <i>
      <x v="81"/>
    </i>
    <i r="1">
      <x v="141"/>
    </i>
    <i r="2">
      <x v="353"/>
    </i>
    <i>
      <x v="82"/>
    </i>
    <i r="1">
      <x v="210"/>
    </i>
    <i r="2">
      <x v="388"/>
    </i>
    <i>
      <x v="83"/>
    </i>
    <i r="1">
      <x v="250"/>
    </i>
    <i r="2">
      <x v="328"/>
    </i>
    <i>
      <x v="84"/>
    </i>
    <i r="1">
      <x v="83"/>
    </i>
    <i r="2">
      <x v="314"/>
    </i>
    <i>
      <x v="85"/>
    </i>
    <i r="1">
      <x v="82"/>
    </i>
    <i r="2">
      <x v="49"/>
    </i>
    <i>
      <x v="86"/>
    </i>
    <i r="1">
      <x v="81"/>
    </i>
    <i r="2">
      <x v="110"/>
    </i>
    <i r="2">
      <x v="220"/>
    </i>
    <i>
      <x v="87"/>
    </i>
    <i r="1">
      <x v="84"/>
    </i>
    <i r="2">
      <x v="41"/>
    </i>
    <i r="2">
      <x v="320"/>
    </i>
    <i>
      <x v="88"/>
    </i>
    <i r="1">
      <x v="86"/>
    </i>
    <i r="2">
      <x v="177"/>
    </i>
    <i>
      <x v="89"/>
    </i>
    <i r="1">
      <x v="85"/>
    </i>
    <i r="2">
      <x v="103"/>
    </i>
    <i>
      <x v="90"/>
    </i>
    <i r="1">
      <x v="89"/>
    </i>
    <i r="2">
      <x v="90"/>
    </i>
    <i r="2">
      <x v="134"/>
    </i>
    <i>
      <x v="91"/>
    </i>
    <i r="1">
      <x v="90"/>
    </i>
    <i r="2">
      <x v="74"/>
    </i>
    <i>
      <x v="92"/>
    </i>
    <i r="1">
      <x v="92"/>
    </i>
    <i r="2">
      <x v="319"/>
    </i>
    <i>
      <x v="93"/>
    </i>
    <i r="1">
      <x v="157"/>
    </i>
    <i r="2">
      <x v="231"/>
    </i>
    <i>
      <x v="94"/>
    </i>
    <i r="1">
      <x v="96"/>
    </i>
    <i r="2">
      <x v="63"/>
    </i>
    <i>
      <x v="95"/>
    </i>
    <i r="1">
      <x v="97"/>
    </i>
    <i r="2">
      <x v="10"/>
    </i>
    <i r="2">
      <x v="283"/>
    </i>
    <i>
      <x v="96"/>
    </i>
    <i r="1">
      <x v="98"/>
    </i>
    <i r="2">
      <x v="25"/>
    </i>
    <i r="2">
      <x v="207"/>
    </i>
    <i>
      <x v="97"/>
    </i>
    <i r="1">
      <x v="95"/>
    </i>
    <i r="2">
      <x v="168"/>
    </i>
    <i>
      <x v="98"/>
    </i>
    <i r="1">
      <x v="99"/>
    </i>
    <i r="2">
      <x v="262"/>
    </i>
    <i r="2">
      <x v="309"/>
    </i>
    <i>
      <x v="99"/>
    </i>
    <i r="1">
      <x v="171"/>
    </i>
    <i r="2">
      <x v="176"/>
    </i>
    <i>
      <x v="100"/>
    </i>
    <i r="1">
      <x v="171"/>
    </i>
    <i r="2">
      <x v="163"/>
    </i>
    <i>
      <x v="101"/>
    </i>
    <i r="1">
      <x v="93"/>
    </i>
    <i r="2">
      <x v="285"/>
    </i>
    <i>
      <x v="102"/>
    </i>
    <i r="1">
      <x v="208"/>
    </i>
    <i r="2">
      <x v="297"/>
    </i>
    <i>
      <x v="103"/>
    </i>
    <i r="1">
      <x v="100"/>
    </i>
    <i r="2">
      <x v="326"/>
    </i>
    <i>
      <x v="104"/>
    </i>
    <i r="1">
      <x v="100"/>
    </i>
    <i r="2">
      <x v="81"/>
    </i>
    <i r="2">
      <x v="349"/>
    </i>
    <i>
      <x v="105"/>
    </i>
    <i r="1">
      <x v="101"/>
    </i>
    <i r="2">
      <x v="17"/>
    </i>
    <i>
      <x v="106"/>
    </i>
    <i r="1">
      <x v="102"/>
    </i>
    <i r="2">
      <x v="276"/>
    </i>
    <i>
      <x v="107"/>
    </i>
    <i r="1">
      <x v="104"/>
    </i>
    <i r="2">
      <x v="89"/>
    </i>
    <i>
      <x v="108"/>
    </i>
    <i r="1">
      <x v="107"/>
    </i>
    <i r="2">
      <x v="216"/>
    </i>
    <i r="2">
      <x v="347"/>
    </i>
    <i r="2">
      <x v="394"/>
    </i>
    <i>
      <x v="109"/>
    </i>
    <i r="1">
      <x v="87"/>
    </i>
    <i r="2">
      <x v="237"/>
    </i>
    <i>
      <x v="110"/>
    </i>
    <i r="1">
      <x v="105"/>
    </i>
    <i r="2">
      <x v="166"/>
    </i>
    <i r="2">
      <x v="403"/>
    </i>
    <i>
      <x v="111"/>
    </i>
    <i r="1">
      <x v="35"/>
    </i>
    <i r="2">
      <x v="343"/>
    </i>
    <i>
      <x v="112"/>
    </i>
    <i r="1">
      <x v="245"/>
    </i>
    <i r="2">
      <x v="201"/>
    </i>
    <i>
      <x v="113"/>
    </i>
    <i r="1">
      <x v="91"/>
    </i>
    <i r="2">
      <x v="294"/>
    </i>
    <i>
      <x v="114"/>
    </i>
    <i r="1">
      <x v="219"/>
    </i>
    <i r="2">
      <x v="30"/>
    </i>
    <i r="2">
      <x v="164"/>
    </i>
    <i r="2">
      <x v="308"/>
    </i>
    <i r="2">
      <x v="398"/>
    </i>
    <i>
      <x v="115"/>
    </i>
    <i r="1">
      <x v="99"/>
    </i>
    <i r="2">
      <x v="399"/>
    </i>
    <i>
      <x v="116"/>
    </i>
    <i r="1">
      <x v="113"/>
    </i>
    <i r="2">
      <x v="185"/>
    </i>
    <i>
      <x v="117"/>
    </i>
    <i r="1">
      <x v="112"/>
    </i>
    <i r="2">
      <x v="146"/>
    </i>
    <i r="2">
      <x v="344"/>
    </i>
    <i>
      <x v="118"/>
    </i>
    <i r="1">
      <x v="114"/>
    </i>
    <i r="2">
      <x v="145"/>
    </i>
    <i>
      <x v="119"/>
    </i>
    <i r="1">
      <x v="132"/>
    </i>
    <i r="2">
      <x v="365"/>
    </i>
    <i>
      <x v="120"/>
    </i>
    <i r="1">
      <x v="109"/>
    </i>
    <i r="2">
      <x v="96"/>
    </i>
    <i>
      <x v="121"/>
    </i>
    <i r="1">
      <x v="121"/>
    </i>
    <i r="2">
      <x v="298"/>
    </i>
    <i>
      <x v="122"/>
    </i>
    <i r="1">
      <x v="110"/>
    </i>
    <i r="2">
      <x v="55"/>
    </i>
    <i r="2">
      <x v="250"/>
    </i>
    <i r="2">
      <x v="307"/>
    </i>
    <i>
      <x v="123"/>
    </i>
    <i r="1">
      <x v="116"/>
    </i>
    <i r="2">
      <x v="350"/>
    </i>
    <i>
      <x v="124"/>
    </i>
    <i r="1">
      <x v="125"/>
    </i>
    <i r="2">
      <x v="84"/>
    </i>
    <i>
      <x v="125"/>
    </i>
    <i r="1">
      <x v="108"/>
    </i>
    <i r="2">
      <x v="101"/>
    </i>
    <i r="2">
      <x v="313"/>
    </i>
    <i r="2">
      <x v="345"/>
    </i>
    <i>
      <x v="126"/>
    </i>
    <i r="1">
      <x v="111"/>
    </i>
    <i r="2">
      <x v="281"/>
    </i>
    <i>
      <x v="127"/>
    </i>
    <i r="1">
      <x v="119"/>
    </i>
    <i r="2">
      <x v="386"/>
    </i>
    <i r="2">
      <x v="391"/>
    </i>
    <i r="2">
      <x v="439"/>
    </i>
    <i>
      <x v="128"/>
    </i>
    <i r="1">
      <x v="119"/>
    </i>
    <i r="2">
      <x v="97"/>
    </i>
    <i r="2">
      <x v="130"/>
    </i>
    <i r="2">
      <x v="339"/>
    </i>
    <i r="2">
      <x v="422"/>
    </i>
    <i>
      <x v="129"/>
    </i>
    <i r="1">
      <x v="136"/>
    </i>
    <i r="2">
      <x v="123"/>
    </i>
    <i>
      <x v="130"/>
    </i>
    <i r="1">
      <x v="32"/>
    </i>
    <i r="2">
      <x v="38"/>
    </i>
    <i>
      <x v="131"/>
    </i>
    <i r="1">
      <x v="202"/>
    </i>
    <i r="2">
      <x v="324"/>
    </i>
    <i>
      <x v="132"/>
    </i>
    <i r="1">
      <x v="202"/>
    </i>
    <i r="2">
      <x v="23"/>
    </i>
    <i>
      <x v="133"/>
    </i>
    <i r="1">
      <x v="115"/>
    </i>
    <i r="2">
      <x v="340"/>
    </i>
    <i>
      <x v="134"/>
    </i>
    <i r="1">
      <x v="117"/>
    </i>
    <i r="2">
      <x v="2"/>
    </i>
    <i>
      <x v="135"/>
    </i>
    <i r="1">
      <x v="124"/>
    </i>
    <i r="2">
      <x v="115"/>
    </i>
    <i r="2">
      <x v="161"/>
    </i>
    <i>
      <x v="136"/>
    </i>
    <i r="1">
      <x v="122"/>
    </i>
    <i r="2">
      <x v="273"/>
    </i>
    <i>
      <x v="137"/>
    </i>
    <i r="1">
      <x v="123"/>
    </i>
    <i r="2">
      <x v="286"/>
    </i>
    <i>
      <x v="138"/>
    </i>
    <i r="1">
      <x v="126"/>
    </i>
    <i r="2">
      <x v="39"/>
    </i>
    <i>
      <x v="139"/>
    </i>
    <i r="1">
      <x v="127"/>
    </i>
    <i r="2">
      <x v="362"/>
    </i>
    <i>
      <x v="140"/>
    </i>
    <i r="1">
      <x v="128"/>
    </i>
    <i r="2">
      <x v="7"/>
    </i>
    <i>
      <x v="141"/>
    </i>
    <i r="1">
      <x v="130"/>
    </i>
    <i r="2">
      <x v="50"/>
    </i>
    <i>
      <x v="142"/>
    </i>
    <i r="1">
      <x v="133"/>
    </i>
    <i r="2">
      <x v="368"/>
    </i>
    <i>
      <x v="143"/>
    </i>
    <i r="1">
      <x v="131"/>
    </i>
    <i r="2">
      <x v="131"/>
    </i>
    <i>
      <x v="144"/>
    </i>
    <i r="1">
      <x v="134"/>
    </i>
    <i r="2">
      <x v="126"/>
    </i>
    <i r="2">
      <x v="249"/>
    </i>
    <i>
      <x v="145"/>
    </i>
    <i r="1">
      <x v="134"/>
    </i>
    <i r="2">
      <x v="329"/>
    </i>
    <i>
      <x v="146"/>
    </i>
    <i r="1">
      <x v="118"/>
    </i>
    <i r="2">
      <x v="219"/>
    </i>
    <i>
      <x v="147"/>
    </i>
    <i r="1">
      <x v="135"/>
    </i>
    <i r="2">
      <x v="239"/>
    </i>
    <i>
      <x v="148"/>
    </i>
    <i r="1">
      <x v="120"/>
    </i>
    <i r="2">
      <x v="238"/>
    </i>
    <i>
      <x v="149"/>
    </i>
    <i r="1">
      <x v="137"/>
    </i>
    <i r="2">
      <x v="122"/>
    </i>
    <i>
      <x v="150"/>
    </i>
    <i r="1">
      <x v="139"/>
    </i>
    <i r="2">
      <x v="47"/>
    </i>
    <i>
      <x v="151"/>
    </i>
    <i r="1">
      <x v="138"/>
    </i>
    <i r="2">
      <x v="359"/>
    </i>
    <i>
      <x v="152"/>
    </i>
    <i r="1">
      <x v="140"/>
    </i>
    <i r="2">
      <x v="127"/>
    </i>
    <i>
      <x v="153"/>
    </i>
    <i r="1">
      <x v="146"/>
    </i>
    <i r="2">
      <x v="5"/>
    </i>
    <i>
      <x v="154"/>
    </i>
    <i r="1">
      <x v="144"/>
    </i>
    <i r="2">
      <x v="61"/>
    </i>
    <i>
      <x v="155"/>
    </i>
    <i r="1">
      <x v="148"/>
    </i>
    <i r="2">
      <x v="141"/>
    </i>
    <i>
      <x v="156"/>
    </i>
    <i r="1">
      <x v="145"/>
    </i>
    <i r="2">
      <x v="16"/>
    </i>
    <i>
      <x v="157"/>
    </i>
    <i r="1">
      <x v="142"/>
    </i>
    <i r="2">
      <x v="392"/>
    </i>
    <i>
      <x v="158"/>
    </i>
    <i r="1">
      <x v="227"/>
    </i>
    <i r="2">
      <x v="172"/>
    </i>
    <i>
      <x v="159"/>
    </i>
    <i r="1">
      <x v="147"/>
    </i>
    <i r="2">
      <x v="331"/>
    </i>
    <i r="2">
      <x v="369"/>
    </i>
    <i>
      <x v="160"/>
    </i>
    <i r="1">
      <x v="149"/>
    </i>
    <i r="2">
      <x v="108"/>
    </i>
    <i>
      <x v="161"/>
    </i>
    <i r="1">
      <x v="165"/>
    </i>
    <i r="2">
      <x v="241"/>
    </i>
    <i>
      <x v="162"/>
    </i>
    <i r="1">
      <x v="150"/>
    </i>
    <i r="2">
      <x v="85"/>
    </i>
    <i>
      <x v="163"/>
    </i>
    <i r="1">
      <x v="163"/>
    </i>
    <i r="2">
      <x v="80"/>
    </i>
    <i>
      <x v="164"/>
    </i>
    <i r="1">
      <x v="159"/>
    </i>
    <i r="2">
      <x v="330"/>
    </i>
    <i r="1">
      <x v="160"/>
    </i>
    <i r="2">
      <x v="12"/>
    </i>
    <i r="2">
      <x v="98"/>
    </i>
    <i r="2">
      <x v="144"/>
    </i>
    <i r="2">
      <x v="178"/>
    </i>
    <i r="2">
      <x v="364"/>
    </i>
    <i r="2">
      <x v="437"/>
    </i>
    <i>
      <x v="165"/>
    </i>
    <i r="1">
      <x v="151"/>
    </i>
    <i r="2">
      <x v="336"/>
    </i>
    <i>
      <x v="166"/>
    </i>
    <i r="1">
      <x v="154"/>
    </i>
    <i r="2">
      <x v="121"/>
    </i>
    <i>
      <x v="167"/>
    </i>
    <i r="1">
      <x v="161"/>
    </i>
    <i r="2">
      <x v="230"/>
    </i>
    <i>
      <x v="168"/>
    </i>
    <i r="1">
      <x v="153"/>
    </i>
    <i r="2">
      <x v="142"/>
    </i>
    <i>
      <x v="169"/>
    </i>
    <i r="1">
      <x v="152"/>
    </i>
    <i r="2">
      <x v="356"/>
    </i>
    <i>
      <x v="170"/>
    </i>
    <i r="1">
      <x v="155"/>
    </i>
    <i r="2">
      <x v="82"/>
    </i>
    <i r="2">
      <x v="111"/>
    </i>
    <i r="2">
      <x v="342"/>
    </i>
    <i r="2">
      <x v="426"/>
    </i>
    <i r="2">
      <x v="440"/>
    </i>
    <i r="2">
      <x v="441"/>
    </i>
    <i>
      <x v="171"/>
    </i>
    <i r="1">
      <x v="288"/>
    </i>
    <i r="2">
      <x v="383"/>
    </i>
    <i>
      <x v="172"/>
    </i>
    <i r="1">
      <x v="158"/>
    </i>
    <i r="2">
      <x v="170"/>
    </i>
    <i>
      <x v="173"/>
    </i>
    <i r="1">
      <x v="162"/>
    </i>
    <i r="2">
      <x v="94"/>
    </i>
    <i r="2">
      <x v="242"/>
    </i>
    <i>
      <x v="174"/>
    </i>
    <i r="1">
      <x v="156"/>
    </i>
    <i r="2">
      <x v="264"/>
    </i>
    <i>
      <x v="175"/>
    </i>
    <i r="1">
      <x v="206"/>
    </i>
    <i r="2">
      <x v="186"/>
    </i>
    <i>
      <x v="176"/>
    </i>
    <i r="1">
      <x v="167"/>
    </i>
    <i r="2">
      <x v="265"/>
    </i>
    <i>
      <x v="177"/>
    </i>
    <i r="1">
      <x v="168"/>
    </i>
    <i r="2">
      <x v="67"/>
    </i>
    <i>
      <x v="178"/>
    </i>
    <i r="1">
      <x v="189"/>
    </i>
    <i r="2">
      <x v="267"/>
    </i>
    <i>
      <x v="179"/>
    </i>
    <i r="1">
      <x v="181"/>
    </i>
    <i r="2">
      <x v="387"/>
    </i>
    <i>
      <x v="180"/>
    </i>
    <i r="1">
      <x v="88"/>
    </i>
    <i r="2">
      <x v="46"/>
    </i>
    <i r="1">
      <x v="182"/>
    </i>
    <i r="2">
      <x v="93"/>
    </i>
    <i>
      <x v="181"/>
    </i>
    <i r="1">
      <x v="169"/>
    </i>
    <i r="2">
      <x v="44"/>
    </i>
    <i>
      <x v="182"/>
    </i>
    <i r="1">
      <x v="187"/>
    </i>
    <i r="2">
      <x v="334"/>
    </i>
    <i>
      <x v="184"/>
    </i>
    <i r="1">
      <x v="188"/>
    </i>
    <i r="2">
      <x v="76"/>
    </i>
    <i r="2">
      <x v="304"/>
    </i>
    <i r="2">
      <x v="433"/>
    </i>
    <i>
      <x v="185"/>
    </i>
    <i r="1">
      <x v="170"/>
    </i>
    <i r="2">
      <x v="266"/>
    </i>
    <i>
      <x v="186"/>
    </i>
    <i r="1">
      <x v="172"/>
    </i>
    <i r="2">
      <x v="11"/>
    </i>
    <i>
      <x v="187"/>
    </i>
    <i r="1">
      <x v="183"/>
    </i>
    <i r="2">
      <x v="288"/>
    </i>
    <i>
      <x v="188"/>
    </i>
    <i r="1">
      <x v="174"/>
    </i>
    <i r="2">
      <x v="118"/>
    </i>
    <i r="2">
      <x v="156"/>
    </i>
    <i r="2">
      <x v="194"/>
    </i>
    <i r="2">
      <x v="381"/>
    </i>
    <i>
      <x v="189"/>
    </i>
    <i r="1">
      <x v="173"/>
    </i>
    <i r="2">
      <x v="204"/>
    </i>
    <i>
      <x v="190"/>
    </i>
    <i r="1">
      <x v="177"/>
    </i>
    <i r="2">
      <x v="35"/>
    </i>
    <i>
      <x v="191"/>
    </i>
    <i r="1">
      <x v="175"/>
    </i>
    <i r="2">
      <x v="15"/>
    </i>
    <i r="2">
      <x v="254"/>
    </i>
    <i>
      <x v="192"/>
    </i>
    <i r="1">
      <x v="176"/>
    </i>
    <i r="2">
      <x v="397"/>
    </i>
    <i>
      <x v="193"/>
    </i>
    <i r="1">
      <x v="184"/>
    </i>
    <i r="2">
      <x v="323"/>
    </i>
    <i>
      <x v="194"/>
    </i>
    <i r="1">
      <x v="180"/>
    </i>
    <i r="2">
      <x v="258"/>
    </i>
    <i>
      <x v="195"/>
    </i>
    <i r="1">
      <x v="178"/>
    </i>
    <i r="2">
      <x v="51"/>
    </i>
    <i>
      <x v="196"/>
    </i>
    <i r="1">
      <x v="179"/>
    </i>
    <i r="2">
      <x v="208"/>
    </i>
    <i>
      <x v="197"/>
    </i>
    <i r="1">
      <x v="186"/>
    </i>
    <i r="2">
      <x v="72"/>
    </i>
    <i r="2">
      <x v="257"/>
    </i>
    <i>
      <x v="198"/>
    </i>
    <i r="1">
      <x v="192"/>
    </i>
    <i r="2">
      <x v="244"/>
    </i>
    <i r="2">
      <x v="274"/>
    </i>
    <i r="2">
      <x v="306"/>
    </i>
    <i r="2">
      <x v="315"/>
    </i>
    <i>
      <x v="199"/>
    </i>
    <i r="1">
      <x v="191"/>
    </i>
    <i r="2">
      <x v="300"/>
    </i>
    <i>
      <x v="200"/>
    </i>
    <i r="1">
      <x v="196"/>
    </i>
    <i r="2">
      <x v="346"/>
    </i>
    <i>
      <x v="201"/>
    </i>
    <i r="1">
      <x v="195"/>
    </i>
    <i r="2">
      <x v="36"/>
    </i>
    <i>
      <x v="202"/>
    </i>
    <i r="1">
      <x v="193"/>
    </i>
    <i r="2">
      <x v="205"/>
    </i>
    <i>
      <x v="203"/>
    </i>
    <i r="1">
      <x v="194"/>
    </i>
    <i r="2">
      <x v="139"/>
    </i>
    <i>
      <x v="204"/>
    </i>
    <i r="1">
      <x v="203"/>
    </i>
    <i r="2">
      <x v="225"/>
    </i>
    <i>
      <x v="205"/>
    </i>
    <i r="1">
      <x v="272"/>
    </i>
    <i r="2">
      <x v="117"/>
    </i>
    <i>
      <x v="206"/>
    </i>
    <i r="1">
      <x v="272"/>
    </i>
    <i r="2">
      <x v="341"/>
    </i>
    <i r="2">
      <x v="367"/>
    </i>
    <i>
      <x v="207"/>
    </i>
    <i r="1">
      <x v="197"/>
    </i>
    <i r="2">
      <x v="102"/>
    </i>
    <i>
      <x v="208"/>
    </i>
    <i r="1">
      <x v="200"/>
    </i>
    <i r="2">
      <x v="149"/>
    </i>
    <i>
      <x v="209"/>
    </i>
    <i r="1">
      <x v="198"/>
    </i>
    <i r="2">
      <x v="301"/>
    </i>
    <i>
      <x v="210"/>
    </i>
    <i r="1">
      <x v="201"/>
    </i>
    <i r="2">
      <x v="157"/>
    </i>
    <i>
      <x v="211"/>
    </i>
    <i r="1">
      <x v="199"/>
    </i>
    <i r="2">
      <x v="228"/>
    </i>
    <i>
      <x v="212"/>
    </i>
    <i r="1">
      <x v="204"/>
    </i>
    <i r="2">
      <x v="180"/>
    </i>
    <i>
      <x v="213"/>
    </i>
    <i r="1">
      <x v="212"/>
    </i>
    <i r="2">
      <x v="361"/>
    </i>
    <i>
      <x v="214"/>
    </i>
    <i r="1">
      <x v="205"/>
    </i>
    <i r="2">
      <x v="192"/>
    </i>
    <i>
      <x v="215"/>
    </i>
    <i r="1">
      <x v="211"/>
    </i>
    <i r="2">
      <x v="382"/>
    </i>
    <i>
      <x v="216"/>
    </i>
    <i r="1">
      <x v="94"/>
    </i>
    <i r="2">
      <x v="291"/>
    </i>
    <i>
      <x v="217"/>
    </i>
    <i r="1">
      <x v="33"/>
    </i>
    <i r="2">
      <x v="135"/>
    </i>
    <i r="2">
      <x v="182"/>
    </i>
    <i r="2">
      <x v="218"/>
    </i>
    <i r="2">
      <x v="235"/>
    </i>
    <i r="2">
      <x v="335"/>
    </i>
    <i r="2">
      <x v="366"/>
    </i>
    <i r="2">
      <x v="425"/>
    </i>
    <i>
      <x v="218"/>
    </i>
    <i r="1">
      <x v="41"/>
    </i>
    <i r="2">
      <x v="292"/>
    </i>
    <i r="1">
      <x v="214"/>
    </i>
    <i r="2">
      <x v="3"/>
    </i>
    <i>
      <x v="219"/>
    </i>
    <i r="1">
      <x v="210"/>
    </i>
    <i r="2">
      <x v="160"/>
    </i>
    <i>
      <x v="220"/>
    </i>
    <i r="1">
      <x v="249"/>
    </i>
    <i r="2">
      <x v="275"/>
    </i>
    <i>
      <x v="221"/>
    </i>
    <i r="1">
      <x v="243"/>
    </i>
    <i r="2">
      <x v="4"/>
    </i>
    <i>
      <x v="222"/>
    </i>
    <i r="1">
      <x v="209"/>
    </i>
    <i r="2">
      <x v="211"/>
    </i>
    <i>
      <x v="223"/>
    </i>
    <i r="1">
      <x v="284"/>
    </i>
    <i r="2">
      <x v="173"/>
    </i>
    <i>
      <x v="224"/>
    </i>
    <i r="1">
      <x v="213"/>
    </i>
    <i r="2">
      <x v="311"/>
    </i>
    <i>
      <x v="225"/>
    </i>
    <i r="1">
      <x v="213"/>
    </i>
    <i r="2">
      <x/>
    </i>
    <i>
      <x v="226"/>
    </i>
    <i r="1">
      <x v="36"/>
    </i>
    <i r="2">
      <x v="77"/>
    </i>
    <i r="2">
      <x v="179"/>
    </i>
    <i r="2">
      <x v="444"/>
    </i>
    <i r="1">
      <x v="220"/>
    </i>
    <i r="2">
      <x v="8"/>
    </i>
    <i>
      <x v="227"/>
    </i>
    <i r="1">
      <x v="77"/>
    </i>
    <i r="2">
      <x v="224"/>
    </i>
    <i>
      <x v="228"/>
    </i>
    <i r="1">
      <x v="216"/>
    </i>
    <i r="2">
      <x v="6"/>
    </i>
    <i r="2">
      <x v="310"/>
    </i>
    <i>
      <x v="229"/>
    </i>
    <i r="1">
      <x v="222"/>
    </i>
    <i r="2">
      <x v="337"/>
    </i>
    <i>
      <x v="230"/>
    </i>
    <i r="1">
      <x v="232"/>
    </i>
    <i r="2">
      <x v="125"/>
    </i>
    <i>
      <x v="231"/>
    </i>
    <i r="1">
      <x v="244"/>
    </i>
    <i r="2">
      <x v="226"/>
    </i>
    <i r="2">
      <x v="449"/>
    </i>
    <i>
      <x v="232"/>
    </i>
    <i r="1">
      <x v="250"/>
    </i>
    <i r="2">
      <x v="99"/>
    </i>
    <i>
      <x v="233"/>
    </i>
    <i r="1">
      <x v="235"/>
    </i>
    <i r="2">
      <x v="212"/>
    </i>
    <i r="2">
      <x v="280"/>
    </i>
    <i r="2">
      <x v="282"/>
    </i>
    <i r="2">
      <x v="289"/>
    </i>
    <i r="2">
      <x v="290"/>
    </i>
    <i>
      <x v="234"/>
    </i>
    <i r="1">
      <x v="237"/>
    </i>
    <i r="2">
      <x v="87"/>
    </i>
    <i r="2">
      <x v="132"/>
    </i>
    <i>
      <x v="235"/>
    </i>
    <i r="1">
      <x v="230"/>
    </i>
    <i r="2">
      <x v="187"/>
    </i>
    <i r="2">
      <x v="419"/>
    </i>
    <i>
      <x v="236"/>
    </i>
    <i r="1">
      <x v="253"/>
    </i>
    <i r="2">
      <x v="253"/>
    </i>
    <i>
      <x v="237"/>
    </i>
    <i r="1">
      <x v="241"/>
    </i>
    <i r="2">
      <x v="222"/>
    </i>
    <i r="2">
      <x v="445"/>
    </i>
    <i>
      <x v="238"/>
    </i>
    <i r="1">
      <x v="239"/>
    </i>
    <i r="2">
      <x v="202"/>
    </i>
    <i r="2">
      <x v="442"/>
    </i>
    <i>
      <x v="239"/>
    </i>
    <i r="1">
      <x v="226"/>
    </i>
    <i r="2">
      <x v="68"/>
    </i>
    <i>
      <x v="240"/>
    </i>
    <i r="1">
      <x v="247"/>
    </i>
    <i r="2">
      <x v="213"/>
    </i>
    <i>
      <x v="241"/>
    </i>
    <i r="1">
      <x v="229"/>
    </i>
    <i r="2">
      <x v="221"/>
    </i>
    <i>
      <x v="242"/>
    </i>
    <i r="1">
      <x v="246"/>
    </i>
    <i r="2">
      <x v="54"/>
    </i>
    <i>
      <x v="243"/>
    </i>
    <i r="1">
      <x v="231"/>
    </i>
    <i r="2">
      <x v="113"/>
    </i>
    <i r="2">
      <x v="332"/>
    </i>
    <i>
      <x v="244"/>
    </i>
    <i r="1">
      <x v="254"/>
    </i>
    <i r="2">
      <x v="270"/>
    </i>
    <i>
      <x v="245"/>
    </i>
    <i r="1">
      <x v="228"/>
    </i>
    <i r="2">
      <x v="31"/>
    </i>
    <i>
      <x v="246"/>
    </i>
    <i r="1">
      <x v="71"/>
    </i>
    <i r="2">
      <x v="171"/>
    </i>
    <i>
      <x v="247"/>
    </i>
    <i r="1">
      <x v="215"/>
    </i>
    <i r="2">
      <x v="167"/>
    </i>
    <i>
      <x v="248"/>
    </i>
    <i r="1">
      <x v="234"/>
    </i>
    <i r="2">
      <x v="143"/>
    </i>
    <i>
      <x v="249"/>
    </i>
    <i r="1">
      <x v="224"/>
    </i>
    <i r="2">
      <x v="378"/>
    </i>
    <i>
      <x v="250"/>
    </i>
    <i r="1">
      <x v="233"/>
    </i>
    <i r="2">
      <x v="66"/>
    </i>
    <i r="2">
      <x v="119"/>
    </i>
    <i r="2">
      <x v="418"/>
    </i>
    <i>
      <x v="251"/>
    </i>
    <i r="1">
      <x v="236"/>
    </i>
    <i r="2">
      <x v="209"/>
    </i>
    <i>
      <x v="252"/>
    </i>
    <i r="1">
      <x v="223"/>
    </i>
    <i r="2">
      <x v="165"/>
    </i>
    <i>
      <x v="253"/>
    </i>
    <i r="1">
      <x v="238"/>
    </i>
    <i r="2">
      <x v="27"/>
    </i>
    <i r="2">
      <x v="210"/>
    </i>
    <i r="2">
      <x v="305"/>
    </i>
    <i>
      <x v="254"/>
    </i>
    <i r="1">
      <x v="255"/>
    </i>
    <i r="2">
      <x v="105"/>
    </i>
    <i r="2">
      <x v="371"/>
    </i>
    <i>
      <x v="255"/>
    </i>
    <i r="1">
      <x v="43"/>
    </i>
    <i r="2">
      <x v="229"/>
    </i>
    <i>
      <x v="256"/>
    </i>
    <i r="1">
      <x v="242"/>
    </i>
    <i r="2">
      <x v="158"/>
    </i>
    <i r="2">
      <x v="363"/>
    </i>
    <i>
      <x v="257"/>
    </i>
    <i r="1">
      <x v="221"/>
    </i>
    <i r="2">
      <x v="278"/>
    </i>
    <i>
      <x v="258"/>
    </i>
    <i r="1">
      <x v="65"/>
    </i>
    <i r="2">
      <x v="271"/>
    </i>
    <i>
      <x v="259"/>
    </i>
    <i r="1">
      <x v="248"/>
    </i>
    <i r="2">
      <x v="33"/>
    </i>
    <i>
      <x v="260"/>
    </i>
    <i r="1">
      <x v="240"/>
    </i>
    <i r="2">
      <x v="293"/>
    </i>
    <i>
      <x v="261"/>
    </i>
    <i r="1">
      <x v="218"/>
    </i>
    <i r="2">
      <x v="272"/>
    </i>
    <i>
      <x v="262"/>
    </i>
    <i r="1">
      <x v="225"/>
    </i>
    <i r="2">
      <x v="133"/>
    </i>
    <i>
      <x v="263"/>
    </i>
    <i r="1">
      <x v="106"/>
    </i>
    <i r="2">
      <x v="255"/>
    </i>
    <i>
      <x v="264"/>
    </i>
    <i r="1">
      <x v="251"/>
    </i>
    <i r="2">
      <x v="379"/>
    </i>
    <i>
      <x v="265"/>
    </i>
    <i r="1">
      <x v="281"/>
    </i>
    <i r="2">
      <x v="269"/>
    </i>
    <i>
      <x v="266"/>
    </i>
    <i r="1">
      <x v="252"/>
    </i>
    <i r="2">
      <x v="195"/>
    </i>
    <i r="2">
      <x v="354"/>
    </i>
    <i r="2">
      <x v="355"/>
    </i>
    <i r="2">
      <x v="357"/>
    </i>
    <i r="2">
      <x v="358"/>
    </i>
    <i>
      <x v="267"/>
    </i>
    <i r="1">
      <x v="271"/>
    </i>
    <i r="2">
      <x v="26"/>
    </i>
    <i>
      <x v="268"/>
    </i>
    <i r="1">
      <x v="274"/>
    </i>
    <i r="2">
      <x v="380"/>
    </i>
    <i>
      <x v="269"/>
    </i>
    <i r="1">
      <x v="259"/>
    </i>
    <i r="2">
      <x v="375"/>
    </i>
    <i r="2">
      <x v="390"/>
    </i>
    <i r="2">
      <x v="393"/>
    </i>
    <i>
      <x v="270"/>
    </i>
    <i r="1">
      <x v="260"/>
    </i>
    <i r="2">
      <x v="29"/>
    </i>
    <i>
      <x v="271"/>
    </i>
    <i r="1">
      <x v="256"/>
    </i>
    <i r="2">
      <x v="100"/>
    </i>
    <i>
      <x v="272"/>
    </i>
    <i r="1">
      <x v="264"/>
    </i>
    <i r="2">
      <x v="14"/>
    </i>
    <i r="2">
      <x v="43"/>
    </i>
    <i>
      <x v="273"/>
    </i>
    <i r="1">
      <x v="258"/>
    </i>
    <i r="2">
      <x v="95"/>
    </i>
    <i>
      <x v="274"/>
    </i>
    <i r="1">
      <x v="261"/>
    </i>
    <i r="2">
      <x v="199"/>
    </i>
    <i>
      <x v="275"/>
    </i>
    <i r="1">
      <x v="262"/>
    </i>
    <i r="2">
      <x v="70"/>
    </i>
    <i>
      <x v="276"/>
    </i>
    <i r="1">
      <x v="263"/>
    </i>
    <i r="2">
      <x v="62"/>
    </i>
    <i r="2">
      <x v="75"/>
    </i>
    <i r="2">
      <x v="384"/>
    </i>
    <i>
      <x v="277"/>
    </i>
    <i r="1">
      <x v="273"/>
    </i>
    <i r="2">
      <x v="104"/>
    </i>
    <i r="2">
      <x v="136"/>
    </i>
    <i r="2">
      <x v="188"/>
    </i>
    <i r="2">
      <x v="189"/>
    </i>
    <i r="2">
      <x v="217"/>
    </i>
    <i r="2">
      <x v="321"/>
    </i>
    <i r="2">
      <x v="373"/>
    </i>
    <i>
      <x v="278"/>
    </i>
    <i r="1">
      <x v="270"/>
    </i>
    <i r="2">
      <x v="52"/>
    </i>
    <i r="2">
      <x v="247"/>
    </i>
    <i>
      <x v="279"/>
    </i>
    <i r="1">
      <x v="266"/>
    </i>
    <i r="2">
      <x v="372"/>
    </i>
    <i>
      <x v="280"/>
    </i>
    <i r="1">
      <x v="269"/>
    </i>
    <i r="2">
      <x v="57"/>
    </i>
    <i>
      <x v="281"/>
    </i>
    <i r="1">
      <x v="257"/>
    </i>
    <i r="2">
      <x v="191"/>
    </i>
    <i>
      <x v="282"/>
    </i>
    <i r="1">
      <x v="265"/>
    </i>
    <i r="2">
      <x v="114"/>
    </i>
    <i r="2">
      <x v="252"/>
    </i>
    <i>
      <x v="283"/>
    </i>
    <i r="1">
      <x v="268"/>
    </i>
    <i r="2">
      <x v="116"/>
    </i>
    <i>
      <x v="284"/>
    </i>
    <i r="1">
      <x v="267"/>
    </i>
    <i r="2">
      <x v="59"/>
    </i>
    <i>
      <x v="285"/>
    </i>
    <i r="1">
      <x v="275"/>
    </i>
    <i r="2">
      <x v="400"/>
    </i>
    <i>
      <x v="286"/>
    </i>
    <i r="1">
      <x v="276"/>
    </i>
    <i r="2">
      <x v="374"/>
    </i>
    <i>
      <x v="287"/>
    </i>
    <i r="1">
      <x v="277"/>
    </i>
    <i r="2">
      <x v="34"/>
    </i>
    <i r="2">
      <x v="302"/>
    </i>
    <i>
      <x v="288"/>
    </i>
    <i r="1">
      <x v="278"/>
    </i>
    <i r="2">
      <x v="277"/>
    </i>
    <i>
      <x v="289"/>
    </i>
    <i r="1">
      <x v="285"/>
    </i>
    <i r="2">
      <x v="268"/>
    </i>
    <i>
      <x v="290"/>
    </i>
    <i r="1">
      <x v="279"/>
    </i>
    <i r="2">
      <x v="153"/>
    </i>
    <i r="1">
      <x v="282"/>
    </i>
    <i r="2">
      <x v="120"/>
    </i>
    <i>
      <x v="291"/>
    </i>
    <i r="1">
      <x v="280"/>
    </i>
    <i r="2">
      <x v="197"/>
    </i>
    <i>
      <x v="292"/>
    </i>
    <i r="1">
      <x v="283"/>
    </i>
    <i r="2">
      <x v="245"/>
    </i>
    <i>
      <x v="293"/>
    </i>
    <i r="1">
      <x v="190"/>
    </i>
    <i r="2">
      <x v="232"/>
    </i>
    <i>
      <x v="294"/>
    </i>
    <i r="1">
      <x v="290"/>
    </i>
    <i r="2">
      <x v="151"/>
    </i>
    <i>
      <x v="295"/>
    </i>
    <i r="1">
      <x v="287"/>
    </i>
    <i r="2">
      <x v="183"/>
    </i>
    <i>
      <x v="296"/>
    </i>
    <i r="1">
      <x v="286"/>
    </i>
    <i r="2">
      <x v="169"/>
    </i>
    <i>
      <x v="297"/>
    </i>
    <i r="1">
      <x v="289"/>
    </i>
    <i r="2">
      <x v="147"/>
    </i>
    <i>
      <x v="298"/>
    </i>
    <i r="1">
      <x v="52"/>
    </i>
    <i r="2">
      <x v="251"/>
    </i>
    <i>
      <x v="299"/>
    </i>
    <i r="1">
      <x v="11"/>
    </i>
    <i r="2">
      <x v="234"/>
    </i>
    <i r="1">
      <x v="291"/>
    </i>
    <i r="2">
      <x v="40"/>
    </i>
    <i r="2">
      <x v="129"/>
    </i>
    <i r="2">
      <x v="196"/>
    </i>
    <i>
      <x v="300"/>
    </i>
    <i r="1">
      <x v="292"/>
    </i>
    <i r="2">
      <x v="214"/>
    </i>
    <i>
      <x v="301"/>
    </i>
    <i r="1">
      <x v="293"/>
    </i>
    <i r="2">
      <x v="401"/>
    </i>
    <i>
      <x v="302"/>
    </i>
    <i r="1">
      <x v="294"/>
    </i>
    <i r="2">
      <x v="402"/>
    </i>
    <i>
      <x v="303"/>
    </i>
    <i r="1">
      <x v="295"/>
    </i>
    <i r="2">
      <x v="404"/>
    </i>
    <i>
      <x v="304"/>
    </i>
    <i r="1">
      <x v="296"/>
    </i>
    <i r="2">
      <x v="406"/>
    </i>
    <i>
      <x v="305"/>
    </i>
    <i r="1">
      <x v="297"/>
    </i>
    <i r="2">
      <x v="407"/>
    </i>
    <i>
      <x v="306"/>
    </i>
    <i r="1">
      <x v="298"/>
    </i>
    <i r="2">
      <x v="409"/>
    </i>
    <i>
      <x v="307"/>
    </i>
    <i r="1">
      <x v="299"/>
    </i>
    <i r="2">
      <x v="410"/>
    </i>
    <i>
      <x v="308"/>
    </i>
    <i r="1">
      <x v="300"/>
    </i>
    <i r="2">
      <x v="411"/>
    </i>
    <i>
      <x v="309"/>
    </i>
    <i r="1">
      <x v="301"/>
    </i>
    <i r="2">
      <x v="412"/>
    </i>
    <i>
      <x v="310"/>
    </i>
    <i r="1">
      <x v="302"/>
    </i>
    <i r="2">
      <x v="413"/>
    </i>
    <i>
      <x v="311"/>
    </i>
    <i r="1">
      <x v="303"/>
    </i>
    <i r="2">
      <x v="414"/>
    </i>
    <i>
      <x v="312"/>
    </i>
    <i r="1">
      <x v="304"/>
    </i>
    <i r="2">
      <x v="415"/>
    </i>
    <i>
      <x v="313"/>
    </i>
    <i r="1">
      <x v="305"/>
    </i>
    <i r="2">
      <x v="416"/>
    </i>
    <i>
      <x v="314"/>
    </i>
    <i r="1">
      <x v="306"/>
    </i>
    <i r="2">
      <x v="417"/>
    </i>
    <i>
      <x v="315"/>
    </i>
    <i r="1">
      <x v="307"/>
    </i>
    <i r="2">
      <x v="421"/>
    </i>
    <i>
      <x v="316"/>
    </i>
    <i r="1">
      <x v="308"/>
    </i>
    <i r="2">
      <x v="423"/>
    </i>
    <i>
      <x v="317"/>
    </i>
    <i r="1">
      <x v="309"/>
    </i>
    <i r="2">
      <x v="424"/>
    </i>
    <i>
      <x v="318"/>
    </i>
    <i r="1">
      <x v="310"/>
    </i>
    <i r="2">
      <x v="427"/>
    </i>
    <i>
      <x v="319"/>
    </i>
    <i r="1">
      <x v="311"/>
    </i>
    <i r="2">
      <x v="428"/>
    </i>
    <i>
      <x v="320"/>
    </i>
    <i r="1">
      <x v="312"/>
    </i>
    <i r="2">
      <x v="429"/>
    </i>
    <i>
      <x v="321"/>
    </i>
    <i r="1">
      <x v="313"/>
    </i>
    <i r="2">
      <x v="430"/>
    </i>
    <i>
      <x v="322"/>
    </i>
    <i r="1">
      <x v="314"/>
    </i>
    <i r="2">
      <x v="431"/>
    </i>
    <i>
      <x v="323"/>
    </i>
    <i r="1">
      <x v="5"/>
    </i>
    <i r="2">
      <x v="432"/>
    </i>
    <i>
      <x v="324"/>
    </i>
    <i r="1">
      <x v="315"/>
    </i>
    <i r="2">
      <x v="434"/>
    </i>
    <i>
      <x v="325"/>
    </i>
    <i r="1">
      <x v="316"/>
    </i>
    <i r="2">
      <x v="435"/>
    </i>
    <i>
      <x v="326"/>
    </i>
    <i r="1">
      <x v="317"/>
    </i>
    <i r="2">
      <x v="438"/>
    </i>
    <i>
      <x v="327"/>
    </i>
    <i r="1">
      <x v="318"/>
    </i>
    <i r="2">
      <x v="443"/>
    </i>
    <i>
      <x v="328"/>
    </i>
    <i r="1">
      <x v="319"/>
    </i>
    <i r="2">
      <x v="446"/>
    </i>
    <i>
      <x v="329"/>
    </i>
    <i r="1">
      <x v="320"/>
    </i>
    <i r="2">
      <x v="447"/>
    </i>
    <i>
      <x v="330"/>
    </i>
    <i r="1">
      <x v="321"/>
    </i>
    <i r="2">
      <x v="448"/>
    </i>
    <i>
      <x v="331"/>
    </i>
    <i r="1">
      <x v="322"/>
    </i>
    <i r="2">
      <x v="450"/>
    </i>
    <i>
      <x v="332"/>
    </i>
    <i r="1">
      <x v="323"/>
    </i>
    <i r="2">
      <x v="452"/>
    </i>
    <i t="grand">
      <x/>
    </i>
  </rowItems>
  <colItems count="1">
    <i/>
  </colItems>
  <dataFields count="1">
    <dataField name="Count of Project Lead"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nstitution">
  <location ref="A1:E28" firstHeaderRow="0" firstDataRow="1" firstDataCol="1"/>
  <pivotFields count="113">
    <pivotField showAll="0"/>
    <pivotField showAll="0"/>
    <pivotField showAll="0"/>
    <pivotField showAll="0" defaultSubtotal="0"/>
    <pivotField showAll="0" defaultSubtotal="0"/>
    <pivotField showAll="0" defaultSubtotal="0"/>
    <pivotField showAll="0"/>
    <pivotField showAll="0"/>
    <pivotField showAll="0"/>
    <pivotField axis="axisRow" showAll="0">
      <items count="31">
        <item x="24"/>
        <item x="12"/>
        <item x="25"/>
        <item x="15"/>
        <item x="18"/>
        <item x="20"/>
        <item x="11"/>
        <item x="3"/>
        <item x="9"/>
        <item x="19"/>
        <item x="16"/>
        <item m="1" x="27"/>
        <item x="21"/>
        <item x="14"/>
        <item x="8"/>
        <item x="7"/>
        <item x="6"/>
        <item x="4"/>
        <item x="17"/>
        <item m="1" x="26"/>
        <item x="1"/>
        <item x="0"/>
        <item x="22"/>
        <item x="13"/>
        <item x="2"/>
        <item x="10"/>
        <item x="23"/>
        <item x="5"/>
        <item m="1" x="28"/>
        <item m="1" x="2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numFmtId="1" showAll="0"/>
    <pivotField showAll="0"/>
    <pivotField numFmtId="1" showAll="0"/>
    <pivotField showAll="0"/>
    <pivotField numFmtId="1" showAll="0"/>
    <pivotField showAll="0"/>
    <pivotField numFmtId="1" showAll="0"/>
    <pivotField showAll="0"/>
    <pivotField numFmtId="1" showAll="0"/>
    <pivotField showAll="0"/>
    <pivotField numFmtId="1" showAll="0"/>
    <pivotField showAll="0"/>
    <pivotField numFmtId="3" showAll="0"/>
    <pivotField showAll="0"/>
    <pivotField numFmtId="3" showAll="0"/>
    <pivotField showAll="0"/>
    <pivotField numFmtId="3" showAll="0"/>
    <pivotField showAll="0"/>
    <pivotField numFmtId="3" showAll="0"/>
    <pivotField showAll="0"/>
    <pivotField numFmtId="3" showAll="0"/>
    <pivotField showAll="0"/>
    <pivotField numFmtId="3"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numFmtId="1" showAll="0"/>
    <pivotField showAll="0"/>
    <pivotField showAll="0"/>
    <pivotField showAll="0"/>
    <pivotField showAll="0"/>
    <pivotField showAll="0"/>
    <pivotField numFmtId="1" showAll="0"/>
    <pivotField showAll="0"/>
    <pivotField showAll="0"/>
    <pivotField showAll="0"/>
    <pivotField showAll="0"/>
    <pivotField numFmtId="165" showAll="0"/>
    <pivotField showAll="0"/>
    <pivotField showAll="0"/>
    <pivotField showAll="0"/>
    <pivotField numFmtId="165" showAll="0"/>
    <pivotField showAll="0"/>
    <pivotField numFmtId="165" showAll="0"/>
    <pivotField dataField="1" showAll="0"/>
    <pivotField dataField="1" showAll="0"/>
    <pivotField numFmtId="165" showAll="0"/>
  </pivotFields>
  <rowFields count="1">
    <field x="9"/>
  </rowFields>
  <rowItems count="27">
    <i>
      <x/>
    </i>
    <i>
      <x v="1"/>
    </i>
    <i>
      <x v="2"/>
    </i>
    <i>
      <x v="3"/>
    </i>
    <i>
      <x v="4"/>
    </i>
    <i>
      <x v="5"/>
    </i>
    <i>
      <x v="6"/>
    </i>
    <i>
      <x v="7"/>
    </i>
    <i>
      <x v="8"/>
    </i>
    <i>
      <x v="9"/>
    </i>
    <i>
      <x v="10"/>
    </i>
    <i>
      <x v="12"/>
    </i>
    <i>
      <x v="13"/>
    </i>
    <i>
      <x v="14"/>
    </i>
    <i>
      <x v="15"/>
    </i>
    <i>
      <x v="16"/>
    </i>
    <i>
      <x v="17"/>
    </i>
    <i>
      <x v="18"/>
    </i>
    <i>
      <x v="20"/>
    </i>
    <i>
      <x v="21"/>
    </i>
    <i>
      <x v="22"/>
    </i>
    <i>
      <x v="23"/>
    </i>
    <i>
      <x v="24"/>
    </i>
    <i>
      <x v="25"/>
    </i>
    <i>
      <x v="26"/>
    </i>
    <i>
      <x v="27"/>
    </i>
    <i t="grand">
      <x/>
    </i>
  </rowItems>
  <colFields count="1">
    <field x="-2"/>
  </colFields>
  <colItems count="4">
    <i>
      <x/>
    </i>
    <i i="1">
      <x v="1"/>
    </i>
    <i i="2">
      <x v="2"/>
    </i>
    <i i="3">
      <x v="3"/>
    </i>
  </colItems>
  <dataFields count="4">
    <dataField name="Sum of Grand Total Students" fld="110" baseField="4" baseItem="0" numFmtId="1"/>
    <dataField name="USG Students Affected Rank" fld="110" baseField="9" baseItem="0">
      <extLst>
        <ext xmlns:x14="http://schemas.microsoft.com/office/spreadsheetml/2009/9/main" uri="{E15A36E0-9728-4e99-A89B-3F7291B0FE68}">
          <x14:dataField pivotShowAs="rankDescending"/>
        </ext>
      </extLst>
    </dataField>
    <dataField name="Sum of Grand Total Savings" fld="111" baseField="4" baseItem="0" numFmtId="165"/>
    <dataField name="USG Student Savings Rank " fld="111" baseField="9" baseItem="0">
      <extLst>
        <ext xmlns:x14="http://schemas.microsoft.com/office/spreadsheetml/2009/9/main" uri="{E15A36E0-9728-4e99-A89B-3F7291B0FE68}">
          <x14:dataField pivotShowAs="rankDescending"/>
        </ext>
      </extLst>
    </dataField>
  </dataFields>
  <formats count="26">
    <format dxfId="396">
      <pivotArea outline="0" collapsedLevelsAreSubtotals="1" fieldPosition="0">
        <references count="1">
          <reference field="4294967294" count="1" selected="0">
            <x v="0"/>
          </reference>
        </references>
      </pivotArea>
    </format>
    <format dxfId="395">
      <pivotArea dataOnly="0" labelOnly="1" outline="0" fieldPosition="0">
        <references count="1">
          <reference field="4294967294" count="1">
            <x v="0"/>
          </reference>
        </references>
      </pivotArea>
    </format>
    <format dxfId="394">
      <pivotArea outline="0" collapsedLevelsAreSubtotals="1" fieldPosition="0">
        <references count="1">
          <reference field="4294967294" count="1" selected="0">
            <x v="0"/>
          </reference>
        </references>
      </pivotArea>
    </format>
    <format dxfId="393">
      <pivotArea dataOnly="0" labelOnly="1" outline="0" fieldPosition="0">
        <references count="1">
          <reference field="4294967294" count="1">
            <x v="0"/>
          </reference>
        </references>
      </pivotArea>
    </format>
    <format dxfId="392">
      <pivotArea outline="0" collapsedLevelsAreSubtotals="1" fieldPosition="0">
        <references count="1">
          <reference field="4294967294" count="1" selected="0">
            <x v="0"/>
          </reference>
        </references>
      </pivotArea>
    </format>
    <format dxfId="391">
      <pivotArea dataOnly="0" labelOnly="1" outline="0" fieldPosition="0">
        <references count="1">
          <reference field="4294967294" count="1">
            <x v="0"/>
          </reference>
        </references>
      </pivotArea>
    </format>
    <format dxfId="390">
      <pivotArea outline="0" collapsedLevelsAreSubtotals="1" fieldPosition="0">
        <references count="1">
          <reference field="4294967294" count="1" selected="0">
            <x v="2"/>
          </reference>
        </references>
      </pivotArea>
    </format>
    <format dxfId="389">
      <pivotArea dataOnly="0" labelOnly="1" outline="0" fieldPosition="0">
        <references count="1">
          <reference field="4294967294" count="1">
            <x v="2"/>
          </reference>
        </references>
      </pivotArea>
    </format>
    <format dxfId="388">
      <pivotArea outline="0" collapsedLevelsAreSubtotals="1" fieldPosition="0">
        <references count="1">
          <reference field="4294967294" count="1" selected="0">
            <x v="1"/>
          </reference>
        </references>
      </pivotArea>
    </format>
    <format dxfId="387">
      <pivotArea dataOnly="0" labelOnly="1" outline="0" fieldPosition="0">
        <references count="1">
          <reference field="4294967294" count="1">
            <x v="1"/>
          </reference>
        </references>
      </pivotArea>
    </format>
    <format dxfId="386">
      <pivotArea outline="0" collapsedLevelsAreSubtotals="1" fieldPosition="0">
        <references count="1">
          <reference field="4294967294" count="1" selected="0">
            <x v="1"/>
          </reference>
        </references>
      </pivotArea>
    </format>
    <format dxfId="385">
      <pivotArea dataOnly="0" labelOnly="1" outline="0" fieldPosition="0">
        <references count="1">
          <reference field="4294967294" count="1">
            <x v="1"/>
          </reference>
        </references>
      </pivotArea>
    </format>
    <format dxfId="384">
      <pivotArea outline="0" collapsedLevelsAreSubtotals="1" fieldPosition="0">
        <references count="1">
          <reference field="4294967294" count="1" selected="0">
            <x v="1"/>
          </reference>
        </references>
      </pivotArea>
    </format>
    <format dxfId="383">
      <pivotArea dataOnly="0" labelOnly="1" outline="0" fieldPosition="0">
        <references count="1">
          <reference field="4294967294" count="1">
            <x v="1"/>
          </reference>
        </references>
      </pivotArea>
    </format>
    <format dxfId="382">
      <pivotArea outline="0" collapsedLevelsAreSubtotals="1" fieldPosition="0">
        <references count="1">
          <reference field="4294967294" count="1" selected="0">
            <x v="3"/>
          </reference>
        </references>
      </pivotArea>
    </format>
    <format dxfId="381">
      <pivotArea dataOnly="0" labelOnly="1" outline="0" fieldPosition="0">
        <references count="1">
          <reference field="4294967294" count="1">
            <x v="3"/>
          </reference>
        </references>
      </pivotArea>
    </format>
    <format dxfId="380">
      <pivotArea outline="0" collapsedLevelsAreSubtotals="1" fieldPosition="0">
        <references count="1">
          <reference field="4294967294" count="1" selected="0">
            <x v="3"/>
          </reference>
        </references>
      </pivotArea>
    </format>
    <format dxfId="379">
      <pivotArea dataOnly="0" labelOnly="1" outline="0" fieldPosition="0">
        <references count="1">
          <reference field="4294967294" count="1">
            <x v="3"/>
          </reference>
        </references>
      </pivotArea>
    </format>
    <format dxfId="378">
      <pivotArea outline="0" collapsedLevelsAreSubtotals="1" fieldPosition="0">
        <references count="1">
          <reference field="4294967294" count="1" selected="0">
            <x v="3"/>
          </reference>
        </references>
      </pivotArea>
    </format>
    <format dxfId="377">
      <pivotArea dataOnly="0" labelOnly="1" outline="0" fieldPosition="0">
        <references count="1">
          <reference field="4294967294" count="1">
            <x v="3"/>
          </reference>
        </references>
      </pivotArea>
    </format>
    <format dxfId="376">
      <pivotArea outline="0" collapsedLevelsAreSubtotals="1" fieldPosition="0">
        <references count="1">
          <reference field="4294967294" count="1" selected="0">
            <x v="3"/>
          </reference>
        </references>
      </pivotArea>
    </format>
    <format dxfId="375">
      <pivotArea dataOnly="0" labelOnly="1" outline="0" fieldPosition="0">
        <references count="1">
          <reference field="4294967294" count="1">
            <x v="3"/>
          </reference>
        </references>
      </pivotArea>
    </format>
    <format dxfId="374">
      <pivotArea outline="0" collapsedLevelsAreSubtotals="1" fieldPosition="0">
        <references count="1">
          <reference field="4294967294" count="1" selected="0">
            <x v="3"/>
          </reference>
        </references>
      </pivotArea>
    </format>
    <format dxfId="373">
      <pivotArea dataOnly="0" labelOnly="1" outline="0" fieldPosition="0">
        <references count="1">
          <reference field="4294967294" count="1">
            <x v="3"/>
          </reference>
        </references>
      </pivotArea>
    </format>
    <format dxfId="372">
      <pivotArea outline="0" fieldPosition="0">
        <references count="1">
          <reference field="4294967294" count="1">
            <x v="1"/>
          </reference>
        </references>
      </pivotArea>
    </format>
    <format dxfId="371">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B18" firstHeaderRow="1" firstDataRow="1" firstDataCol="1"/>
  <pivotFields count="113">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1"/>
        <item x="4"/>
        <item x="3"/>
        <item m="1" x="6"/>
        <item x="5"/>
        <item x="2"/>
        <item t="default"/>
      </items>
    </pivotField>
    <pivotField showAll="0"/>
    <pivotField showAll="0"/>
    <pivotField showAll="0"/>
    <pivotField showAll="0"/>
    <pivotField showAll="0"/>
    <pivotField showAll="0"/>
    <pivotField showAll="0"/>
    <pivotField showAll="0"/>
    <pivotField showAll="0"/>
    <pivotField showAll="0"/>
    <pivotField numFmtId="1"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numFmtId="1" showAll="0"/>
    <pivotField showAll="0"/>
    <pivotField showAll="0"/>
    <pivotField showAll="0"/>
    <pivotField showAll="0"/>
    <pivotField showAll="0"/>
    <pivotField numFmtId="1" showAll="0"/>
    <pivotField showAll="0"/>
    <pivotField showAll="0"/>
    <pivotField showAll="0"/>
    <pivotField showAll="0"/>
    <pivotField numFmtId="165" showAll="0"/>
    <pivotField showAll="0"/>
    <pivotField showAll="0"/>
    <pivotField showAll="0"/>
    <pivotField numFmtId="165" showAll="0"/>
    <pivotField showAll="0"/>
    <pivotField numFmtId="165" showAll="0"/>
    <pivotField showAll="0"/>
    <pivotField showAll="0"/>
    <pivotField numFmtId="165" showAll="0" defaultSubtotal="0"/>
  </pivotFields>
  <rowFields count="1">
    <field x="63"/>
  </rowFields>
  <rowItems count="7">
    <i>
      <x/>
    </i>
    <i>
      <x v="1"/>
    </i>
    <i>
      <x v="2"/>
    </i>
    <i>
      <x v="3"/>
    </i>
    <i>
      <x v="5"/>
    </i>
    <i>
      <x v="6"/>
    </i>
    <i t="grand">
      <x/>
    </i>
  </rowItems>
  <colItems count="1">
    <i/>
  </colItems>
  <dataFields count="1">
    <dataField name="Count of Sustainability Check 2 (2018-2019) Status" fld="6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1:E26" firstHeaderRow="1" firstDataRow="2" firstDataCol="1" rowPageCount="1" colPageCount="1"/>
  <pivotFields count="113">
    <pivotField showAll="0"/>
    <pivotField showAll="0"/>
    <pivotField showAll="0"/>
    <pivotField showAll="0"/>
    <pivotField showAll="0"/>
    <pivotField showAll="0"/>
    <pivotField showAll="0"/>
    <pivotField axis="axisPage" multipleItemSelectionAllowed="1" showAll="0">
      <items count="10">
        <item x="2"/>
        <item x="0"/>
        <item x="1"/>
        <item x="3"/>
        <item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h="1" x="4"/>
        <item x="1"/>
        <item x="0"/>
        <item h="1" x="3"/>
        <item x="2"/>
        <item h="1" x="6"/>
        <item h="1" x="5"/>
        <item h="1"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0"/>
        <item x="1"/>
        <item h="1" x="4"/>
        <item x="3"/>
        <item h="1" m="1" x="6"/>
        <item h="1" x="5"/>
        <item h="1" x="2"/>
        <item t="default"/>
      </items>
    </pivotField>
    <pivotField showAll="0"/>
    <pivotField showAll="0"/>
    <pivotField showAll="0"/>
    <pivotField showAll="0"/>
    <pivotField showAll="0"/>
    <pivotField showAll="0"/>
    <pivotField showAll="0"/>
    <pivotField showAll="0"/>
    <pivotField showAll="0"/>
    <pivotField showAll="0"/>
    <pivotField numFmtId="1"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numFmtId="1" showAll="0"/>
    <pivotField showAll="0"/>
    <pivotField showAll="0"/>
    <pivotField showAll="0"/>
    <pivotField showAll="0"/>
    <pivotField showAll="0"/>
    <pivotField numFmtId="1" showAll="0"/>
    <pivotField showAll="0"/>
    <pivotField showAll="0"/>
    <pivotField showAll="0"/>
    <pivotField showAll="0"/>
    <pivotField numFmtId="165" showAll="0"/>
    <pivotField showAll="0"/>
    <pivotField showAll="0"/>
    <pivotField showAll="0"/>
    <pivotField numFmtId="165" showAll="0"/>
    <pivotField showAll="0"/>
    <pivotField numFmtId="165" showAll="0"/>
    <pivotField showAll="0"/>
    <pivotField showAll="0"/>
    <pivotField numFmtId="165" showAll="0" defaultSubtotal="0"/>
  </pivotFields>
  <rowFields count="1">
    <field x="21"/>
  </rowFields>
  <rowItems count="4">
    <i>
      <x v="1"/>
    </i>
    <i>
      <x v="2"/>
    </i>
    <i>
      <x v="4"/>
    </i>
    <i t="grand">
      <x/>
    </i>
  </rowItems>
  <colFields count="1">
    <field x="63"/>
  </colFields>
  <colItems count="4">
    <i>
      <x/>
    </i>
    <i>
      <x v="1"/>
    </i>
    <i>
      <x v="3"/>
    </i>
    <i t="grand">
      <x/>
    </i>
  </colItems>
  <pageFields count="1">
    <pageField fld="7" hier="-1"/>
  </pageFields>
  <dataFields count="1">
    <dataField name="Count of Sustainability Check 2 (2018-2019) Status" fld="6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umulative" displayName="Cumulative" ref="A22:G31" totalsRowShown="0" dataDxfId="1826">
  <autoFilter ref="A22:G31" xr:uid="{00000000-0009-0000-0100-000003000000}"/>
  <tableColumns count="7">
    <tableColumn id="1" xr3:uid="{00000000-0010-0000-0000-000001000000}" name="Category" dataDxfId="1825"/>
    <tableColumn id="12" xr3:uid="{D964E15B-9BF5-4285-84AB-780D48431730}" name="2020" dataDxfId="1824">
      <calculatedColumnFormula>SUM(Table1[Spring 2020 Students])</calculatedColumnFormula>
    </tableColumn>
    <tableColumn id="6" xr3:uid="{00000000-0010-0000-0000-000006000000}" name="2019" dataDxfId="1823"/>
    <tableColumn id="2" xr3:uid="{00000000-0010-0000-0000-000002000000}" name="2018" dataDxfId="1822"/>
    <tableColumn id="3" xr3:uid="{00000000-0010-0000-0000-000003000000}" name="2017" dataDxfId="1821"/>
    <tableColumn id="4" xr3:uid="{00000000-0010-0000-0000-000004000000}" name="2016" dataDxfId="1820"/>
    <tableColumn id="5" xr3:uid="{00000000-0010-0000-0000-000005000000}" name="2015" dataDxfId="18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DI454" totalsRowCount="1" headerRowDxfId="514" dataDxfId="513" totalsRowDxfId="512" totalsRowCellStyle="Currency">
  <autoFilter ref="A1:DI453" xr:uid="{00000000-0009-0000-0100-000001000000}"/>
  <tableColumns count="113">
    <tableColumn id="1" xr3:uid="{00000000-0010-0000-0100-000001000000}" name="Grant #" dataDxfId="511" totalsRowDxfId="112"/>
    <tableColumn id="94" xr3:uid="{75F278C7-1C91-4484-9861-52094CA75FF3}" name="Status" dataDxfId="510" totalsRowDxfId="111" dataCellStyle="Hyperlink"/>
    <tableColumn id="97" xr3:uid="{8EB39596-2D32-4DC8-95ED-DEDEF476CD5A}" name="Inst. Designer in open project" dataDxfId="509" totalsRowDxfId="110" dataCellStyle="Hyperlink"/>
    <tableColumn id="8" xr3:uid="{00000000-0010-0000-0100-000008000000}" name="PO #" dataDxfId="508" totalsRowDxfId="109" dataCellStyle="Normal 2"/>
    <tableColumn id="17" xr3:uid="{00000000-0010-0000-0100-000011000000}" name="Payment Req 1" dataDxfId="507" totalsRowDxfId="108"/>
    <tableColumn id="18" xr3:uid="{00000000-0010-0000-0100-000012000000}" name="Payment Req 2" dataDxfId="506" totalsRowDxfId="107"/>
    <tableColumn id="2" xr3:uid="{00000000-0010-0000-0100-000002000000}" name="Round #" dataDxfId="505" totalsRowDxfId="106"/>
    <tableColumn id="3" xr3:uid="{00000000-0010-0000-0100-000003000000}" name="Fiscal Year" dataDxfId="504" totalsRowDxfId="105"/>
    <tableColumn id="12" xr3:uid="{00000000-0010-0000-0100-00000C000000}" name="Type" dataDxfId="503" totalsRowDxfId="104"/>
    <tableColumn id="6" xr3:uid="{00000000-0010-0000-0100-000006000000}" name="Institution " dataDxfId="502" totalsRowDxfId="103"/>
    <tableColumn id="7" xr3:uid="{00000000-0010-0000-0100-000007000000}" name="Total Award" dataDxfId="501" totalsRowDxfId="102"/>
    <tableColumn id="91" xr3:uid="{E0077532-5F3F-4D85-9990-DE741A6FCB6C}" name="Final Semester" dataDxfId="500" totalsRowDxfId="101"/>
    <tableColumn id="14" xr3:uid="{00000000-0010-0000-0100-00000E000000}" name="Project Lead" dataDxfId="499" totalsRowDxfId="100"/>
    <tableColumn id="60" xr3:uid="{00000000-0010-0000-0100-00003C000000}" name="Email Address" dataDxfId="498" totalsRowDxfId="99"/>
    <tableColumn id="16" xr3:uid="{00000000-0010-0000-0100-000010000000}" name="Course Names" dataDxfId="497" totalsRowDxfId="98"/>
    <tableColumn id="15" xr3:uid="{00000000-0010-0000-0100-00000F000000}" name="Course Numbers" dataDxfId="496" totalsRowDxfId="97"/>
    <tableColumn id="49" xr3:uid="{00000000-0010-0000-0100-000031000000}" name="Subject Area" dataDxfId="495" totalsRowDxfId="96"/>
    <tableColumn id="20" xr3:uid="{00000000-0010-0000-0100-000014000000}" name="Core Curriculum" dataDxfId="494" totalsRowDxfId="95"/>
    <tableColumn id="9" xr3:uid="{00000000-0010-0000-0100-000009000000}" name="Created Materials" dataDxfId="493" totalsRowDxfId="94"/>
    <tableColumn id="10" xr3:uid="{00000000-0010-0000-0100-00000A000000}" name="OpenStax? " dataDxfId="492" totalsRowDxfId="93"/>
    <tableColumn id="11" xr3:uid="{00000000-0010-0000-0100-00000B000000}" name="Materials Adopted or Adapted" dataDxfId="491" totalsRowDxfId="92"/>
    <tableColumn id="5" xr3:uid="{00000000-0010-0000-0100-000005000000}" name="Final Report: Perceptions" dataDxfId="490" totalsRowDxfId="91"/>
    <tableColumn id="19" xr3:uid="{00000000-0010-0000-0100-000013000000}" name="Final Report: Outcomes" dataDxfId="489" totalsRowDxfId="90"/>
    <tableColumn id="50" xr3:uid="{00000000-0010-0000-0100-000032000000}" name="Final Report: Retention" dataDxfId="488" totalsRowDxfId="89"/>
    <tableColumn id="13" xr3:uid="{00000000-0010-0000-0100-00000D000000}" name="Annual Savings" dataDxfId="487" totalsRowDxfId="88"/>
    <tableColumn id="21" xr3:uid="{00000000-0010-0000-0100-000015000000}" name="Annual Students" dataDxfId="486" totalsRowDxfId="87"/>
    <tableColumn id="22" xr3:uid="{00000000-0010-0000-0100-000016000000}" name="Savings Per Student" dataDxfId="485" totalsRowDxfId="86"/>
    <tableColumn id="23" xr3:uid="{00000000-0010-0000-0100-000017000000}" name="Students Per Summer" dataDxfId="484" totalsRowDxfId="85"/>
    <tableColumn id="24" xr3:uid="{00000000-0010-0000-0100-000018000000}" name="Students Per Fall" dataDxfId="483" totalsRowDxfId="84"/>
    <tableColumn id="25" xr3:uid="{00000000-0010-0000-0100-000019000000}" name="Students Per Spring" dataDxfId="482" totalsRowDxfId="83"/>
    <tableColumn id="26" xr3:uid="{00000000-0010-0000-0100-00001A000000}" name="1st Implementation Sem." dataDxfId="481" totalsRowDxfId="82"/>
    <tableColumn id="53" xr3:uid="{00000000-0010-0000-0100-000035000000}" name="Scaled Up? " dataDxfId="480" totalsRowDxfId="81"/>
    <tableColumn id="28" xr3:uid="{00000000-0010-0000-0100-00001C000000}" name="Scaling Up Grant Number" dataDxfId="479" totalsRowDxfId="80"/>
    <tableColumn id="27" xr3:uid="{00000000-0010-0000-0100-00001B000000}" name="Update Occurs" dataDxfId="478" totalsRowDxfId="79"/>
    <tableColumn id="47" xr3:uid="{00000000-0010-0000-0100-00002F000000}" name="Sustainability Check 1 (2017-2018) Status" dataDxfId="477" totalsRowDxfId="78"/>
    <tableColumn id="31" xr3:uid="{00000000-0010-0000-0100-00001F000000}" name="Spring 2015 Students" dataDxfId="476" totalsRowDxfId="77">
      <calculatedColumnFormula>AD2</calculatedColumnFormula>
    </tableColumn>
    <tableColumn id="30" xr3:uid="{00000000-0010-0000-0100-00001E000000}" name="Spring 2015 Savings" dataDxfId="475" totalsRowDxfId="76"/>
    <tableColumn id="40" xr3:uid="{00000000-0010-0000-0100-000028000000}" name="Total AY 2014-2015 Students" dataDxfId="474" totalsRowDxfId="75"/>
    <tableColumn id="41" xr3:uid="{00000000-0010-0000-0100-000029000000}" name="Total AY 2014-2015 Savings" dataDxfId="473" totalsRowDxfId="74">
      <calculatedColumnFormula>AK2</calculatedColumnFormula>
    </tableColumn>
    <tableColumn id="32" xr3:uid="{00000000-0010-0000-0100-000020000000}" name="Summer 2015 Students" dataDxfId="472" totalsRowDxfId="73">
      <calculatedColumnFormula>IF(Table1[[#This Row],[Sustainability Check 1 (2017-2018) Status]]="Continued", Table1[[#This Row],[Students Per Summer]], 0)</calculatedColumnFormula>
    </tableColumn>
    <tableColumn id="29" xr3:uid="{00000000-0010-0000-0100-00001D000000}" name="Summer 2015 Savings" dataDxfId="471" totalsRowDxfId="72">
      <calculatedColumnFormula>$AA2*AN2</calculatedColumnFormula>
    </tableColumn>
    <tableColumn id="33" xr3:uid="{00000000-0010-0000-0100-000021000000}" name="Fall 2015 Students" dataDxfId="470" totalsRowDxfId="71">
      <calculatedColumnFormula>IF(Table1[[#This Row],[Sustainability Check 1 (2017-2018) Status]]="Continued", Table1[[#This Row],[Students Per Fall]], 0)</calculatedColumnFormula>
    </tableColumn>
    <tableColumn id="34" xr3:uid="{00000000-0010-0000-0100-000022000000}" name="Fall 2015 Savings" dataDxfId="469" totalsRowDxfId="70">
      <calculatedColumnFormula>$AA2*AP2</calculatedColumnFormula>
    </tableColumn>
    <tableColumn id="35" xr3:uid="{00000000-0010-0000-0100-000023000000}" name="Spring 2016 Students" dataDxfId="468" totalsRowDxfId="69"/>
    <tableColumn id="36" xr3:uid="{00000000-0010-0000-0100-000024000000}" name="Spring 2016 Savings" dataDxfId="467" totalsRowDxfId="68">
      <calculatedColumnFormula>$AA2*AR2</calculatedColumnFormula>
    </tableColumn>
    <tableColumn id="43" xr3:uid="{00000000-0010-0000-0100-00002B000000}" name="Total AY 2015-2016 Students" dataDxfId="466" totalsRowDxfId="67"/>
    <tableColumn id="42" xr3:uid="{00000000-0010-0000-0100-00002A000000}" name="Total AY 2015-2016 Savings" dataDxfId="465" totalsRowDxfId="66">
      <calculatedColumnFormula>AO2+AQ2+AS2</calculatedColumnFormula>
    </tableColumn>
    <tableColumn id="37" xr3:uid="{00000000-0010-0000-0100-000025000000}" name="Summer 2016 Students" dataDxfId="464" totalsRowDxfId="65"/>
    <tableColumn id="38" xr3:uid="{00000000-0010-0000-0100-000026000000}" name="Summer 2016 Savings" dataDxfId="463" totalsRowDxfId="64"/>
    <tableColumn id="39" xr3:uid="{00000000-0010-0000-0100-000027000000}" name="Fall 2016 Students" dataDxfId="462" totalsRowDxfId="63"/>
    <tableColumn id="44" xr3:uid="{00000000-0010-0000-0100-00002C000000}" name="Fall 2016 Savings" dataDxfId="461" totalsRowDxfId="62"/>
    <tableColumn id="45" xr3:uid="{00000000-0010-0000-0100-00002D000000}" name="Spring 2017 Students" dataDxfId="460" totalsRowDxfId="61"/>
    <tableColumn id="46" xr3:uid="{00000000-0010-0000-0100-00002E000000}" name="Spring 2017 Savings" dataDxfId="459" totalsRowDxfId="60"/>
    <tableColumn id="51" xr3:uid="{00000000-0010-0000-0100-000033000000}" name="Total AY 2016-2017 Students" dataDxfId="458" totalsRowDxfId="59"/>
    <tableColumn id="52" xr3:uid="{00000000-0010-0000-0100-000034000000}" name="Total AY 2016-2017 Savings" dataDxfId="457" totalsRowDxfId="58"/>
    <tableColumn id="54" xr3:uid="{00000000-0010-0000-0100-000036000000}" name="Summer 2017 Students" dataDxfId="456" totalsRowDxfId="57"/>
    <tableColumn id="55" xr3:uid="{00000000-0010-0000-0100-000037000000}" name="Summer 2017 Savings" dataDxfId="455" totalsRowDxfId="56"/>
    <tableColumn id="56" xr3:uid="{00000000-0010-0000-0100-000038000000}" name="Fall 2017 Students" dataDxfId="454" totalsRowDxfId="55"/>
    <tableColumn id="57" xr3:uid="{00000000-0010-0000-0100-000039000000}" name="Fall 2017 Savings" dataDxfId="453" totalsRowDxfId="54"/>
    <tableColumn id="58" xr3:uid="{00000000-0010-0000-0100-00003A000000}" name="Spring 2018 Students" dataDxfId="452" totalsRowDxfId="53"/>
    <tableColumn id="59" xr3:uid="{00000000-0010-0000-0100-00003B000000}" name="Spring 2018 Savings" dataDxfId="451" totalsRowDxfId="52"/>
    <tableColumn id="61" xr3:uid="{00000000-0010-0000-0100-00003D000000}" name="Total AY 2017-2018 Students" dataDxfId="450" totalsRowDxfId="51"/>
    <tableColumn id="62" xr3:uid="{00000000-0010-0000-0100-00003E000000}" name="Total AY 2017-2018 Savings" dataDxfId="449" totalsRowDxfId="50"/>
    <tableColumn id="67" xr3:uid="{00000000-0010-0000-0100-000043000000}" name="Sustainability Check 2 (2018-2019) Status" dataDxfId="448" totalsRowDxfId="49"/>
    <tableColumn id="68" xr3:uid="{00000000-0010-0000-0100-000044000000}" name="Check 2 Students Summer" dataDxfId="447" totalsRowDxfId="48"/>
    <tableColumn id="69" xr3:uid="{00000000-0010-0000-0100-000045000000}" name="Check 2 Students Fall" dataDxfId="446" totalsRowDxfId="47"/>
    <tableColumn id="70" xr3:uid="{00000000-0010-0000-0100-000046000000}" name="Check 2 Students Spring" dataDxfId="445" totalsRowDxfId="46"/>
    <tableColumn id="71" xr3:uid="{00000000-0010-0000-0100-000047000000}" name="Check 2 Students Total" dataDxfId="444" totalsRowDxfId="45">
      <calculatedColumnFormula>SUM(BM2:BO2)</calculatedColumnFormula>
    </tableColumn>
    <tableColumn id="48" xr3:uid="{00000000-0010-0000-0100-000030000000}" name="Summer 2018 Price Check" dataDxfId="443" totalsRowDxfId="44"/>
    <tableColumn id="4" xr3:uid="{00000000-0010-0000-0100-000004000000}" name="Check 2 Students Annual Savings" dataDxfId="442" totalsRowDxfId="43">
      <calculatedColumnFormula>Table1[[#This Row],[Check 2 Students Total]]*Table1[[#This Row],[Summer 2018 Price Check]]</calculatedColumnFormula>
    </tableColumn>
    <tableColumn id="63" xr3:uid="{00000000-0010-0000-0100-00003F000000}" name="Summer 2018 Students" dataDxfId="441" totalsRowDxfId="42"/>
    <tableColumn id="64" xr3:uid="{00000000-0010-0000-0100-000040000000}" name="Summer 2018 Savings" dataDxfId="440" totalsRowDxfId="41"/>
    <tableColumn id="65" xr3:uid="{00000000-0010-0000-0100-000041000000}" name="Fall 2018 Students" dataDxfId="439" totalsRowDxfId="40"/>
    <tableColumn id="66" xr3:uid="{00000000-0010-0000-0100-000042000000}" name="Fall 2018 Savings" dataDxfId="438" totalsRowDxfId="39"/>
    <tableColumn id="75" xr3:uid="{00000000-0010-0000-0100-00004B000000}" name="Spring 2019 Students" dataDxfId="437" totalsRowDxfId="38"/>
    <tableColumn id="78" xr3:uid="{00000000-0010-0000-0100-00004E000000}" name="Spring 2019 Savings" dataDxfId="436" totalsRowDxfId="37">
      <calculatedColumnFormula>Table1[[#This Row],[Summer 2018 Price Check]]*Table1[[#This Row],[Spring 2019 Students]]</calculatedColumnFormula>
    </tableColumn>
    <tableColumn id="72" xr3:uid="{00000000-0010-0000-0100-000048000000}" name="Total AY 2018-2019 Students" dataDxfId="435" totalsRowDxfId="36">
      <calculatedColumnFormula>BS2+BU2+BW2</calculatedColumnFormula>
    </tableColumn>
    <tableColumn id="77" xr3:uid="{00000000-0010-0000-0100-00004D000000}" name="Total AY 2018-2019 Savings" dataDxfId="434" totalsRowDxfId="35">
      <calculatedColumnFormula>BT2+BV2+BX2</calculatedColumnFormula>
    </tableColumn>
    <tableColumn id="90" xr3:uid="{00000000-0010-0000-0100-00005A000000}" name="Check 3 Status" dataDxfId="433" totalsRowDxfId="34"/>
    <tableColumn id="80" xr3:uid="{00000000-0010-0000-0100-000050000000}" name="Check 3 Students Summer" dataDxfId="432" totalsRowDxfId="33"/>
    <tableColumn id="81" xr3:uid="{00000000-0010-0000-0100-000051000000}" name="Check 3 Students Fall" dataDxfId="431" totalsRowDxfId="32"/>
    <tableColumn id="82" xr3:uid="{00000000-0010-0000-0100-000052000000}" name="Check 3 Students Spring" dataDxfId="430" totalsRowDxfId="31"/>
    <tableColumn id="83" xr3:uid="{00000000-0010-0000-0100-000053000000}" name="Check 3 Students Total" dataDxfId="429" totalsRowDxfId="30">
      <calculatedColumnFormula>Z2</calculatedColumnFormula>
    </tableColumn>
    <tableColumn id="84" xr3:uid="{00000000-0010-0000-0100-000054000000}" name="Check 3 Per Student Savings" dataDxfId="428" totalsRowDxfId="29"/>
    <tableColumn id="85" xr3:uid="{00000000-0010-0000-0100-000055000000}" name="Check 3 Total Annual Savings" dataDxfId="427" totalsRowDxfId="28">
      <calculatedColumnFormula>(CE2*CF2)</calculatedColumnFormula>
    </tableColumn>
    <tableColumn id="96" xr3:uid="{E078D645-C1DE-403A-8DB7-7CEAF5E0D008}" name="Starting Semester" dataDxfId="426" totalsRowDxfId="27"/>
    <tableColumn id="86" xr3:uid="{00000000-0010-0000-0100-000056000000}" name="Summer 2019 Students" dataDxfId="425" totalsRowDxfId="26">
      <calculatedColumnFormula>IF(Table1[[#This Row],[Check 3 Status]]="Continued", Table1[[#This Row],[Check 3 Students Summer]], 0)</calculatedColumnFormula>
    </tableColumn>
    <tableColumn id="87" xr3:uid="{00000000-0010-0000-0100-000057000000}" name="Summer 2019 Savings" dataDxfId="424" totalsRowDxfId="25">
      <calculatedColumnFormula>Table1[[#This Row],[Check 3 Per Student Savings]]*CI2</calculatedColumnFormula>
    </tableColumn>
    <tableColumn id="88" xr3:uid="{00000000-0010-0000-0100-000058000000}" name="Fall 2019 Students" dataDxfId="423" totalsRowDxfId="24">
      <calculatedColumnFormula>IF(Table1[[#This Row],[Check 3 Status]]="Continued", Table1[[#This Row],[Check 3 Students Fall]], 0)</calculatedColumnFormula>
    </tableColumn>
    <tableColumn id="89" xr3:uid="{00000000-0010-0000-0100-000059000000}" name="Fall 2019 Savings" dataDxfId="422" totalsRowDxfId="23">
      <calculatedColumnFormula>Table1[[#This Row],[Check 3 Per Student Savings]]*CK2</calculatedColumnFormula>
    </tableColumn>
    <tableColumn id="79" xr3:uid="{55845AA0-F063-4DFD-86AB-2715F301F539}" name="Spring 2020 Students" dataDxfId="421" totalsRowDxfId="22">
      <calculatedColumnFormula>IF(Table1[[#This Row],[Check 3 Status]]="Continued", Table1[[#This Row],[Check 3 Students Spring]], 0)</calculatedColumnFormula>
    </tableColumn>
    <tableColumn id="92" xr3:uid="{5DE0A768-B27A-41E9-A66C-7BFC513E9B42}" name="Spring 2020 Savings" dataDxfId="420" totalsRowDxfId="21">
      <calculatedColumnFormula>Table1[[#This Row],[Check 3 Per Student Savings]]*CM2</calculatedColumnFormula>
    </tableColumn>
    <tableColumn id="93" xr3:uid="{46D667C5-4265-46A2-AA7D-068A7B107369}" name="Total AY 2019-2020 Students" dataDxfId="419" totalsRowDxfId="20">
      <calculatedColumnFormula>CI2+CK2+CM2</calculatedColumnFormula>
    </tableColumn>
    <tableColumn id="95" xr3:uid="{92B571FC-5481-49FA-99CD-A83C5CE8924E}" name="Total AY 2019-2020 Savings" dataDxfId="418" totalsRowDxfId="19">
      <calculatedColumnFormula>CJ2+CL2+CN2</calculatedColumnFormula>
    </tableColumn>
    <tableColumn id="107" xr3:uid="{B12F752B-ACBD-40F6-A021-89CE1B02E1E9}" name="Check 4 Status" dataDxfId="417" totalsRowDxfId="18"/>
    <tableColumn id="106" xr3:uid="{ABCB3E2C-0EF8-436B-B978-65449F21AFFF}" name="Check 4 Students Summer" dataDxfId="416" totalsRowDxfId="17"/>
    <tableColumn id="105" xr3:uid="{9AFD4F27-B0FF-4855-A2D0-409FEE4BEDE9}" name="Check 4 Students Fall" dataDxfId="415" totalsRowDxfId="16"/>
    <tableColumn id="104" xr3:uid="{30DA4CBD-D799-47B4-83D9-CD4380A8D08D}" name="Check 4 Students Spring" dataDxfId="414" totalsRowDxfId="15"/>
    <tableColumn id="108" xr3:uid="{2ADA2B55-F2AF-4E76-A60D-67B943A23453}" name="Check 4 Students Total" dataDxfId="413" totalsRowDxfId="14">
      <calculatedColumnFormula>CR2+CS2+CT2</calculatedColumnFormula>
    </tableColumn>
    <tableColumn id="101" xr3:uid="{476C0421-7D7F-4552-90B9-C7347FC80BD8}" name="Check 4 Per Student Savings" dataDxfId="412" totalsRowDxfId="13"/>
    <tableColumn id="102" xr3:uid="{F8CA6F15-129D-4899-A095-B6A300623B69}" name="Check 4 Total Annual Savings" dataDxfId="411" totalsRowDxfId="12">
      <calculatedColumnFormula>CU2*CV2</calculatedColumnFormula>
    </tableColumn>
    <tableColumn id="111" xr3:uid="{B4819372-9423-4840-8842-C2851B12AA57}" name="Assist Semester" dataDxfId="410" totalsRowDxfId="11"/>
    <tableColumn id="98" xr3:uid="{0C1FE0D3-4C34-4478-9AB4-1E6592343C9C}" name="Summer 2020 Students" dataDxfId="409" totalsRowDxfId="10">
      <calculatedColumnFormula>IF(Table1[[#This Row],[Check 3 Status]]="Continued", Table1[[#This Row],[Check 3 Students Summer]], 0)</calculatedColumnFormula>
    </tableColumn>
    <tableColumn id="99" xr3:uid="{D69AF4C4-D269-4CB7-8E76-DF9BD2145378}" name="Summer 2020 Savings" dataDxfId="408" totalsRowDxfId="9">
      <calculatedColumnFormula>Table1[[#This Row],[Check 4 Per Student Savings]]*CY2</calculatedColumnFormula>
    </tableColumn>
    <tableColumn id="100" xr3:uid="{EC49698B-488A-45E1-A663-F5AD7127415C}" name="Fall 2020 Students" dataDxfId="407" totalsRowDxfId="8">
      <calculatedColumnFormula>IF(Table1[[#This Row],[Check 4 Status]]="Continued", Table1[[#This Row],[Check 4 Students Fall]], 0)</calculatedColumnFormula>
    </tableColumn>
    <tableColumn id="103" xr3:uid="{CA401864-F9AD-44DA-8988-39A90C78C9B5}" name="Fall 2020 Savings" dataDxfId="406" totalsRowDxfId="7">
      <calculatedColumnFormula>Table1[[#This Row],[Check 4 Per Student Savings]]*DA2</calculatedColumnFormula>
    </tableColumn>
    <tableColumn id="109" xr3:uid="{1BC3E21C-DD87-4E08-A6A6-3FAD1E7FD935}" name="Spring 2021 Students" dataDxfId="405" totalsRowDxfId="6"/>
    <tableColumn id="110" xr3:uid="{3035DE4E-146C-4376-A2DD-3EB8D2849157}" name="Spring 2021 Savings" dataDxfId="404" totalsRowDxfId="5">
      <calculatedColumnFormula>Table1[[#This Row],[Check 4 Per Student Savings]]*DC2</calculatedColumnFormula>
    </tableColumn>
    <tableColumn id="112" xr3:uid="{97741CBD-FA9F-49A4-8460-843307B54603}" name="Total AY 2020-2021 Students" dataDxfId="403" totalsRowDxfId="4">
      <calculatedColumnFormula>CY2+DA2+DC2</calculatedColumnFormula>
    </tableColumn>
    <tableColumn id="113" xr3:uid="{1672A2B9-99D4-4196-B9B8-1E8791E1566A}" name="Total AY 2020-2021 Savings" dataDxfId="402" totalsRowDxfId="3">
      <calculatedColumnFormula>CZ2+DB2+DD2</calculatedColumnFormula>
    </tableColumn>
    <tableColumn id="76" xr3:uid="{00000000-0010-0000-0100-00004C000000}" name="Grand Total Students" dataDxfId="401" totalsRowDxfId="2">
      <calculatedColumnFormula>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calculatedColumnFormula>
    </tableColumn>
    <tableColumn id="73" xr3:uid="{00000000-0010-0000-0100-000049000000}" name="Grand Total Savings" dataDxfId="400" totalsRowDxfId="1">
      <calculatedColumnFormula>Table1[[#This Row],[Total AY 2014-2015 Savings]]+Table1[[#This Row],[Total AY 2015-2016 Savings]]+Table1[[#This Row],[Total AY 2016-2017 Savings]]+Table1[[#This Row],[Total AY 2017-2018 Savings]]+Table1[[#This Row],[Total AY 2018-2019 Savings]]+Table1[[#This Row],[Total AY 2019-2020 Savings]]+Table1[[#This Row],[Total AY 2020-2021 Savings]]</calculatedColumnFormula>
    </tableColumn>
    <tableColumn id="74" xr3:uid="{00000000-0010-0000-0100-00004A000000}" name="Savings per $1 Awarded" dataDxfId="399" totalsRowDxfId="0" dataCellStyle="Currency">
      <calculatedColumnFormula>Table1[[#This Row],[Grand Total Savings]]/Table1[[#This Row],[Total Award]]</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E9830A2-BE61-4DC4-ABCA-8BCEBC11BBD0}" name="Table6" displayName="Table6" ref="A1:L2" totalsRowShown="0">
  <autoFilter ref="A1:L2" xr:uid="{23C803C0-4CC4-4689-A648-D7A512314A1F}"/>
  <tableColumns count="12">
    <tableColumn id="3" xr3:uid="{FA70DF1D-36CB-4B27-9B57-E409AAE2C429}" name="2015 Savings">
      <calculatedColumnFormula>SUM(Table1[Total AY 2014-2015 Savings])</calculatedColumnFormula>
    </tableColumn>
    <tableColumn id="4" xr3:uid="{55487BC8-C691-49ED-98DE-6981BB9A318F}" name="2015 Enrollments">
      <calculatedColumnFormula>SUM(Table1[Total AY 2014-2015 Students])</calculatedColumnFormula>
    </tableColumn>
    <tableColumn id="5" xr3:uid="{8C9CC1FE-8777-4808-A4EE-601DB23E32DE}" name="2016 Savings">
      <calculatedColumnFormula>SUM(Table1[Total AY 2015-2016 Savings])</calculatedColumnFormula>
    </tableColumn>
    <tableColumn id="6" xr3:uid="{1219789C-7D1B-4D46-8F95-E7AAAC0A389D}" name="2016 Enrollments">
      <calculatedColumnFormula>SUM(Table1[Total AY 2015-2016 Students])</calculatedColumnFormula>
    </tableColumn>
    <tableColumn id="7" xr3:uid="{D214FD58-13CC-4CB3-B29B-F2C1C07B7712}" name="2017 Savings">
      <calculatedColumnFormula>SUM(Table1[Total AY 2016-2017 Savings])</calculatedColumnFormula>
    </tableColumn>
    <tableColumn id="8" xr3:uid="{59F7E86A-9BEB-44C1-BCFD-3DCCC2A8B83F}" name="2017 Enrollments">
      <calculatedColumnFormula>SUM(Table1[Total AY 2016-2017 Students])</calculatedColumnFormula>
    </tableColumn>
    <tableColumn id="9" xr3:uid="{AFEC99EA-6710-4F57-B484-361B12F0A7A8}" name="2018 Savings">
      <calculatedColumnFormula>SUM(Table1[Total AY 2017-2018 Savings])</calculatedColumnFormula>
    </tableColumn>
    <tableColumn id="10" xr3:uid="{2F528A4E-FFD8-44A4-85D6-8DA24B8248C0}" name="2018 Enrollments">
      <calculatedColumnFormula>SUM(Table1[Total AY 2017-2018 Students])</calculatedColumnFormula>
    </tableColumn>
    <tableColumn id="11" xr3:uid="{4A29CE4A-B511-4B40-840B-00525BD173AD}" name="2019 Savings">
      <calculatedColumnFormula>SUM(Table1[Total AY 2018-2019 Savings])</calculatedColumnFormula>
    </tableColumn>
    <tableColumn id="12" xr3:uid="{E9154FA9-2042-4960-979E-8F6A07C3420D}" name="2019 Enrollments">
      <calculatedColumnFormula>SUM(Table1[Total AY 2018-2019 Students])</calculatedColumnFormula>
    </tableColumn>
    <tableColumn id="1" xr3:uid="{58668B25-00F5-4933-BD4F-20FCDD488AE5}" name="2020 Savings" dataDxfId="398">
      <calculatedColumnFormula>SUM(Table1[Total AY 2019-2020 Savings])</calculatedColumnFormula>
    </tableColumn>
    <tableColumn id="2" xr3:uid="{958FE218-43C8-4AE8-9E86-238EDAA1AEDA}" name="2020 Enrollments" dataDxfId="397" dataCellStyle="Comma">
      <calculatedColumnFormula>SUM(Table1[Total AY 2019-2020 Students])</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2BFD64B-54FF-4C87-9033-D478ADC8A3E2}" name="Data" displayName="Data" ref="A1:IA27" totalsRowShown="0" headerRowDxfId="370" dataDxfId="369" tableBorderDxfId="368">
  <autoFilter ref="A1:IA27" xr:uid="{54E4608B-1379-4ECA-AC0D-3223BB2B4C88}"/>
  <tableColumns count="235">
    <tableColumn id="1" xr3:uid="{60513B9B-51FA-4819-B3EF-EB3041470EB0}" name="Institution" dataDxfId="367"/>
    <tableColumn id="222" xr3:uid="{C0CF931D-16BA-438E-9FFB-9F68DB92EE74}" name="Classification" dataDxfId="366"/>
    <tableColumn id="229" xr3:uid="{15FE5C36-4179-425A-BC06-240AA490415A}" name="2020 LC Total" dataDxfId="365">
      <calculatedColumnFormula>Data[[#This Row],[Spring 20 No eCore Low-Cost Sections]]+Data[[#This Row],[Summer 20 No eCore Low-Cost Sections]]+Data[[#This Row],[Fall 20 No eCore Low-Cost Sections]]</calculatedColumnFormula>
    </tableColumn>
    <tableColumn id="230" xr3:uid="{B1A96636-ACAD-4FE8-9F27-C59F8447634F}" name="2020 LC%" dataDxfId="364">
      <calculatedColumnFormula>Data[[#This Row],[2020 LC Total]]/(Data[[#This Row],[Spring 20 All Sections]]+Data[[#This Row],[Summer 20 All Sections]]+Data[[#This Row],[Fall 20 All Sections]])</calculatedColumnFormula>
    </tableColumn>
    <tableColumn id="231" xr3:uid="{A51BCF76-017A-49B5-9C66-61E40B6ED14E}" name="2020 NC Total" dataDxfId="363">
      <calculatedColumnFormula>Data[[#This Row],[Spring 20 No eCore No-Cost Sections]]+Data[[#This Row],[Summer 20 No eCore No-Cost Sections]]+Data[[#This Row],[Fall 20 No eCore No-Cost Sections]]</calculatedColumnFormula>
    </tableColumn>
    <tableColumn id="232" xr3:uid="{DDA3C7AF-4DD6-40BA-BDEA-431D20BA8CFE}" name="2020 NC %" dataDxfId="362">
      <calculatedColumnFormula>Data[[#This Row],[2020 NC Total]]/(Data[[#This Row],[Spring 20 All Sections]]+Data[[#This Row],[Summer 20 All Sections]]+Data[[#This Row],[Fall 20 All Sections]])</calculatedColumnFormula>
    </tableColumn>
    <tableColumn id="233" xr3:uid="{6F073445-B6CE-46F4-AB88-75F4AA12655B}" name="2020 NC+LC Total" dataDxfId="361">
      <calculatedColumnFormula>Data[[#This Row],[2020 LC Total]]+Data[[#This Row],[2020 NC Total]]</calculatedColumnFormula>
    </tableColumn>
    <tableColumn id="234" xr3:uid="{0803CCF6-124E-40E2-AC09-D80B72C14F93}" name="2020 NC+LC %" dataDxfId="360">
      <calculatedColumnFormula>Data[[#This Row],[2020 NC+LC Total]]/(Data[[#This Row],[Spring 20 All Sections]]+Data[[#This Row],[Summer 20 All Sections]]+Data[[#This Row],[Fall 20 All Sections]])</calculatedColumnFormula>
    </tableColumn>
    <tableColumn id="2" xr3:uid="{F7122245-D43D-432B-8409-2D44C8637778}" name="Fall 18 All Sections" dataDxfId="359"/>
    <tableColumn id="3" xr3:uid="{6DE58951-1D8C-4AFC-8FBE-E492A3BDCCA9}" name="Spring 19 All Sections" dataDxfId="358"/>
    <tableColumn id="4" xr3:uid="{A9CC1F19-5B3F-455C-8293-43347C60D236}" name="Summer 19 All Sections" dataDxfId="357"/>
    <tableColumn id="6" xr3:uid="{50AD16C0-7F31-45C6-A0F4-A6A786EACD51}" name="Fall 19 All Sections" dataDxfId="356" dataCellStyle="Comma"/>
    <tableColumn id="170" xr3:uid="{7A54D631-E8A5-442A-9301-2A0A279A6BAB}" name="Spring 20 All Sections" dataDxfId="355" dataCellStyle="Comma"/>
    <tableColumn id="20" xr3:uid="{22236E76-DF96-4628-9EE5-6F8168722EE6}" name="Summer 20 All Sections" dataDxfId="354" dataCellStyle="Comma"/>
    <tableColumn id="70" xr3:uid="{04667417-72F2-46B9-9972-F2EF828B8783}" name="Fall 20 All Sections" dataDxfId="353" dataCellStyle="Comma"/>
    <tableColumn id="235" xr3:uid="{CF7190D8-22DA-4D99-9E8E-E43A0E3CDC67}" name="Total All Sections" dataDxfId="352" dataCellStyle="Comma">
      <calculatedColumnFormula>SUM(Data[[#This Row],[Fall 18 All Sections]:[Fall 20 All Sections]])</calculatedColumnFormula>
    </tableColumn>
    <tableColumn id="7" xr3:uid="{12F98E0B-C76D-4FF7-9394-7407B4A1D4DD}" name="Fall 18 eCore Sections" dataDxfId="351"/>
    <tableColumn id="8" xr3:uid="{4935DA45-741F-4392-ABB2-526E61AE5D0F}" name="Spring 19 eCore Sections" dataDxfId="350"/>
    <tableColumn id="9" xr3:uid="{7C3EBE0E-A08E-47B2-BD23-B6B9CBFE9BFA}" name="Summer 19 eCore Sections" dataDxfId="349"/>
    <tableColumn id="11" xr3:uid="{73F9929A-824A-4777-AE1A-56AD3C970057}" name="Fall 19 eCore Sections" dataDxfId="348" dataCellStyle="Comma"/>
    <tableColumn id="171" xr3:uid="{617D0F4D-2979-46FD-BDEA-4D6676194F39}" name="Spring 20 eCore Sections" dataDxfId="347" dataCellStyle="Comma"/>
    <tableColumn id="25" xr3:uid="{C5852A60-DB55-47FA-8723-14AE57AF7F5F}" name="Summer 20 eCore Sections" dataDxfId="346" dataCellStyle="Comma"/>
    <tableColumn id="168" xr3:uid="{74B23EAC-787B-4A85-9308-185941B6948D}" name="Fall 20 eCore Sections" dataDxfId="345" dataCellStyle="Comma"/>
    <tableColumn id="12" xr3:uid="{DFE9C9BE-A127-49D7-BF62-8F759580D2A6}" name="Fall 18 Non-eCore Sections" dataDxfId="344"/>
    <tableColumn id="13" xr3:uid="{F9D0D53A-BA28-4C5C-8798-C39D07BE1C47}" name="Spring 19 Non-eCore Sections" dataDxfId="343"/>
    <tableColumn id="14" xr3:uid="{26BF1FE5-2239-42F5-BC7E-B77877AE89B6}" name="Summer 19 Non-eCore Sections" dataDxfId="342" dataCellStyle="Comma"/>
    <tableColumn id="16" xr3:uid="{CE7F8405-D853-43A1-AAA7-2C9F335753B8}" name="Fall 19 Non-eCore Sections" dataDxfId="341" dataCellStyle="Comma"/>
    <tableColumn id="172" xr3:uid="{14D9808E-7E51-4578-A55C-58148490F754}" name="Spring 20 Non-eCore Sections" dataDxfId="340" dataCellStyle="Comma"/>
    <tableColumn id="30" xr3:uid="{D49CBCFA-A5C9-4781-ABEE-9F0263618394}" name="Summer 20 Non-eCore Sections" dataDxfId="339" dataCellStyle="Comma"/>
    <tableColumn id="200" xr3:uid="{3B00444C-B7A6-4E5A-ACC2-EC15AF7C0ECB}" name="Fall 20 Non-eCore Sections" dataDxfId="338" dataCellStyle="Comma"/>
    <tableColumn id="17" xr3:uid="{EAFCFE59-FCD9-480D-9207-201D446DFFA3}" name="Fall 18 All Low-Cost Sections" dataDxfId="337"/>
    <tableColumn id="18" xr3:uid="{22B2C9BB-D702-4F34-894D-54151ED71C07}" name="Spring 19 All Low-Cost Sections" dataDxfId="336" dataCellStyle="Comma"/>
    <tableColumn id="19" xr3:uid="{7ABB2893-CC5A-44B2-8DFC-E70E837E0511}" name="Summer 19 All Low-Cost Sections" dataDxfId="335" dataCellStyle="Comma"/>
    <tableColumn id="21" xr3:uid="{4E18BD7D-6399-4593-BD75-BDFD3F7AC82F}" name="Fall 19 All Low-Cost Sections" dataDxfId="334" dataCellStyle="Comma"/>
    <tableColumn id="173" xr3:uid="{9902AEF3-F27C-401B-8164-87A65972B95C}" name="Spring 20 All Low-Cost Sections" dataDxfId="333" dataCellStyle="Comma"/>
    <tableColumn id="35" xr3:uid="{D8C7FF0C-D0FE-4370-BC20-6A82F52CB23F}" name="Summer 20 All Low-Cost Sections" dataDxfId="332" dataCellStyle="Comma"/>
    <tableColumn id="201" xr3:uid="{3E6B2DCE-33AB-4C6A-B3CC-7BC1267E6B2F}" name="Fall 20 All Low-Cost Sections" dataDxfId="331" dataCellStyle="Comma"/>
    <tableColumn id="22" xr3:uid="{03C5A1FD-752B-43CD-A9CF-6B38F0316422}" name="Fall 18 All No-Cost Sections" dataDxfId="330"/>
    <tableColumn id="23" xr3:uid="{ED7DE8E6-C819-4ADD-8FEB-A019BAACBBB8}" name="Spring 19 All No-Cost Sections" dataDxfId="329" dataCellStyle="Comma"/>
    <tableColumn id="24" xr3:uid="{B127AF80-260A-4453-AE33-43F4E17836BB}" name="Summer 19 All No-Cost Sections" dataDxfId="328" dataCellStyle="Comma"/>
    <tableColumn id="26" xr3:uid="{0EDA0F03-5442-4550-82C0-06E0955078C0}" name="Fall 19 All No-Cost Sections" dataDxfId="327" dataCellStyle="Comma"/>
    <tableColumn id="174" xr3:uid="{49765BE5-92AC-43C7-A874-9CF76A690651}" name="Spring 20 All No-Cost Sections" dataDxfId="326" dataCellStyle="Comma"/>
    <tableColumn id="40" xr3:uid="{7671A979-F8D5-4D79-AD23-5C268E6DAFD8}" name="Summer 20 All No-Cost Sections" dataDxfId="325" dataCellStyle="Comma"/>
    <tableColumn id="202" xr3:uid="{3DB4D624-F6B2-454E-B420-EF827C8AC9DC}" name="Fall 20 All No-Cost Sections" dataDxfId="324" dataCellStyle="Comma"/>
    <tableColumn id="27" xr3:uid="{578FE185-FB21-4228-8561-1B7209B50268}" name="Fall 18 All No+Low-Cost Sections" dataDxfId="323"/>
    <tableColumn id="28" xr3:uid="{AAFEA451-3FDE-4DE2-A576-6090B84D6617}" name="Spring 19 All No+Low-Cost Sections" dataDxfId="322" dataCellStyle="Comma"/>
    <tableColumn id="29" xr3:uid="{4F297013-9B64-4DC4-8661-B2C51F08B02D}" name="Summer 19 All No+Low-Cost Sections" dataDxfId="321" dataCellStyle="Comma">
      <calculatedColumnFormula>AG2+AN2</calculatedColumnFormula>
    </tableColumn>
    <tableColumn id="31" xr3:uid="{123C6666-91D0-4007-B0C7-1C4FB7906CDA}" name="Fall 19 All No+Low-Cost Sections" dataDxfId="320" dataCellStyle="Comma">
      <calculatedColumnFormula>AH2+AO2</calculatedColumnFormula>
    </tableColumn>
    <tableColumn id="175" xr3:uid="{4EBEECEC-22F9-49C0-9C89-603E01987060}" name="Spring 20 All No+Low-Cost Sections" dataDxfId="319" dataCellStyle="Comma">
      <calculatedColumnFormula>AI2+AP2</calculatedColumnFormula>
    </tableColumn>
    <tableColumn id="45" xr3:uid="{17A273EC-3D81-470E-9C3D-2F3ECC72B19D}" name="Summer 20 All No+Low-Cost Sections" dataDxfId="318" dataCellStyle="Comma">
      <calculatedColumnFormula>AJ2+AQ2</calculatedColumnFormula>
    </tableColumn>
    <tableColumn id="203" xr3:uid="{AEC3CE8D-4A05-4DA4-9784-C4BAE32F94FF}" name="Fall 20 All No+Low-Cost Sections" dataDxfId="317" dataCellStyle="Comma">
      <calculatedColumnFormula>AK2+AR2</calculatedColumnFormula>
    </tableColumn>
    <tableColumn id="32" xr3:uid="{8C490601-708C-4B96-A426-DB3FB567C926}" name="Fall 18 No eCore Low-Cost Sections" dataDxfId="316"/>
    <tableColumn id="33" xr3:uid="{F3EFEC42-2F57-462C-999A-A8AEE626E902}" name="Spring 19 No eCore Low-Cost Sections" dataDxfId="315" dataCellStyle="Comma"/>
    <tableColumn id="34" xr3:uid="{4F63FC59-8082-4F16-8F89-068FA58A0281}" name="Summer 19 No eCore Low-Cost Sections" dataDxfId="314" dataCellStyle="Comma"/>
    <tableColumn id="36" xr3:uid="{DED5BB31-0F68-4A49-B1C2-1B44567370A8}" name="Fall 19 No eCore Low-Cost Sections" dataDxfId="313" dataCellStyle="Comma"/>
    <tableColumn id="176" xr3:uid="{1D1F1651-3FCA-479E-BE04-DE8241B375D0}" name="Spring 20 No eCore Low-Cost Sections" dataDxfId="312" dataCellStyle="Comma"/>
    <tableColumn id="50" xr3:uid="{AB15C7FB-E842-4AE0-9F5E-F7FBA4C2C6D6}" name="Summer 20 No eCore Low-Cost Sections" dataDxfId="311" dataCellStyle="Comma"/>
    <tableColumn id="204" xr3:uid="{4C191D00-77E1-4C0E-976D-4FE89DA159B9}" name="Fall 20 No eCore Low-Cost Sections" dataDxfId="310" dataCellStyle="Comma"/>
    <tableColumn id="37" xr3:uid="{76A3B55D-4511-480D-B754-B1022DC15AEF}" name="Fall 18 No eCore No-Cost Sections" dataDxfId="309"/>
    <tableColumn id="38" xr3:uid="{461AB618-BA8E-4DC5-88F3-3216F2DA8517}" name="Spring 19 No eCore No-Cost Sections" dataDxfId="308" dataCellStyle="Comma"/>
    <tableColumn id="39" xr3:uid="{45E26280-9FDA-4EED-9CF3-5EF7806971FA}" name="Summer 19 No eCore No-Cost Sections" dataDxfId="307" dataCellStyle="Comma"/>
    <tableColumn id="41" xr3:uid="{EAA710B2-C19F-420E-A99C-3E91697CAD2A}" name="Fall 19 No eCore No-Cost Sections" dataDxfId="306" dataCellStyle="Comma"/>
    <tableColumn id="177" xr3:uid="{1696CE32-7D54-4650-8229-8B3F8D6B002F}" name="Spring 20 No eCore No-Cost Sections" dataDxfId="305" dataCellStyle="Comma"/>
    <tableColumn id="55" xr3:uid="{6A43974F-1185-4F32-90DD-43A15D3F52E8}" name="Summer 20 No eCore No-Cost Sections" dataDxfId="304" dataCellStyle="Comma"/>
    <tableColumn id="205" xr3:uid="{771AED72-594E-4759-947D-0AACA41BCD25}" name="Fall 20 No eCore No-Cost Sections" dataDxfId="303" dataCellStyle="Comma"/>
    <tableColumn id="42" xr3:uid="{D4BCB091-231E-45CD-8DD0-6F403B006233}" name="Fall 18 No eCore No+Low-Cost Sections" dataDxfId="302"/>
    <tableColumn id="43" xr3:uid="{5FF0C9DD-2380-4A71-BC87-56F7E5B7E0E5}" name="Spring 19 No eCore No+Low-Cost Sections" dataDxfId="301" dataCellStyle="Comma"/>
    <tableColumn id="44" xr3:uid="{FBE0D273-9116-4D4D-AC2E-658D8C40B07A}" name="Summer 19 No eCore No+Low-Cost Sections" dataDxfId="300" dataCellStyle="Comma">
      <calculatedColumnFormula>SUM(BB2+BI2)</calculatedColumnFormula>
    </tableColumn>
    <tableColumn id="46" xr3:uid="{1119D24F-5AAC-4AED-AE4F-5EB974884BB1}" name="Fall 19 No eCore No+Low-Cost Sections" dataDxfId="299" dataCellStyle="Comma">
      <calculatedColumnFormula>BC2+BJ2</calculatedColumnFormula>
    </tableColumn>
    <tableColumn id="178" xr3:uid="{0D18FD3C-CD7A-4CA2-BF42-072244EA7C2C}" name="Spring 20 No eCore No+Low-Cost Sections" dataDxfId="298" dataCellStyle="Comma">
      <calculatedColumnFormula>SUM(BD2+BK2)</calculatedColumnFormula>
    </tableColumn>
    <tableColumn id="60" xr3:uid="{291CE2B8-B298-4620-9B46-E78C937AF4C4}" name="Summer 20 No eCore No+Low-Cost Sections" dataDxfId="297" dataCellStyle="Comma">
      <calculatedColumnFormula>SUM(BE2+BL2)</calculatedColumnFormula>
    </tableColumn>
    <tableColumn id="206" xr3:uid="{F6A7C8C8-2969-42AF-ABE1-D64AB89FEB8C}" name="Fall 20 No eCore No+Low-Cost Sections" dataDxfId="296" dataCellStyle="Comma">
      <calculatedColumnFormula>SUM(BF2+BM2)</calculatedColumnFormula>
    </tableColumn>
    <tableColumn id="47" xr3:uid="{3F97BC8A-1AAC-4763-BFDA-23A55AD9AD07}" name="Fall 18 %LC Sections All" dataDxfId="295"/>
    <tableColumn id="48" xr3:uid="{B1E349AE-AE87-4080-8542-8CE951B05ABB}" name="Spring 19 %LC Sections All" dataDxfId="294">
      <calculatedColumnFormula>AF2/J2</calculatedColumnFormula>
    </tableColumn>
    <tableColumn id="49" xr3:uid="{9AE44DF5-1D02-4949-B07A-D06AE8628807}" name="Summer 19 %LC Sections All" dataDxfId="293">
      <calculatedColumnFormula>AG2/K2</calculatedColumnFormula>
    </tableColumn>
    <tableColumn id="51" xr3:uid="{F07148AD-E023-45E7-9593-72299DA0B46F}" name="Fall 19 %LC Sections All" dataDxfId="292">
      <calculatedColumnFormula>AH2/L2</calculatedColumnFormula>
    </tableColumn>
    <tableColumn id="179" xr3:uid="{876B8D95-881E-4AC6-AF0C-D490C42164D3}" name="Spring 20 %LC Sections All" dataDxfId="291">
      <calculatedColumnFormula>AI2/M2</calculatedColumnFormula>
    </tableColumn>
    <tableColumn id="65" xr3:uid="{E2AA7458-6321-4C78-82A3-C1A7F534FC18}" name="Summer 20 %LC Sections All" dataDxfId="290">
      <calculatedColumnFormula>AJ2/N2</calculatedColumnFormula>
    </tableColumn>
    <tableColumn id="207" xr3:uid="{A6033A45-F0E3-4AB1-8C88-4230FA5981A6}" name="Fall 20 %LC Sections All" dataDxfId="289">
      <calculatedColumnFormula>AK2/O2</calculatedColumnFormula>
    </tableColumn>
    <tableColumn id="52" xr3:uid="{80225DB2-317F-4AE8-9FC7-C9A1CB2074BF}" name="Fall 18 %NC Sections All" dataDxfId="288"/>
    <tableColumn id="53" xr3:uid="{7CC81F64-488E-48EB-A815-DDC03E219C82}" name="Spring 19 %NC Sections All" dataDxfId="287">
      <calculatedColumnFormula>AM2/J2</calculatedColumnFormula>
    </tableColumn>
    <tableColumn id="54" xr3:uid="{3D770551-488C-4BED-A298-A22CE5F1DA78}" name="Summer 19 %NC Sections All" dataDxfId="286">
      <calculatedColumnFormula>AN2/K2</calculatedColumnFormula>
    </tableColumn>
    <tableColumn id="56" xr3:uid="{5F07BBDC-F7CA-4DF1-8337-5434E7ACC0DF}" name="Fall 19 %NC Sections All" dataDxfId="285">
      <calculatedColumnFormula>AO2/L2</calculatedColumnFormula>
    </tableColumn>
    <tableColumn id="180" xr3:uid="{122A93A2-ED53-429D-8CEA-1B9E07AEF77A}" name="Spring 20 %NC Sections All" dataDxfId="284">
      <calculatedColumnFormula>AP2/M2</calculatedColumnFormula>
    </tableColumn>
    <tableColumn id="75" xr3:uid="{04DF261A-5CC5-42EA-A45C-64F4AB82055E}" name="Summer 20 %NC Sections All" dataDxfId="283">
      <calculatedColumnFormula>AQ2/N2</calculatedColumnFormula>
    </tableColumn>
    <tableColumn id="208" xr3:uid="{7E2C7FA9-95F6-4C4C-8FF8-7EE6008CF3CA}" name="Fall 20 %NC Sections All" dataDxfId="282">
      <calculatedColumnFormula>AR2/O2</calculatedColumnFormula>
    </tableColumn>
    <tableColumn id="57" xr3:uid="{BE2F645C-8B9B-4268-B58B-C7B8332E7F51}" name="Fall 18 %NC+LC Sections All" dataDxfId="281"/>
    <tableColumn id="58" xr3:uid="{7A93A4C8-F54C-4864-9E39-3739AD9D46EA}" name="Spring 19 %NC+LC Sections All" dataDxfId="280">
      <calculatedColumnFormula>AT2/J2</calculatedColumnFormula>
    </tableColumn>
    <tableColumn id="59" xr3:uid="{64AE6290-0FF6-4A6D-A722-4BF140D4F809}" name="Summer 19 %NC+LC Sections All" dataDxfId="279">
      <calculatedColumnFormula>AU2/K2</calculatedColumnFormula>
    </tableColumn>
    <tableColumn id="61" xr3:uid="{B141F736-FC82-40B8-BDF2-498B225F622D}" name="Fall 19 %NC+LC Sections All" dataDxfId="278">
      <calculatedColumnFormula>AV2/L2</calculatedColumnFormula>
    </tableColumn>
    <tableColumn id="181" xr3:uid="{02432148-953C-49FC-8084-D93ABC18C2F6}" name="Spring 20 %NC+LC Sections All" dataDxfId="277">
      <calculatedColumnFormula>AW2/M2</calculatedColumnFormula>
    </tableColumn>
    <tableColumn id="77" xr3:uid="{17424FB5-9368-4B40-AD93-4AB401F90779}" name="Summer 20 %NC+LC Sections All" dataDxfId="276">
      <calculatedColumnFormula>AX2/N2</calculatedColumnFormula>
    </tableColumn>
    <tableColumn id="209" xr3:uid="{8E34984B-DC77-4BD5-8EC0-77BA85D16D3E}" name="Fall 20 %NC+LC Sections All" dataDxfId="275">
      <calculatedColumnFormula>AY2/O2</calculatedColumnFormula>
    </tableColumn>
    <tableColumn id="62" xr3:uid="{94451832-37AD-4F88-82A4-6BBBCBAB0DD2}" name="Fall 18 %LC Sections No eCore" dataDxfId="274"/>
    <tableColumn id="63" xr3:uid="{AF38EB7E-2001-4FDB-934B-48A024661D09}" name="Spring 19 %LC Sections No eCore" dataDxfId="273">
      <calculatedColumnFormula>BA2/Y2</calculatedColumnFormula>
    </tableColumn>
    <tableColumn id="64" xr3:uid="{3D1DD63C-E678-4BB2-A7EB-046E88DA190F}" name="Summer 19 %LC Sections No eCore" dataDxfId="272">
      <calculatedColumnFormula>BB2/Z2</calculatedColumnFormula>
    </tableColumn>
    <tableColumn id="66" xr3:uid="{8C8E9BC9-3FFE-46B4-8E10-259D42DB811C}" name="Fall 19 %LC Sections No eCore" dataDxfId="271">
      <calculatedColumnFormula>BC2/AA2</calculatedColumnFormula>
    </tableColumn>
    <tableColumn id="182" xr3:uid="{8FA225B0-3F90-4E7A-BC7A-4610AE0A3D97}" name="Spring 20 %LC Sections No eCore" dataDxfId="270">
      <calculatedColumnFormula>BD2/AB2</calculatedColumnFormula>
    </tableColumn>
    <tableColumn id="78" xr3:uid="{4538D044-945C-4EB1-90EE-1C949583909A}" name="Summer 20 %LC Sections No eCore" dataDxfId="269">
      <calculatedColumnFormula>BE2/AC2</calculatedColumnFormula>
    </tableColumn>
    <tableColumn id="210" xr3:uid="{1AB56592-605F-4A49-8534-018922087519}" name="Fall 20 %LC Sections No eCore" dataDxfId="268">
      <calculatedColumnFormula>BF2/AD2</calculatedColumnFormula>
    </tableColumn>
    <tableColumn id="67" xr3:uid="{ED84657E-72C6-4D25-B534-51EAD120072A}" name="Fall 18 %NC Sections No eCore" dataDxfId="267"/>
    <tableColumn id="68" xr3:uid="{84CF0907-283E-4B4F-9CD3-449993A9AB4C}" name="Spring 19 %NC Sections No eCore" dataDxfId="266">
      <calculatedColumnFormula>BH2/Y2</calculatedColumnFormula>
    </tableColumn>
    <tableColumn id="69" xr3:uid="{4C9F6CEB-55D6-4285-858A-398C61DEFC0C}" name="Summer 19 %NC Sections No eCore" dataDxfId="265">
      <calculatedColumnFormula>BI2/Z2</calculatedColumnFormula>
    </tableColumn>
    <tableColumn id="71" xr3:uid="{C5A19493-03BF-413F-8203-737C754F89AD}" name="Fall 19 %NC Sections No eCore" dataDxfId="264">
      <calculatedColumnFormula>BJ2/AA2</calculatedColumnFormula>
    </tableColumn>
    <tableColumn id="183" xr3:uid="{DBC19E73-CAA8-4957-83CC-D499E1F6AA18}" name="Spring 20 %NC Sections No eCore" dataDxfId="263">
      <calculatedColumnFormula>BK2/AB2</calculatedColumnFormula>
    </tableColumn>
    <tableColumn id="79" xr3:uid="{E4606173-6F5E-43D3-AB49-F0C48C78EB58}" name="Summer 20 %NC Sections No eCore" dataDxfId="262">
      <calculatedColumnFormula>BL2/AC2</calculatedColumnFormula>
    </tableColumn>
    <tableColumn id="211" xr3:uid="{042BD495-B310-42C5-80BA-544A955CDCAC}" name="Fall 20 %NC Sections No eCore" dataDxfId="261">
      <calculatedColumnFormula>BM2/AD2</calculatedColumnFormula>
    </tableColumn>
    <tableColumn id="72" xr3:uid="{15ADED09-0135-4833-A788-3FBD6818C41E}" name="Fall 18 %NC+LC Sections No eCore" dataDxfId="260"/>
    <tableColumn id="73" xr3:uid="{BE16E21D-E267-471F-9DB9-5993E5017E63}" name="Spring 19 %NC+LC Sections No eCore" dataDxfId="259" dataCellStyle="Percent">
      <calculatedColumnFormula>BO2/Y2</calculatedColumnFormula>
    </tableColumn>
    <tableColumn id="74" xr3:uid="{7333C3F7-E267-44AC-9375-D020CD5AC57D}" name="Summer 19 %NC+LC Sections No eCore" dataDxfId="258" dataCellStyle="Percent">
      <calculatedColumnFormula>BP2/Z2</calculatedColumnFormula>
    </tableColumn>
    <tableColumn id="76" xr3:uid="{C06CBC66-69CB-49AA-BBEE-EE7367BB51B2}" name="Fall 19 %NC+LC Sections No eCore" dataDxfId="257" dataCellStyle="Percent">
      <calculatedColumnFormula>BQ2/AA2</calculatedColumnFormula>
    </tableColumn>
    <tableColumn id="184" xr3:uid="{233C44CF-1FFA-4F3F-A34D-F28361ECFB94}" name="Spring 20 %NC+LC Sections No eCore" dataDxfId="256" dataCellStyle="Percent">
      <calculatedColumnFormula>BR2/AB2</calculatedColumnFormula>
    </tableColumn>
    <tableColumn id="83" xr3:uid="{225A4862-C385-4E21-8452-9E5CD8103E13}" name="Summer 20 %NC+LC Sections No eCore" dataDxfId="255" dataCellStyle="Percent">
      <calculatedColumnFormula>BS2/AC2</calculatedColumnFormula>
    </tableColumn>
    <tableColumn id="212" xr3:uid="{0499E5CB-BA42-4DBC-B384-150F0DB8A682}" name="Fall 20 %NC+LC Sections No eCore" dataDxfId="254" dataCellStyle="Percent">
      <calculatedColumnFormula>BT2/AD2</calculatedColumnFormula>
    </tableColumn>
    <tableColumn id="80" xr3:uid="{13893824-4012-4554-ABAC-00CB2CBA12C1}" name="Fall 18 All Enroll" dataDxfId="253"/>
    <tableColumn id="81" xr3:uid="{F4B42128-5567-4232-B3EC-06AA4AD8CE62}" name="Spring 19 All Enroll" dataDxfId="252"/>
    <tableColumn id="82" xr3:uid="{F4E3AFAF-0FAA-4D13-8463-E31B19B3CC59}" name="Summer 19 All Enroll" dataDxfId="251"/>
    <tableColumn id="84" xr3:uid="{9EA106FC-3A5D-4F4C-8E63-56B82393260F}" name="Fall 19 All Enroll" dataDxfId="250"/>
    <tableColumn id="185" xr3:uid="{D5CBBF5F-906E-4FF2-B8B1-F884965AC327}" name="Spring 20 All Enroll" dataDxfId="249" dataCellStyle="Comma"/>
    <tableColumn id="89" xr3:uid="{8AE55741-BF41-4626-BA37-1D3723671E67}" name="Summer 20 All Enroll" dataDxfId="248" dataCellStyle="Comma"/>
    <tableColumn id="213" xr3:uid="{70596A38-D60B-4BB6-85EB-64AB206314D9}" name="Fall 20 All Enroll" dataDxfId="247" dataCellStyle="Comma"/>
    <tableColumn id="85" xr3:uid="{A0C90333-222B-484A-BEDA-3526BF43B513}" name="Total All Enroll" dataDxfId="246">
      <calculatedColumnFormula>SUM(Data[[#This Row],[Fall 18 All Enroll]:[Fall 20 All Enroll]])</calculatedColumnFormula>
    </tableColumn>
    <tableColumn id="86" xr3:uid="{30DAB317-1830-4658-AD40-C53EBD2FD0F9}" name="Fall 18 Non-eCore Enroll" dataDxfId="245"/>
    <tableColumn id="87" xr3:uid="{1244D1A2-2CFE-497C-ADD5-9AAE43760475}" name="Spring 19 Non-eCore Enroll" dataDxfId="244"/>
    <tableColumn id="88" xr3:uid="{A469ECC3-BB60-4CD4-A16B-7CEC0F943904}" name="Summer 19 Non-eCore Enroll" dataDxfId="243"/>
    <tableColumn id="90" xr3:uid="{D2DC1B2F-2126-4745-8242-4363A28702F3}" name="Fall 19 Non-eCore Enroll" dataDxfId="242"/>
    <tableColumn id="186" xr3:uid="{5BDD1978-33E6-485B-816A-B2C8D1EC75C0}" name="Spring 20 Non-eCore Enroll" dataDxfId="241" dataCellStyle="Comma"/>
    <tableColumn id="95" xr3:uid="{4A38EA28-777E-4947-B569-51D5F27ACC72}" name="Summer 20 Non-eCore Enroll" dataDxfId="240" dataCellStyle="Comma"/>
    <tableColumn id="214" xr3:uid="{B38A4A97-6ACF-458D-A629-EBB1E22DF217}" name="Fall 20 Non-eCore Enroll" dataDxfId="239" dataCellStyle="Comma"/>
    <tableColumn id="91" xr3:uid="{BAE38384-DC07-40DE-812B-88F6929A7E67}" name="Total Non-eCore Enroll" dataDxfId="238">
      <calculatedColumnFormula>SUM(Data[[#This Row],[Fall 18 Non-eCore Enroll]:[Fall 20 Non-eCore Enroll]])</calculatedColumnFormula>
    </tableColumn>
    <tableColumn id="92" xr3:uid="{312D2C8B-B5B2-4E40-995F-7CC018DEE54C}" name="Fall 18 LC All Enroll" dataDxfId="237"/>
    <tableColumn id="93" xr3:uid="{3E1ABC60-58C2-4059-80F8-472BF2140ECC}" name="Spring 19 LC All Enroll" dataDxfId="236"/>
    <tableColumn id="94" xr3:uid="{0E67AD77-54FE-4AAF-850B-2EDE0F88631E}" name="Summer 19 LC All Enroll" dataDxfId="235"/>
    <tableColumn id="96" xr3:uid="{9646B75E-0A30-4D0C-8CCD-04AAF2336D98}" name="Fall 19 LC All Enroll" dataDxfId="234"/>
    <tableColumn id="187" xr3:uid="{D78EC979-1868-4156-95A1-4C306B879991}" name="Spring 20 LC All Enroll" dataDxfId="233" dataCellStyle="Comma"/>
    <tableColumn id="102" xr3:uid="{3C357A89-1100-4ABD-8E25-C6A4290922AF}" name="Summer 20 LC All Enroll" dataDxfId="232" dataCellStyle="Comma"/>
    <tableColumn id="215" xr3:uid="{66F4B18B-2A68-4248-8082-07E8005C0FD1}" name="Fall 20 LC All Enroll" dataDxfId="231" dataCellStyle="Comma"/>
    <tableColumn id="97" xr3:uid="{E98579FC-392C-4512-B5D5-13E3FBF706AB}" name="Total LC All Enroll" dataDxfId="230">
      <calculatedColumnFormula>SUM(Data[[#This Row],[Fall 18 LC All Enroll]:[Fall 20 LC All Enroll]])</calculatedColumnFormula>
    </tableColumn>
    <tableColumn id="98" xr3:uid="{7477C984-7B57-46C1-8FEB-1EE6A092F95E}" name="% Total LC All Enroll" dataDxfId="229">
      <calculatedColumnFormula>EH2/DR2</calculatedColumnFormula>
    </tableColumn>
    <tableColumn id="99" xr3:uid="{00171A5A-9541-49C0-8F49-53D48BC336A5}" name="Fall 18 LC All Enroll%" dataDxfId="228"/>
    <tableColumn id="100" xr3:uid="{7AC716A8-D7F0-4310-BD69-B34627EE7467}" name="Spring 19 LC All Enroll%" dataDxfId="227">
      <calculatedColumnFormula>EB2/DL2</calculatedColumnFormula>
    </tableColumn>
    <tableColumn id="101" xr3:uid="{1F6C04C8-3377-45E4-ADD2-63B2E38622AF}" name="Summer 19 LC All Enroll%" dataDxfId="226">
      <calculatedColumnFormula>EC2/DM2</calculatedColumnFormula>
    </tableColumn>
    <tableColumn id="103" xr3:uid="{5CC1E133-1C62-48A3-A889-CC7119843407}" name="Fall 19 LC All Enroll%" dataDxfId="225">
      <calculatedColumnFormula>ED2/DN2</calculatedColumnFormula>
    </tableColumn>
    <tableColumn id="188" xr3:uid="{C917E63F-CF18-440F-845E-C2D18A4758B1}" name="Spring 20 LC All Enroll%" dataDxfId="224">
      <calculatedColumnFormula>EE2/DO2</calculatedColumnFormula>
    </tableColumn>
    <tableColumn id="107" xr3:uid="{AC1A6353-2FAA-431B-B78A-CF502C7AE3A2}" name="Summer 20 LC All Enroll%" dataDxfId="223">
      <calculatedColumnFormula>EF2/DP2</calculatedColumnFormula>
    </tableColumn>
    <tableColumn id="216" xr3:uid="{BCAB9C1C-CB66-4E0E-9AF9-2B8EA36C02D7}" name="Fall 20 LC All Enroll%" dataDxfId="222">
      <calculatedColumnFormula>EG2/DQ2</calculatedColumnFormula>
    </tableColumn>
    <tableColumn id="104" xr3:uid="{8BCC2B3D-CB5B-4C49-B0C5-31F4713A98D1}" name="Fall 18 NC All Enroll" dataDxfId="221"/>
    <tableColumn id="105" xr3:uid="{6F7ADD57-FEED-43A2-938F-DBD14450A5BB}" name="Spring 19 NC All Enroll" dataDxfId="220"/>
    <tableColumn id="106" xr3:uid="{36C892D4-2775-49E9-A7DE-17958CF0E7C3}" name="Summer 19 NC All Enroll" dataDxfId="219"/>
    <tableColumn id="108" xr3:uid="{6D88227C-FB0F-411A-9118-534BD1B8AC07}" name="Fall 19 NC All Enroll" dataDxfId="218"/>
    <tableColumn id="189" xr3:uid="{F01BA8D1-F154-46C3-907C-18A1E961ACE3}" name="Spring 20 NC All Enroll" dataDxfId="217" dataCellStyle="Comma"/>
    <tableColumn id="114" xr3:uid="{30F1B7C7-E415-4B47-A7F1-AEBCD55DACFC}" name="Summer 20 NC All Enroll" dataDxfId="216" dataCellStyle="Comma"/>
    <tableColumn id="217" xr3:uid="{1A77D985-E1CA-424D-97AB-81BB9F9AE310}" name="Fall 20 NC All Enroll" dataDxfId="215" dataCellStyle="Comma"/>
    <tableColumn id="109" xr3:uid="{64373D5E-7EEA-4ED1-A8E8-DC463B26EA0C}" name="Total NC All Enroll" dataDxfId="214">
      <calculatedColumnFormula>SUM(Data[[#This Row],[Fall 18 NC All Enroll]:[Fall 20 NC All Enroll]])</calculatedColumnFormula>
    </tableColumn>
    <tableColumn id="110" xr3:uid="{E51FAA1D-718D-48A4-838C-EA7E33627427}" name="% Total NC All Enroll" dataDxfId="213">
      <calculatedColumnFormula>EX2/DR2</calculatedColumnFormula>
    </tableColumn>
    <tableColumn id="111" xr3:uid="{CE0C1F43-7348-451B-9AB5-E1B012165D77}" name="Fall 18 NC All Enroll%" dataDxfId="212"/>
    <tableColumn id="112" xr3:uid="{22E8A65E-4501-4902-9733-924B77FD8A19}" name="Spring 19 NC All Enroll%" dataDxfId="211">
      <calculatedColumnFormula>ER2/DL2</calculatedColumnFormula>
    </tableColumn>
    <tableColumn id="113" xr3:uid="{7B2C5578-64A9-496C-B77D-04427C7650A8}" name="Summer 19 NC All Enroll%" dataDxfId="210">
      <calculatedColumnFormula>ES2/DM2</calculatedColumnFormula>
    </tableColumn>
    <tableColumn id="115" xr3:uid="{0E8C2B18-61E1-4AC7-963D-CD9862E11F0B}" name="Fall 19 NC All Enroll%" dataDxfId="209">
      <calculatedColumnFormula>ET2/DN2</calculatedColumnFormula>
    </tableColumn>
    <tableColumn id="190" xr3:uid="{E9C5139B-818A-44D7-8267-BE43FDB4C78E}" name="Spring 20 NC All Enroll%" dataDxfId="208">
      <calculatedColumnFormula>EU2/DO2</calculatedColumnFormula>
    </tableColumn>
    <tableColumn id="119" xr3:uid="{7ABA1A36-170A-4E37-B533-8BD613074FC1}" name="Summer 20 NC All Enroll%" dataDxfId="207">
      <calculatedColumnFormula>EV2/DP2</calculatedColumnFormula>
    </tableColumn>
    <tableColumn id="218" xr3:uid="{76ACBC6A-60FE-4F40-AC91-D8FF42D3ECEA}" name="Fall 20 NC All Enroll%" dataDxfId="206">
      <calculatedColumnFormula>EW2/DQ2</calculatedColumnFormula>
    </tableColumn>
    <tableColumn id="116" xr3:uid="{AE1AC247-341C-4E75-9191-DF6492C5A33E}" name="Fall 18 LC+NC All Enroll" dataDxfId="205"/>
    <tableColumn id="117" xr3:uid="{7961FAA4-C5E2-4032-AC51-DF2A278F1436}" name="Spring 19 LC+NC All Enroll" dataDxfId="204"/>
    <tableColumn id="118" xr3:uid="{C4C64887-5B06-46AF-A723-01BEB8ED0CB1}" name="Summer 19 LC+NC All Enroll" dataDxfId="203">
      <calculatedColumnFormula>ES2+EC2</calculatedColumnFormula>
    </tableColumn>
    <tableColumn id="120" xr3:uid="{E4BB0258-E781-4832-9B7D-7EB2355F58A0}" name="Fall 19 LC+NC All Enroll" dataDxfId="202">
      <calculatedColumnFormula>ED2+ET2</calculatedColumnFormula>
    </tableColumn>
    <tableColumn id="191" xr3:uid="{CF4811B4-5BF0-41C3-A8C3-511B12AF1857}" name="Spring 20 LC+NC All Enroll" dataDxfId="201" dataCellStyle="Comma">
      <calculatedColumnFormula>EE2+EU2</calculatedColumnFormula>
    </tableColumn>
    <tableColumn id="126" xr3:uid="{169B4CAD-9D8D-49F4-8850-DF8A395E3B17}" name="Summer 20 LC+NC All Enroll" dataDxfId="200" dataCellStyle="Comma">
      <calculatedColumnFormula>EF2+EV2</calculatedColumnFormula>
    </tableColumn>
    <tableColumn id="219" xr3:uid="{83C2CD28-AF9F-43E1-8A5D-51AAB2761648}" name="Fall 20 LC+NC All Enroll" dataDxfId="199" dataCellStyle="Comma">
      <calculatedColumnFormula>EG2+EW2</calculatedColumnFormula>
    </tableColumn>
    <tableColumn id="121" xr3:uid="{A46975D0-6F44-42AF-AAED-77DC5DA450F6}" name="Total LC+NC All Enroll" dataDxfId="198">
      <calculatedColumnFormula>SUM(Data[[#This Row],[Fall 18 LC+NC All Enroll]:[Fall 20 LC+NC All Enroll]])</calculatedColumnFormula>
    </tableColumn>
    <tableColumn id="122" xr3:uid="{9E54D612-052F-4E1C-900F-89DCAAF7A9E0}" name="% Total LC+NC All Enroll" dataDxfId="197">
      <calculatedColumnFormula>FN2/DR2</calculatedColumnFormula>
    </tableColumn>
    <tableColumn id="123" xr3:uid="{5284E1BA-90F0-446E-9F3C-5808D5DB39B7}" name="Fall 18 LC+NC All Enroll%" dataDxfId="196"/>
    <tableColumn id="124" xr3:uid="{658E4FD9-F57C-4DC9-BC41-C4A05DB79D43}" name="Spring 19 LC+NC All Enroll%" dataDxfId="195">
      <calculatedColumnFormula>FH2/DL2</calculatedColumnFormula>
    </tableColumn>
    <tableColumn id="125" xr3:uid="{CEFBC225-5206-455F-9DD3-3228C6F828C9}" name="Summer 19 LC+NC All Enroll%" dataDxfId="194">
      <calculatedColumnFormula>FI2/DM2</calculatedColumnFormula>
    </tableColumn>
    <tableColumn id="127" xr3:uid="{4FD74E6C-C82C-429C-8926-EEF476AB8DD9}" name="Fall 19 LC+NC All Enroll%" dataDxfId="193">
      <calculatedColumnFormula>FJ2/DN2</calculatedColumnFormula>
    </tableColumn>
    <tableColumn id="192" xr3:uid="{A503E695-EE27-4B78-AEF5-13F65B7A4B76}" name="Spring 20 LC+NC All Enroll%" dataDxfId="192" dataCellStyle="Percent">
      <calculatedColumnFormula>FK2/DO2</calculatedColumnFormula>
    </tableColumn>
    <tableColumn id="131" xr3:uid="{016EA7CC-722E-480A-9E0E-76980679FE19}" name="Summer 20 LC+NC All Enroll%" dataDxfId="191" dataCellStyle="Percent">
      <calculatedColumnFormula>FL2/DP2</calculatedColumnFormula>
    </tableColumn>
    <tableColumn id="220" xr3:uid="{EECB4003-9D3E-472B-BDAB-160F4220F49B}" name="Fall 20 LC+NC All Enroll%" dataDxfId="190" dataCellStyle="Percent">
      <calculatedColumnFormula>FM2/DQ2</calculatedColumnFormula>
    </tableColumn>
    <tableColumn id="128" xr3:uid="{9DCE9DDF-AC72-4995-9449-8B25B19F6DE6}" name="Fall 18 LC Non-eCore Enroll" dataDxfId="189"/>
    <tableColumn id="129" xr3:uid="{7ABE3EE9-1086-4216-9FA4-6F2DEA179827}" name="Spring 19 LC Non-eCore Enroll" dataDxfId="188"/>
    <tableColumn id="130" xr3:uid="{C6FD1D7B-C356-42D7-B09B-6E0F7F7B417D}" name="Summer 19 LC Non-eCore Enroll" dataDxfId="187"/>
    <tableColumn id="132" xr3:uid="{2A6BEF6D-AC35-4022-9B5B-A78C9E5996C5}" name="Fall 19 LC Non-eCore Enroll" dataDxfId="186"/>
    <tableColumn id="193" xr3:uid="{C4186453-ACCD-4DA9-8A27-56B20272BD26}" name="Spring 20 LC Non-eCore Enroll" dataDxfId="185" dataCellStyle="Comma"/>
    <tableColumn id="138" xr3:uid="{2B99B435-16D3-4A73-AC43-94A601ED698C}" name="Summer 20 LC Non-eCore Enroll" dataDxfId="184" dataCellStyle="Comma"/>
    <tableColumn id="221" xr3:uid="{ACB4558E-100F-4233-8D82-562A79E56B62}" name="Fall 20 LC Non-eCore Enroll" dataDxfId="183" dataCellStyle="Comma"/>
    <tableColumn id="133" xr3:uid="{0386F219-A8A6-44E3-ACF5-9B386367CA94}" name="Total LC Non-eCore Enroll" dataDxfId="182">
      <calculatedColumnFormula>SUM(Data[[#This Row],[Fall 18 LC Non-eCore Enroll]:[Fall 20 LC Non-eCore Enroll]])</calculatedColumnFormula>
    </tableColumn>
    <tableColumn id="134" xr3:uid="{74EA2456-E09A-4B2D-99C9-D939CCBD3BCE}" name="% Total LC Non-eCore Enroll" dataDxfId="181">
      <calculatedColumnFormula>GD2/DZ2</calculatedColumnFormula>
    </tableColumn>
    <tableColumn id="135" xr3:uid="{541004B1-1814-4823-9A18-D5F8072B1D02}" name="Fall 18 LC Non-eCore Enroll%" dataDxfId="180"/>
    <tableColumn id="136" xr3:uid="{D6B31BF9-58F0-40EB-B4F8-077DDB57D005}" name="Spring 19 LC Non-eCore Enroll%" dataDxfId="179">
      <calculatedColumnFormula>FX2/DT2</calculatedColumnFormula>
    </tableColumn>
    <tableColumn id="137" xr3:uid="{F4FF3EF2-6981-48DD-90A1-E15F8A2E2A7A}" name="Summer 19 LC Non-eCore Enroll%" dataDxfId="178">
      <calculatedColumnFormula>FY2/DU2</calculatedColumnFormula>
    </tableColumn>
    <tableColumn id="139" xr3:uid="{9770530F-DD26-4411-ACDC-D7A99B8B4EE7}" name="Fall 19 LC Non-eCore Enroll%" dataDxfId="177">
      <calculatedColumnFormula>FZ2/DV2</calculatedColumnFormula>
    </tableColumn>
    <tableColumn id="194" xr3:uid="{0168B2E5-A834-49FE-A2D1-AC649EC7F8EE}" name="Spring 20 LC Non-eCore Enroll%" dataDxfId="176">
      <calculatedColumnFormula>GA2/DW2</calculatedColumnFormula>
    </tableColumn>
    <tableColumn id="143" xr3:uid="{36836512-6D3C-48B3-BB3D-7743FA1C824A}" name="Summer 20 LC Non-eCore Enroll%" dataDxfId="175">
      <calculatedColumnFormula>GB2/DX2</calculatedColumnFormula>
    </tableColumn>
    <tableColumn id="223" xr3:uid="{8AF68A26-76FF-4E9D-A4BF-FCB491D5CE40}" name="Fall 20 LC Non-eCore Enroll%" dataDxfId="174">
      <calculatedColumnFormula>GC2/DY2</calculatedColumnFormula>
    </tableColumn>
    <tableColumn id="140" xr3:uid="{7A713E6E-C811-48D2-88A7-1114F8444D3E}" name="Fall 18 NC Non-eCore Enroll" dataDxfId="173"/>
    <tableColumn id="141" xr3:uid="{4787548F-6786-41F2-B272-FD507EE21932}" name="Spring 19 NC Non-eCore Enroll" dataDxfId="172"/>
    <tableColumn id="142" xr3:uid="{3D2D6D95-FCEE-49E7-9B0A-259D2F8993E0}" name="Summer 19 NC Non-eCore Enroll" dataDxfId="171"/>
    <tableColumn id="144" xr3:uid="{18986FD1-8FCD-4543-A8B2-719BC61021F5}" name="Fall 19 NC Non-eCore Enroll" dataDxfId="170"/>
    <tableColumn id="195" xr3:uid="{C0A3FE4E-3D5D-4757-9D61-32DE6E06C668}" name="Spring 20 NC Non-eCore Enroll" dataDxfId="169" dataCellStyle="Comma"/>
    <tableColumn id="150" xr3:uid="{5D9B38EC-FDF9-484D-84D4-B58017F1F490}" name="Summer 20 NC Non-eCore Enroll" dataDxfId="168" dataCellStyle="Comma"/>
    <tableColumn id="224" xr3:uid="{A6E884D0-A602-4A79-ADA4-F2EC8E76D3BB}" name="Fall 20 NC Non-eCore Enroll" dataDxfId="167" dataCellStyle="Comma"/>
    <tableColumn id="145" xr3:uid="{550D94F0-478F-436D-8E98-7D94142878A7}" name="Total NC Non-eCore Enroll" dataDxfId="166">
      <calculatedColumnFormula>SUM(Data[[#This Row],[Fall 18 NC Non-eCore Enroll]:[Fall 20 NC Non-eCore Enroll]])</calculatedColumnFormula>
    </tableColumn>
    <tableColumn id="146" xr3:uid="{E1D0B568-D0DD-43E8-BBBB-EA3E58C9A026}" name="% Total NC Non-eCore Enroll" dataDxfId="165">
      <calculatedColumnFormula>GT2/DZ2</calculatedColumnFormula>
    </tableColumn>
    <tableColumn id="147" xr3:uid="{1B3BB5EA-B355-4AEE-84FD-7258E6C62EF5}" name="Fall 18 NC Non-eCore Enroll%" dataDxfId="164"/>
    <tableColumn id="148" xr3:uid="{8E61727E-DE5F-4D44-81E9-C71E256A32DB}" name="Spring 19 NC Non-eCore Enroll%" dataDxfId="163">
      <calculatedColumnFormula>GN2/DT2</calculatedColumnFormula>
    </tableColumn>
    <tableColumn id="149" xr3:uid="{1A81C080-5948-4318-9F83-AAD2E14F3CF4}" name="Summer 19 NC Non-eCore Enroll%" dataDxfId="162">
      <calculatedColumnFormula>GO2/DU2</calculatedColumnFormula>
    </tableColumn>
    <tableColumn id="151" xr3:uid="{8FA1B61E-E659-4EE0-9638-96976A8352F2}" name="Fall 19 NC Non-eCore Enroll%" dataDxfId="161">
      <calculatedColumnFormula>GP2/DV2</calculatedColumnFormula>
    </tableColumn>
    <tableColumn id="196" xr3:uid="{EB3A57E3-CD05-4F52-BC62-95EA26169179}" name="Spring 20 NC Non-eCore Enroll%" dataDxfId="160">
      <calculatedColumnFormula>GQ2/DW2</calculatedColumnFormula>
    </tableColumn>
    <tableColumn id="155" xr3:uid="{F59C6179-0B56-4CE5-B3FE-F2A71680BC00}" name="Summer 20 NC Non-eCore Enroll%" dataDxfId="159">
      <calculatedColumnFormula>GR2/DX2</calculatedColumnFormula>
    </tableColumn>
    <tableColumn id="225" xr3:uid="{392C5C88-FEF5-43B1-B07F-6C5022423CE4}" name="Fall 20 NC Non-eCore Enroll%" dataDxfId="158">
      <calculatedColumnFormula>GS2/DY2</calculatedColumnFormula>
    </tableColumn>
    <tableColumn id="152" xr3:uid="{AEA58B33-AC7F-4A15-B64C-A18D5EDC00AA}" name="Fall 18 LC+NC Non-eCore Enroll" dataDxfId="157"/>
    <tableColumn id="153" xr3:uid="{81ADC1D7-E103-4AF7-B37A-E7D6B2545C0E}" name="Spring 19 LC+NC Non-eCore Enroll" dataDxfId="156"/>
    <tableColumn id="154" xr3:uid="{04567C76-89BF-4106-A6C2-080DFAD1B2BE}" name="Summer 19 LC+NC Non-eCore Enroll" dataDxfId="155">
      <calculatedColumnFormula>FY2+GO2</calculatedColumnFormula>
    </tableColumn>
    <tableColumn id="156" xr3:uid="{A8D4E20F-78DD-4C3A-AA83-5DB8D7CC7C96}" name="Fall 19 LC+NC Non-eCore Enroll" dataDxfId="154">
      <calculatedColumnFormula>FZ2+GP2</calculatedColumnFormula>
    </tableColumn>
    <tableColumn id="197" xr3:uid="{A60CDA8E-9237-445E-89FC-576E7D3A4299}" name="Spring 20 LC+NC Non-eCore Enroll" dataDxfId="153">
      <calculatedColumnFormula>GA2+GQ2</calculatedColumnFormula>
    </tableColumn>
    <tableColumn id="162" xr3:uid="{B4610AF8-02EB-458C-9E99-4F2116EACE23}" name="Summer 20 LC+NC Non-eCore Enroll" dataDxfId="152">
      <calculatedColumnFormula>GB2+GR2</calculatedColumnFormula>
    </tableColumn>
    <tableColumn id="226" xr3:uid="{217CE099-21A3-4BCC-A491-659378987B29}" name="Fall 20 LC+NC Non-eCore Enroll" dataDxfId="151">
      <calculatedColumnFormula>GC2+GS2</calculatedColumnFormula>
    </tableColumn>
    <tableColumn id="157" xr3:uid="{FB60342A-A5DC-4C6F-B4C5-877E78EB4D92}" name="Total LC+NC Non-eCore Enroll" dataDxfId="150">
      <calculatedColumnFormula>SUM(Data[[#This Row],[Fall 18 LC+NC Non-eCore Enroll]:[Fall 20 LC+NC Non-eCore Enroll]])</calculatedColumnFormula>
    </tableColumn>
    <tableColumn id="158" xr3:uid="{247FD609-A8C0-42D1-BCA6-44EB07050438}" name="% Total LC+NC Non-eCore Enroll" dataDxfId="149">
      <calculatedColumnFormula>HJ2/DZ2</calculatedColumnFormula>
    </tableColumn>
    <tableColumn id="159" xr3:uid="{3D4C30F6-FBF3-4103-ACDA-A6BCCCD304D6}" name="Fall 18 Non-eCore None Enroll" dataDxfId="148"/>
    <tableColumn id="160" xr3:uid="{3B673407-7CAC-49B4-9DEE-45D78018DEA0}" name="Spring 19 Non-eCore None Enroll" dataDxfId="147"/>
    <tableColumn id="161" xr3:uid="{FBCB2E77-914A-4598-9428-5BB7CAA7C697}" name="Summer 19 Non-eCore None Enroll " dataDxfId="146"/>
    <tableColumn id="5" xr3:uid="{DBB5C508-0DDB-4F30-A5EF-6CB3FB9D7DF6}" name="Fall 19 Non-eCore None Enroll" dataDxfId="145" dataCellStyle="Comma"/>
    <tableColumn id="10" xr3:uid="{53741C34-8F66-428D-ACF2-8795EBBC3BA6}" name="Spring 20 Non-eCore None Enroll" dataDxfId="144" dataCellStyle="Comma"/>
    <tableColumn id="198" xr3:uid="{B8D7E873-F02B-4292-8EC2-E65EDCF912D6}" name="Summer 20 Non-eCore None Enroll" dataDxfId="143" dataCellStyle="Comma"/>
    <tableColumn id="227" xr3:uid="{CF7B6EF5-BE81-4173-B5C3-303895F7C8FD}" name="Fall 20 Non-eCore None Enroll" dataDxfId="142" dataCellStyle="Comma"/>
    <tableColumn id="163" xr3:uid="{EA6ACC01-B331-4CAA-B5CE-8F7214E5E2F5}" name="Total None Non-eCore Enroll" dataDxfId="141">
      <calculatedColumnFormula>SUM(Data[[#This Row],[Fall 18 Non-eCore None Enroll]:[Fall 20 Non-eCore None Enroll]])</calculatedColumnFormula>
    </tableColumn>
    <tableColumn id="164" xr3:uid="{913DE743-997F-40B9-AA75-48B92588A617}" name="% Total None Non-eCore Enroll" dataDxfId="140">
      <calculatedColumnFormula>HS2/DZ2</calculatedColumnFormula>
    </tableColumn>
    <tableColumn id="165" xr3:uid="{FE2EF9B5-2D36-4C33-A11D-A731C8983D55}" name="Fall 18 LC+NC Non-eCore Enroll%" dataDxfId="139"/>
    <tableColumn id="166" xr3:uid="{ED665B52-E45D-4868-A603-5B6C29326DD2}" name="Spring 19 LC+NC Non-eCore Enroll%" dataDxfId="138">
      <calculatedColumnFormula>HD2/DT2</calculatedColumnFormula>
    </tableColumn>
    <tableColumn id="167" xr3:uid="{3073FD25-2A88-4696-B607-21DF5BAFC1BB}" name="Summer 19 LC+NC Non-eCore Enroll%" dataDxfId="137">
      <calculatedColumnFormula>HE2/DU2</calculatedColumnFormula>
    </tableColumn>
    <tableColumn id="169" xr3:uid="{E996D0C2-480B-4065-AF62-3FC08FCC1C6D}" name="Fall 19 LC+NC Non-eCore Enroll%" dataDxfId="136">
      <calculatedColumnFormula>HF2/DV2</calculatedColumnFormula>
    </tableColumn>
    <tableColumn id="15" xr3:uid="{F6598211-0A06-4F7F-A1A1-3C109F6A312E}" name="Spring 20 LC+NC Non-eCore Enroll%" dataDxfId="135">
      <calculatedColumnFormula>HG2/DW2</calculatedColumnFormula>
    </tableColumn>
    <tableColumn id="199" xr3:uid="{009BE235-06C3-4568-ACC5-C154092B0308}" name="Summer 20 LC+NC Non-eCore Enroll%" dataDxfId="134">
      <calculatedColumnFormula>HH2/DX2</calculatedColumnFormula>
    </tableColumn>
    <tableColumn id="228" xr3:uid="{A3D9397D-7F23-427A-B76B-2F6491069BAC}" name="Fall 20 LC+NC Non-eCore Enroll%" dataDxfId="133">
      <calculatedColumnFormula>HI2/DY2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2:AA33" totalsRowShown="0">
  <autoFilter ref="A2:AA33" xr:uid="{00000000-0009-0000-0100-000002000000}"/>
  <tableColumns count="27">
    <tableColumn id="1" xr3:uid="{00000000-0010-0000-0300-000001000000}" name="Course"/>
    <tableColumn id="2" xr3:uid="{00000000-0010-0000-0300-000002000000}" name="Book Cost" dataDxfId="132"/>
    <tableColumn id="3" xr3:uid="{00000000-0010-0000-0300-000003000000}" name="OER Term Implemented"/>
    <tableColumn id="4" xr3:uid="{00000000-0010-0000-0300-000004000000}" name="ALG Funded? "/>
    <tableColumn id="5" xr3:uid="{00000000-0010-0000-0300-000005000000}" name="FY14 Enrollment"/>
    <tableColumn id="6" xr3:uid="{00000000-0010-0000-0300-000006000000}" name="FY14 Savings" dataDxfId="131">
      <calculatedColumnFormula>E3*B3</calculatedColumnFormula>
    </tableColumn>
    <tableColumn id="7" xr3:uid="{00000000-0010-0000-0300-000007000000}" name="FY15 Enrollment"/>
    <tableColumn id="8" xr3:uid="{00000000-0010-0000-0300-000008000000}" name="FY15 Savings" dataDxfId="130">
      <calculatedColumnFormula>G3*B3</calculatedColumnFormula>
    </tableColumn>
    <tableColumn id="9" xr3:uid="{00000000-0010-0000-0300-000009000000}" name="FY16 Enrollment"/>
    <tableColumn id="10" xr3:uid="{00000000-0010-0000-0300-00000A000000}" name="FY16 Savings" dataDxfId="129">
      <calculatedColumnFormula>I3*B3</calculatedColumnFormula>
    </tableColumn>
    <tableColumn id="11" xr3:uid="{00000000-0010-0000-0300-00000B000000}" name="Enrollment Summer 2016"/>
    <tableColumn id="12" xr3:uid="{00000000-0010-0000-0300-00000C000000}" name="Enrollment Fall 2016"/>
    <tableColumn id="13" xr3:uid="{00000000-0010-0000-0300-00000D000000}" name="Enrollment Spring 2017"/>
    <tableColumn id="14" xr3:uid="{00000000-0010-0000-0300-00000E000000}" name="FY2017 Enrollment">
      <calculatedColumnFormula>SUM(K3:M3)</calculatedColumnFormula>
    </tableColumn>
    <tableColumn id="15" xr3:uid="{00000000-0010-0000-0300-00000F000000}" name="FY2017 Savings" dataDxfId="128">
      <calculatedColumnFormula>N3*B3</calculatedColumnFormula>
    </tableColumn>
    <tableColumn id="18" xr3:uid="{00000000-0010-0000-0300-000012000000}" name="Enrollment Summer 2017" dataDxfId="127"/>
    <tableColumn id="19" xr3:uid="{00000000-0010-0000-0300-000013000000}" name="Enrollment Fall 2017" dataDxfId="126"/>
    <tableColumn id="20" xr3:uid="{00000000-0010-0000-0300-000014000000}" name="Enrollment Spring 2018" dataDxfId="125"/>
    <tableColumn id="22" xr3:uid="{00000000-0010-0000-0300-000016000000}" name="FY2018 Enrollment" dataDxfId="124">
      <calculatedColumnFormula>SUM(P3:R3)</calculatedColumnFormula>
    </tableColumn>
    <tableColumn id="21" xr3:uid="{00000000-0010-0000-0300-000015000000}" name="FY2018 OER Cost Savings" dataDxfId="123"/>
    <tableColumn id="23" xr3:uid="{57C44915-44D6-457E-A847-1D0A60F6EC72}" name="Enrollment Summer 2018" dataDxfId="122"/>
    <tableColumn id="24" xr3:uid="{6D1E1AB8-160B-4C0A-B86A-328CE5C16E70}" name="Enrollment Fall 2018" dataDxfId="121"/>
    <tableColumn id="25" xr3:uid="{2DBA60CA-4E0C-447F-8386-6FCA2284B587}" name="Enrollment Spring 2019" dataDxfId="120"/>
    <tableColumn id="26" xr3:uid="{57435B1D-8725-40D4-B23E-60B7CC9C6CE4}" name="FY2019 Enrollment" dataDxfId="119"/>
    <tableColumn id="27" xr3:uid="{9549B2CE-2838-4CF7-A35D-CAA5EC9E2C31}" name="FY2019 OER Cost Savings" dataDxfId="118"/>
    <tableColumn id="16" xr3:uid="{00000000-0010-0000-0300-000010000000}" name="Total OER Cost Savings" dataDxfId="117"/>
    <tableColumn id="17" xr3:uid="{00000000-0010-0000-0300-000011000000}" name="Total Students" dataDxfId="1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L39" dT="2019-10-03T19:18:59.90" personId="{550ADE2F-9F8F-4F5A-99BB-24C04B5B504F}" id="{07DFD660-489E-4D96-930D-26B8DFF7A907}">
    <text xml:space="preserve">Marked as Continued in SC3, changed here retrospectively. 
</text>
  </threadedComment>
  <threadedComment ref="CA76" dT="2020-01-09T14:19:57.92" personId="{BAD1C07A-7106-4965-8DF7-DA7C049B01B8}" id="{B95C73A8-A597-420A-AC3D-29E84F8438E3}">
    <text>UNG: No longer at institution</text>
  </threadedComment>
  <threadedComment ref="CA98" dT="2019-12-19T15:34:00.93" personId="{BAD1C07A-7106-4965-8DF7-DA7C049B01B8}" id="{12AF8326-DC8E-4AB5-B1F0-EAA401C1CBBA}">
    <text>Discontinued after Spring 2020 due to curricular changes</text>
  </threadedComment>
  <threadedComment ref="BQ119" dT="2019-01-23T15:30:21.82" personId="{550ADE2F-9F8F-4F5A-99BB-24C04B5B504F}" id="{DF06F59B-57C7-4913-ABCE-96C5EAEDF8AC}">
    <text xml:space="preserve">2019 Survey: Only the text is replaced now, homework is not. Cost savings reduced to $100.
</text>
  </threadedComment>
  <threadedComment ref="CA119" dT="2020-01-09T14:21:16.39" personId="{BAD1C07A-7106-4965-8DF7-DA7C049B01B8}" id="{11D46AD0-4A48-4005-87D9-B0EBE7BF232F}">
    <text>UNG: No longer at institution</text>
  </threadedComment>
  <threadedComment ref="BQ141" dT="2019-01-23T15:04:05.17" personId="{550ADE2F-9F8F-4F5A-99BB-24C04B5B504F}" id="{081237C3-4A23-4204-B308-FD618F514A6C}">
    <text xml:space="preserve">Overridden by survey response
</text>
  </threadedComment>
  <threadedComment ref="BQ142" dT="2019-01-23T15:03:51.75" personId="{550ADE2F-9F8F-4F5A-99BB-24C04B5B504F}" id="{8AD588E9-7DFF-41E0-A553-8FA4C32BB136}">
    <text xml:space="preserve">Overridden by survey response
</text>
  </threadedComment>
  <threadedComment ref="A311" dT="2020-09-14T18:42:25.60" personId="{BAD1C07A-7106-4965-8DF7-DA7C049B01B8}" id="{34DA768B-34CD-4205-A427-E080CAB8289C}">
    <text>On hold due to a COVID-19 departmental review</text>
  </threadedComment>
  <threadedComment ref="Z388" dT="2020-01-29T14:30:13.90" personId="{BAD1C07A-7106-4965-8DF7-DA7C049B01B8}" id="{DCBB4563-B025-4C31-9DA4-E65165FA8E22}">
    <text>He put the total sections in the total students area, but this is the right number from the Statement of Transformation.</text>
  </threadedComment>
  <threadedComment ref="Z392" dT="2020-02-07T18:17:32.52" personId="{BAD1C07A-7106-4965-8DF7-DA7C049B01B8}" id="{E4213987-AEC1-4DF7-B6C0-2B48F3E9641C}">
    <text>This is for Year 2, current semester figures are for Year 1</text>
  </threadedComment>
</ThreadedComments>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affordablelearninggeorgia.org/documents/2014F_UGA_APPENDIXA_Proposal10.pdf" TargetMode="External"/><Relationship Id="rId671" Type="http://schemas.openxmlformats.org/officeDocument/2006/relationships/hyperlink" Target="https://digitalcommons.georgiasouthern.edu/esed5234-master/" TargetMode="External"/><Relationship Id="rId769" Type="http://schemas.openxmlformats.org/officeDocument/2006/relationships/hyperlink" Target="../../../../../../:b:/g/team_sites/galileo/EY-PPVERd49LjwsulO7L884B7LTP4wjJUktl-qLgnslkuA?e=gS8p8L" TargetMode="External"/><Relationship Id="rId21" Type="http://schemas.openxmlformats.org/officeDocument/2006/relationships/hyperlink" Target="https://www.pearson.com/us/higher-education/program/Freeman-Biological-Science-Plus-Mastering-Biology-with-Pearson-e-Text-Access-Card-Package-6th-Edition/PGM260331.html?tab=order" TargetMode="External"/><Relationship Id="rId324" Type="http://schemas.openxmlformats.org/officeDocument/2006/relationships/hyperlink" Target="https://affordablelearninggeorgia.org/documents/M20_Dorrell.pdf" TargetMode="External"/><Relationship Id="rId531" Type="http://schemas.openxmlformats.org/officeDocument/2006/relationships/hyperlink" Target="https://openstax.org/details/books/introductory-statistics" TargetMode="External"/><Relationship Id="rId629" Type="http://schemas.openxmlformats.org/officeDocument/2006/relationships/hyperlink" Target="http://itwebtutorials.mga.edu/default.aspx" TargetMode="External"/><Relationship Id="rId170" Type="http://schemas.openxmlformats.org/officeDocument/2006/relationships/hyperlink" Target="http://oer.galileo.usg.edu/english-collections/2/" TargetMode="External"/><Relationship Id="rId836" Type="http://schemas.openxmlformats.org/officeDocument/2006/relationships/hyperlink" Target="../../Grants/R15-R17/R16/Reviews/Applications/522%20GSU%20Sociology/OER%20(2020)%20Application_Form_Departmental_Scaling.docx" TargetMode="External"/><Relationship Id="rId268" Type="http://schemas.openxmlformats.org/officeDocument/2006/relationships/hyperlink" Target="https://oer.galileo.usg.edu/english-collections/6/" TargetMode="External"/><Relationship Id="rId475" Type="http://schemas.openxmlformats.org/officeDocument/2006/relationships/hyperlink" Target="http://ufdc.ufl.edu/AA00021870/00001" TargetMode="External"/><Relationship Id="rId682" Type="http://schemas.openxmlformats.org/officeDocument/2006/relationships/hyperlink" Target="../../../../../../:b:/g/team_sites/galileo/EcRlb0YDcrNFs86e9w6-RNYBux-hLV4oR87nWxBu-OMYXg" TargetMode="External"/><Relationship Id="rId32" Type="http://schemas.openxmlformats.org/officeDocument/2006/relationships/hyperlink" Target="https://www.cengage.com/c/college-physics-11e-serway" TargetMode="External"/><Relationship Id="rId128" Type="http://schemas.openxmlformats.org/officeDocument/2006/relationships/hyperlink" Target="https://www.affordablelearninggeorgia.org/documents/2014F_CSU_APPENDIXA_Proposal33.pdf" TargetMode="External"/><Relationship Id="rId335" Type="http://schemas.openxmlformats.org/officeDocument/2006/relationships/hyperlink" Target="https://affordablelearninggeorgia.org/documents/M32_Tesar.pdf" TargetMode="External"/><Relationship Id="rId542" Type="http://schemas.openxmlformats.org/officeDocument/2006/relationships/hyperlink" Target="http://www.wallace.ccfaculty.org/book/Beginning_and_Intermediate_Algebra.pdf" TargetMode="External"/><Relationship Id="rId181" Type="http://schemas.openxmlformats.org/officeDocument/2006/relationships/hyperlink" Target="http://oer.galileo.usg.edu/chemistry-collections/7" TargetMode="External"/><Relationship Id="rId402" Type="http://schemas.openxmlformats.org/officeDocument/2006/relationships/hyperlink" Target="https://drive.google.com/open?id=1wZEDW9RdNIHsttU7GYXHin1pPsVZr9-B" TargetMode="External"/><Relationship Id="rId847" Type="http://schemas.openxmlformats.org/officeDocument/2006/relationships/hyperlink" Target="https://www.affordablelearninggeorgia.org/documents/534_proposal.pdf" TargetMode="External"/><Relationship Id="rId279" Type="http://schemas.openxmlformats.org/officeDocument/2006/relationships/hyperlink" Target="https://oer.galileo.usg.edu/compsci-ancillary/8/" TargetMode="External"/><Relationship Id="rId486" Type="http://schemas.openxmlformats.org/officeDocument/2006/relationships/hyperlink" Target="https://openstax.org/details/books/calculus-volume-1" TargetMode="External"/><Relationship Id="rId693" Type="http://schemas.openxmlformats.org/officeDocument/2006/relationships/hyperlink" Target="../../../../../../:b:/g/team_sites/galileo/Edp--8g9rFVNg3iqG2fzmFUB1Wy9pWwgLWPhisFjzPFRsg" TargetMode="External"/><Relationship Id="rId707" Type="http://schemas.openxmlformats.org/officeDocument/2006/relationships/hyperlink" Target="../../../../../../:b:/g/team_sites/galileo/EaluF7ux-UZBjKIv5qPtBG8BLri2h7-J7XwmhnE0ivqGjA" TargetMode="External"/><Relationship Id="rId43" Type="http://schemas.openxmlformats.org/officeDocument/2006/relationships/hyperlink" Target="https://www.cengage.com/c/chemistry-10e-zumdahl" TargetMode="External"/><Relationship Id="rId139" Type="http://schemas.openxmlformats.org/officeDocument/2006/relationships/hyperlink" Target="https://www.affordablelearninggeorgia.org/documents/2014F_GCSU_APPENDIXA_Proposal46.pdf" TargetMode="External"/><Relationship Id="rId346" Type="http://schemas.openxmlformats.org/officeDocument/2006/relationships/hyperlink" Target="https://drive.google.com/open?id=1_yZD0qZQ6Tu8kvn42rGcDB66uppKEzUO" TargetMode="External"/><Relationship Id="rId553" Type="http://schemas.openxmlformats.org/officeDocument/2006/relationships/hyperlink" Target="https://courses.lumenlearning.com/boundless-psychology/chapter/introduction-to-human-development/" TargetMode="External"/><Relationship Id="rId760" Type="http://schemas.openxmlformats.org/officeDocument/2006/relationships/hyperlink" Target="../../../../../../:b:/g/team_sites/galileo/EU2Xk0bWmX5IjxtPcsfNhaYBBnJdJeqHZ9kRHD27otbw5w?e=BYD2MB" TargetMode="External"/><Relationship Id="rId192" Type="http://schemas.openxmlformats.org/officeDocument/2006/relationships/hyperlink" Target="http://oer.galileo.usg.edu/education-collections/4/" TargetMode="External"/><Relationship Id="rId206" Type="http://schemas.openxmlformats.org/officeDocument/2006/relationships/hyperlink" Target="http://oer.galileo.usg.edu/biology-collections/6/" TargetMode="External"/><Relationship Id="rId413" Type="http://schemas.openxmlformats.org/officeDocument/2006/relationships/hyperlink" Target="../../../../../../:b:/g/team_sites/galileo/EfGThTASWotGsFaVDfa9Fm4BIhgLpssNGEocasXuMb7CvQ?e=3CgxK9" TargetMode="External"/><Relationship Id="rId858" Type="http://schemas.openxmlformats.org/officeDocument/2006/relationships/hyperlink" Target="https://www.affordablelearninggeorgia.org/documents/M128_proposal.pdf" TargetMode="External"/><Relationship Id="rId497" Type="http://schemas.openxmlformats.org/officeDocument/2006/relationships/hyperlink" Target="https://openstax.org/details/books/psychology" TargetMode="External"/><Relationship Id="rId620" Type="http://schemas.openxmlformats.org/officeDocument/2006/relationships/hyperlink" Target="http://libguides.valdosta.edu/PHIL2020ALG" TargetMode="External"/><Relationship Id="rId718" Type="http://schemas.openxmlformats.org/officeDocument/2006/relationships/hyperlink" Target="../../../../../../:b:/g/team_sites/galileo/EVSf0AWWNydOsQhX4rCzFDoBNfMYZkwwYrEkrIKNU8EQuw" TargetMode="External"/><Relationship Id="rId357" Type="http://schemas.openxmlformats.org/officeDocument/2006/relationships/hyperlink" Target="https://affordablelearninggeorgia.org/documents/M36_GHC_Subacz.pdf" TargetMode="External"/><Relationship Id="rId54" Type="http://schemas.openxmlformats.org/officeDocument/2006/relationships/hyperlink" Target="https://www.macmillanlearning.com/Catalog/product/psychologyineverydaylife-fourthedition-myers/valueoptions" TargetMode="External"/><Relationship Id="rId217" Type="http://schemas.openxmlformats.org/officeDocument/2006/relationships/hyperlink" Target="http://oer.galileo.usg.edu/polisci-collections/2/" TargetMode="External"/><Relationship Id="rId564" Type="http://schemas.openxmlformats.org/officeDocument/2006/relationships/hyperlink" Target="https://2012books.lardbucket.org/books/introduction-to-chemistry-general-organic-and-biological/" TargetMode="External"/><Relationship Id="rId771" Type="http://schemas.openxmlformats.org/officeDocument/2006/relationships/hyperlink" Target="../../../../../../:b:/g/team_sites/galileo/EYdAriuXSE9AuNcaXerF-o8BsG0qh_xahxY7IwxAK2-R1w?e=KCkuU4" TargetMode="External"/><Relationship Id="rId424" Type="http://schemas.openxmlformats.org/officeDocument/2006/relationships/hyperlink" Target="../../../../../../:b:/g/team_sites/galileo/EWWmsvGOX59Ki_DwqwU2Q14BlgvpMNnSfvc-nKdF4Njb8w?e=PPv2Pb" TargetMode="External"/><Relationship Id="rId631" Type="http://schemas.openxmlformats.org/officeDocument/2006/relationships/hyperlink" Target="http://rttp.ctl.uga.edu/openeduc/dev/" TargetMode="External"/><Relationship Id="rId729" Type="http://schemas.openxmlformats.org/officeDocument/2006/relationships/hyperlink" Target="../../../../../../:b:/g/team_sites/galileo/EZ9Lrd4Gfn1Cg5394TKiZ8sBV4c7Kkehb4it-Tv6WggQCg" TargetMode="External"/><Relationship Id="rId270" Type="http://schemas.openxmlformats.org/officeDocument/2006/relationships/hyperlink" Target="https://oer.galileo.usg.edu/biology-collections/21/" TargetMode="External"/><Relationship Id="rId65" Type="http://schemas.openxmlformats.org/officeDocument/2006/relationships/hyperlink" Target="https://www.affordablelearninggeorgia.org/about/r11_grantees/" TargetMode="External"/><Relationship Id="rId130" Type="http://schemas.openxmlformats.org/officeDocument/2006/relationships/hyperlink" Target="https://www.affordablelearninggeorgia.org/documents/2014F_SGSC_APPENDIXA_Proposal36.pdf" TargetMode="External"/><Relationship Id="rId368" Type="http://schemas.openxmlformats.org/officeDocument/2006/relationships/hyperlink" Target="https://affordablelearninggeorgia.org/documents/M48_GHC_Jellum.pdf" TargetMode="External"/><Relationship Id="rId575" Type="http://schemas.openxmlformats.org/officeDocument/2006/relationships/hyperlink" Target="https://openstax.org/details/books/microbiology" TargetMode="External"/><Relationship Id="rId782" Type="http://schemas.openxmlformats.org/officeDocument/2006/relationships/hyperlink" Target="mailto:jachrist@highlands.edu" TargetMode="External"/><Relationship Id="rId228" Type="http://schemas.openxmlformats.org/officeDocument/2006/relationships/hyperlink" Target="https://oer.galileo.usg.edu/biology-collections/14" TargetMode="External"/><Relationship Id="rId435" Type="http://schemas.openxmlformats.org/officeDocument/2006/relationships/hyperlink" Target="../../../../../../:b:/g/team_sites/galileo/EU5DVEn0DtJMuHvsEAF_a5wBZFWUr2KautlpHRceQw1p-w?e=7TxFlw" TargetMode="External"/><Relationship Id="rId642" Type="http://schemas.openxmlformats.org/officeDocument/2006/relationships/hyperlink" Target="https://www.merlot.org/merlot/materials.htm?userId=1201467&amp;nosearchlanguage=true" TargetMode="External"/><Relationship Id="rId281" Type="http://schemas.openxmlformats.org/officeDocument/2006/relationships/hyperlink" Target="https://www.affordablelearninggeorgia.org/about/open_math/" TargetMode="External"/><Relationship Id="rId502" Type="http://schemas.openxmlformats.org/officeDocument/2006/relationships/hyperlink" Target="https://openstax.org/details/books/chemistry" TargetMode="External"/><Relationship Id="rId76" Type="http://schemas.openxmlformats.org/officeDocument/2006/relationships/hyperlink" Target="https://www.macmillanlearning.com/Catalog/product/exploringpsychology-tenthedition-myers/valueoptions" TargetMode="External"/><Relationship Id="rId141" Type="http://schemas.openxmlformats.org/officeDocument/2006/relationships/hyperlink" Target="https://www.affordablelearninggeorgia.org/documents/2014F_Gordon_APPENDIXA_Proposal48.pdf" TargetMode="External"/><Relationship Id="rId379" Type="http://schemas.openxmlformats.org/officeDocument/2006/relationships/hyperlink" Target="https://drive.google.com/open?id=1yVhfDQOyFLDb3MS34Q-VB6JZc_fHJqnW" TargetMode="External"/><Relationship Id="rId586" Type="http://schemas.openxmlformats.org/officeDocument/2006/relationships/hyperlink" Target="mailto:adutch@highlands.edu" TargetMode="External"/><Relationship Id="rId793" Type="http://schemas.openxmlformats.org/officeDocument/2006/relationships/hyperlink" Target="../../Grants/R15-R17/R15/Proposals/Textbook%20Transformation%20Grant/482_Gunay.pdf" TargetMode="External"/><Relationship Id="rId807" Type="http://schemas.openxmlformats.org/officeDocument/2006/relationships/hyperlink" Target="../../Grants/R15-R17/R15/Proposals/Mini-Grant/M100_Marion.pdf" TargetMode="External"/><Relationship Id="rId7" Type="http://schemas.openxmlformats.org/officeDocument/2006/relationships/hyperlink" Target="https://www.affordablelearninggeorgia.org/about/pilots18_grantees" TargetMode="External"/><Relationship Id="rId239" Type="http://schemas.openxmlformats.org/officeDocument/2006/relationships/hyperlink" Target="https://oer.galileo.usg.edu/chemistry-collections/13" TargetMode="External"/><Relationship Id="rId446" Type="http://schemas.openxmlformats.org/officeDocument/2006/relationships/hyperlink" Target="../../../../../../:b:/g/team_sites/galileo/EQo9n1J2fShBqknLB-3jPhAB3vthT3O3BGOBWaVy62QN9Q?e=pxBm7Y" TargetMode="External"/><Relationship Id="rId653" Type="http://schemas.openxmlformats.org/officeDocument/2006/relationships/hyperlink" Target="http://oer.galileo.usg.edu/biology-ancillary/6" TargetMode="External"/><Relationship Id="rId292" Type="http://schemas.openxmlformats.org/officeDocument/2006/relationships/hyperlink" Target="https://affordablelearninggeorgia.org/documents/344_Abbott.pdf" TargetMode="External"/><Relationship Id="rId306" Type="http://schemas.openxmlformats.org/officeDocument/2006/relationships/hyperlink" Target="https://affordablelearninggeorgia.org/documents/354_Rutherfoord.pdf" TargetMode="External"/><Relationship Id="rId860" Type="http://schemas.openxmlformats.org/officeDocument/2006/relationships/hyperlink" Target="https://www.affordablelearninggeorgia.org/documents/M133_proposal.pdf" TargetMode="External"/><Relationship Id="rId87" Type="http://schemas.openxmlformats.org/officeDocument/2006/relationships/hyperlink" Target="https://vistahigherlearning.com/catalog/product/view/id/5346/s/vistas-5th-edition-031/category/226/" TargetMode="External"/><Relationship Id="rId513" Type="http://schemas.openxmlformats.org/officeDocument/2006/relationships/hyperlink" Target="https://openstax.org/details/books/college-physics" TargetMode="External"/><Relationship Id="rId597" Type="http://schemas.openxmlformats.org/officeDocument/2006/relationships/hyperlink" Target="https://oer.galileo.usg.edu/health-textbooks/5/" TargetMode="External"/><Relationship Id="rId720" Type="http://schemas.openxmlformats.org/officeDocument/2006/relationships/hyperlink" Target="../../../../../../:b:/g/team_sites/galileo/Ea8OU60UURhGrJRCOGdN9RIBmBpDpxFPZOwgimbBlayU0w" TargetMode="External"/><Relationship Id="rId818" Type="http://schemas.openxmlformats.org/officeDocument/2006/relationships/hyperlink" Target="../../Grants/R15-R17/R16/Reviews/Applications/M117.pdf" TargetMode="External"/><Relationship Id="rId152" Type="http://schemas.openxmlformats.org/officeDocument/2006/relationships/hyperlink" Target="http://oer.galileo.usg.edu/biology-collections/2/" TargetMode="External"/><Relationship Id="rId457" Type="http://schemas.openxmlformats.org/officeDocument/2006/relationships/hyperlink" Target="../../../../../../:b:/g/team_sites/galileo/EbvHCQuWEDRIjCH-ovYJJ7sB40rmM_Le5RWMgJS_4NAVOw" TargetMode="External"/><Relationship Id="rId664" Type="http://schemas.openxmlformats.org/officeDocument/2006/relationships/hyperlink" Target="http://oer.galileo.usg.edu/psychology-textbooks/10" TargetMode="External"/><Relationship Id="rId14" Type="http://schemas.openxmlformats.org/officeDocument/2006/relationships/hyperlink" Target="https://www.mheducation.com/highered/product/essentials-biology-mader-windelspecht/M1259660265.html" TargetMode="External"/><Relationship Id="rId317" Type="http://schemas.openxmlformats.org/officeDocument/2006/relationships/hyperlink" Target="https://affordablelearninggeorgia.org/documents/370_Belwood.pdf" TargetMode="External"/><Relationship Id="rId524" Type="http://schemas.openxmlformats.org/officeDocument/2006/relationships/hyperlink" Target="https://openstax.org/details/books/concepts-biology" TargetMode="External"/><Relationship Id="rId731" Type="http://schemas.openxmlformats.org/officeDocument/2006/relationships/hyperlink" Target="../../../../../../:b:/g/team_sites/galileo/EZL-Nxe77ohPpPRgXo4-18ABJVAZ2EaMKZhYFmdGvBem6w" TargetMode="External"/><Relationship Id="rId98" Type="http://schemas.openxmlformats.org/officeDocument/2006/relationships/hyperlink" Target="https://www.pearson.com/us/higher-education/program/Rubenstein-Contemporary-Human-Geography-Plus-Mastering-Geography-with-Pearson-e-Text-Access-Card-Package-4th-Edition/PGM1762943.html?tab=order" TargetMode="External"/><Relationship Id="rId163" Type="http://schemas.openxmlformats.org/officeDocument/2006/relationships/hyperlink" Target="http://oer.galileo.usg.edu/mathematics-collections/12/" TargetMode="External"/><Relationship Id="rId370" Type="http://schemas.openxmlformats.org/officeDocument/2006/relationships/hyperlink" Target="https://affordablelearninggeorgia.org/documents/M51_GHC_Rogers.pdf" TargetMode="External"/><Relationship Id="rId829" Type="http://schemas.openxmlformats.org/officeDocument/2006/relationships/hyperlink" Target="../../Grants/R15-R17/R16/Reviews/Applications/509.pdf" TargetMode="External"/><Relationship Id="rId230" Type="http://schemas.openxmlformats.org/officeDocument/2006/relationships/hyperlink" Target="https://oer.galileo.usg.edu/mathematics-collections/24" TargetMode="External"/><Relationship Id="rId468" Type="http://schemas.openxmlformats.org/officeDocument/2006/relationships/hyperlink" Target="../../../../../../:b:/g/team_sites/galileo/EdLYu1oBKHlOhTFrod3epxIBP5ofl2HOl-MlQZHohUkOMA" TargetMode="External"/><Relationship Id="rId675" Type="http://schemas.openxmlformats.org/officeDocument/2006/relationships/hyperlink" Target="../../../../../../:b:/g/team_sites/galileo/EXy4XiqAih1LjkwvK3SzSlIBeDmrrZtW3x5zD2BFpYEjGA" TargetMode="External"/><Relationship Id="rId25" Type="http://schemas.openxmlformats.org/officeDocument/2006/relationships/hyperlink" Target="https://www.pearson.com/us/higher-education/product/Henslin-Sociology-A-Down-to-Earth-Approach-13th-Edition/9780134205571.html" TargetMode="External"/><Relationship Id="rId328" Type="http://schemas.openxmlformats.org/officeDocument/2006/relationships/hyperlink" Target="https://affordablelearninggeorgia.org/documents/M24_Reardon.pdf" TargetMode="External"/><Relationship Id="rId535" Type="http://schemas.openxmlformats.org/officeDocument/2006/relationships/hyperlink" Target="http://open.lib.umn.edu/socialpsychology/" TargetMode="External"/><Relationship Id="rId742" Type="http://schemas.openxmlformats.org/officeDocument/2006/relationships/hyperlink" Target="../../../../../../:b:/g/team_sites/galileo/EcayZWCwZKNHnHiYyYUQ5X0BEhyWdFH1nsXm4a8dWjzFfw?e=quqa2X" TargetMode="External"/><Relationship Id="rId174" Type="http://schemas.openxmlformats.org/officeDocument/2006/relationships/hyperlink" Target="http://oer.galileo.usg.edu/communication-collections/1/" TargetMode="External"/><Relationship Id="rId381" Type="http://schemas.openxmlformats.org/officeDocument/2006/relationships/hyperlink" Target="https://drive.google.com/open?id=14zayqkDoNxIfyw6XyQ-Xn6iqmTXpiq2p" TargetMode="External"/><Relationship Id="rId602" Type="http://schemas.openxmlformats.org/officeDocument/2006/relationships/hyperlink" Target="https://github.com/ArmstrongCal/Armstrong-Calculus" TargetMode="External"/><Relationship Id="rId241" Type="http://schemas.openxmlformats.org/officeDocument/2006/relationships/hyperlink" Target="https://oer.galileo.usg.edu/mathematics-collections/29" TargetMode="External"/><Relationship Id="rId479" Type="http://schemas.openxmlformats.org/officeDocument/2006/relationships/hyperlink" Target="https://openstax.org/details/books/introduction-sociology-2e" TargetMode="External"/><Relationship Id="rId686" Type="http://schemas.openxmlformats.org/officeDocument/2006/relationships/hyperlink" Target="../../../../../../:b:/g/team_sites/galileo/EZkN1MjXqx9GqN1nKVVoplYBTdmDbhO3_ZNutKeDGpSCqQ" TargetMode="External"/><Relationship Id="rId36" Type="http://schemas.openxmlformats.org/officeDocument/2006/relationships/hyperlink" Target="https://www.pearson.com/us/higher-education/program/Edwards-Creative-Arts-The-A-Process-Approach-for-Teachers-and-Children-5th-Edition/PGM217712.html?tab=order" TargetMode="External"/><Relationship Id="rId339" Type="http://schemas.openxmlformats.org/officeDocument/2006/relationships/hyperlink" Target="https://drive.google.com/open?id=13m0TCMaNXKWvIA2fhApnu6_bNnIQXV_u" TargetMode="External"/><Relationship Id="rId546" Type="http://schemas.openxmlformats.org/officeDocument/2006/relationships/hyperlink" Target="https://www.saylor.org/site/textbooks/Foundations%20of%20Business%20Law%20and%20the%20Legal%20Environment.pdf" TargetMode="External"/><Relationship Id="rId753" Type="http://schemas.openxmlformats.org/officeDocument/2006/relationships/hyperlink" Target="../../../../../../:b:/g/team_sites/galileo/EW6caROYIOZHgMgag6Is5ukBIiHmMAazijj2p9f2WK0jfg?e=rPA65I" TargetMode="External"/><Relationship Id="rId101" Type="http://schemas.openxmlformats.org/officeDocument/2006/relationships/hyperlink" Target="https://www.macmillanlearning.com/Catalog/product/worldregionalgeographyconcepts-thirdedition-pulsipher/valueoptions" TargetMode="External"/><Relationship Id="rId185" Type="http://schemas.openxmlformats.org/officeDocument/2006/relationships/hyperlink" Target="http://oer.galileo.usg.edu/biology-collections/11/" TargetMode="External"/><Relationship Id="rId406" Type="http://schemas.openxmlformats.org/officeDocument/2006/relationships/hyperlink" Target="https://drive.google.com/open?id=1_XuBGIhAcz5UqFVttxp-hg_jFZs1uz65" TargetMode="External"/><Relationship Id="rId392" Type="http://schemas.openxmlformats.org/officeDocument/2006/relationships/hyperlink" Target="https://drive.google.com/open?id=1c0T_IK7_xdChdofKtzqXujwR5fOVTDC5" TargetMode="External"/><Relationship Id="rId613" Type="http://schemas.openxmlformats.org/officeDocument/2006/relationships/hyperlink" Target="https://oer.galileo.usg.edu/business-ancillary/3/" TargetMode="External"/><Relationship Id="rId697" Type="http://schemas.openxmlformats.org/officeDocument/2006/relationships/hyperlink" Target="../../../../../../:b:/g/team_sites/galileo/EWFvhyT-kFZPtL66rxwOviABifO9VFvnHdKLITqxYWHESA" TargetMode="External"/><Relationship Id="rId820" Type="http://schemas.openxmlformats.org/officeDocument/2006/relationships/hyperlink" Target="../../Grants/R15-R17/R16/Reviews/Applications/M113.pdf" TargetMode="External"/><Relationship Id="rId252" Type="http://schemas.openxmlformats.org/officeDocument/2006/relationships/hyperlink" Target="https://oer.galileo.usg.edu/business-collections/6" TargetMode="External"/><Relationship Id="rId47" Type="http://schemas.openxmlformats.org/officeDocument/2006/relationships/hyperlink" Target="https://www.mheducation.com/highered/product/college-physics-giambattista-richardson/M0073512141.html" TargetMode="External"/><Relationship Id="rId112" Type="http://schemas.openxmlformats.org/officeDocument/2006/relationships/hyperlink" Target="https://www.pearson.com/us/higher-education/program/Martini-Visual-Anatomy-Physiology-Plus-Mastering-A-P-with-Pearson-e-Text-Access-Card-Package-3rd-Edition/PGM328188.html?tab=order" TargetMode="External"/><Relationship Id="rId557" Type="http://schemas.openxmlformats.org/officeDocument/2006/relationships/hyperlink" Target="http://music1300.info/" TargetMode="External"/><Relationship Id="rId764" Type="http://schemas.openxmlformats.org/officeDocument/2006/relationships/hyperlink" Target="../../../../../../:b:/g/team_sites/galileo/EfZmfx7-RoJPgH5WhMWEcN0Bng__NnQanmELUdN9yfUYnQ?e=HvKAAl" TargetMode="External"/><Relationship Id="rId196" Type="http://schemas.openxmlformats.org/officeDocument/2006/relationships/hyperlink" Target="http://oer.galileo.usg.edu/chemistry-collections/5" TargetMode="External"/><Relationship Id="rId417" Type="http://schemas.openxmlformats.org/officeDocument/2006/relationships/hyperlink" Target="../../../../../../:b:/g/team_sites/galileo/ETW6JIy7vMJMnRlDNJ2e3X0BXWN6QaksqVvHmFYiNXilTw?e=yDvlaK" TargetMode="External"/><Relationship Id="rId624" Type="http://schemas.openxmlformats.org/officeDocument/2006/relationships/hyperlink" Target="http://libguides.daltonstate.edu/educ3214" TargetMode="External"/><Relationship Id="rId831" Type="http://schemas.openxmlformats.org/officeDocument/2006/relationships/hyperlink" Target="../../Grants/R15-R17/R16/Reviews/Applications/517.pdf" TargetMode="External"/><Relationship Id="rId263" Type="http://schemas.openxmlformats.org/officeDocument/2006/relationships/hyperlink" Target="https://oer.galileo.usg.edu/psychology-collections/22/" TargetMode="External"/><Relationship Id="rId470" Type="http://schemas.openxmlformats.org/officeDocument/2006/relationships/hyperlink" Target="../../../../../../:b:/g/team_sites/galileo/EQhkscQ_q55Pm8w-g5N5i4YBknXkvgT8qeQ6uVnXFwBn_w" TargetMode="External"/><Relationship Id="rId58" Type="http://schemas.openxmlformats.org/officeDocument/2006/relationships/hyperlink" Target="https://www.cengage.com/c/new-perspectives-on-computer-concepts-2018-comprehensive-20e-parsons/9781305951495" TargetMode="External"/><Relationship Id="rId123" Type="http://schemas.openxmlformats.org/officeDocument/2006/relationships/hyperlink" Target="https://www.affordablelearninggeorgia.org/documents/2014F_Armstrong_APPENDIXA_Proposal24.pdf" TargetMode="External"/><Relationship Id="rId330" Type="http://schemas.openxmlformats.org/officeDocument/2006/relationships/hyperlink" Target="https://affordablelearninggeorgia.org/documents/M26_Lewkowicz.pdf" TargetMode="External"/><Relationship Id="rId568" Type="http://schemas.openxmlformats.org/officeDocument/2006/relationships/hyperlink" Target="http://philosophy.hku.hk/think/" TargetMode="External"/><Relationship Id="rId775" Type="http://schemas.openxmlformats.org/officeDocument/2006/relationships/hyperlink" Target="../../../../../../:b:/g/team_sites/galileo/EVUgeFxLdD1KsWDSu3WjaMMBZiRWbBCqZJD40IEC4BHbrg?e=WmQXPr" TargetMode="External"/><Relationship Id="rId428" Type="http://schemas.openxmlformats.org/officeDocument/2006/relationships/hyperlink" Target="../../../../../../:b:/g/team_sites/galileo/EXN8Q6txX2tLrgnX59dJJN4BWKz-3xd2UUvqwAI0FS0ZWg?e=nOXRby" TargetMode="External"/><Relationship Id="rId635" Type="http://schemas.openxmlformats.org/officeDocument/2006/relationships/hyperlink" Target="http://clayton.libguides.com/SpokenCommunication" TargetMode="External"/><Relationship Id="rId842" Type="http://schemas.openxmlformats.org/officeDocument/2006/relationships/hyperlink" Target="https://www.affordablelearninggeorgia.org/documents/525_proposal.pdf" TargetMode="External"/><Relationship Id="rId274" Type="http://schemas.openxmlformats.org/officeDocument/2006/relationships/hyperlink" Target="https://oer.galileo.usg.edu/biology-collections/22/" TargetMode="External"/><Relationship Id="rId481" Type="http://schemas.openxmlformats.org/officeDocument/2006/relationships/hyperlink" Target="https://openstax.org/details/books/algebra-and-trigonometry" TargetMode="External"/><Relationship Id="rId702" Type="http://schemas.openxmlformats.org/officeDocument/2006/relationships/hyperlink" Target="../../../../../../:b:/g/team_sites/galileo/EYQIcSUbXS1CseZoJrhOw1IB74TkVb_a0gtEc-2iruKE7Q" TargetMode="External"/><Relationship Id="rId69" Type="http://schemas.openxmlformats.org/officeDocument/2006/relationships/hyperlink" Target="https://www.cengage.com/c/research-methods-for-criminal-justice-and-criminology-8e-maxfield" TargetMode="External"/><Relationship Id="rId134" Type="http://schemas.openxmlformats.org/officeDocument/2006/relationships/hyperlink" Target="https://www.affordablelearninggeorgia.org/documents/2014F_GRU_APPENDIXA_Proposal41.pdf" TargetMode="External"/><Relationship Id="rId579" Type="http://schemas.openxmlformats.org/officeDocument/2006/relationships/hyperlink" Target="http://open.lib.umn.edu/socialproblems/" TargetMode="External"/><Relationship Id="rId786" Type="http://schemas.openxmlformats.org/officeDocument/2006/relationships/hyperlink" Target="mailto:janice.crook-hill@ung.edu" TargetMode="External"/><Relationship Id="rId341" Type="http://schemas.openxmlformats.org/officeDocument/2006/relationships/hyperlink" Target="https://drive.google.com/open?id=1e7Qjk7w6_cnUy8EEIKWV0uTzm76uDm4b" TargetMode="External"/><Relationship Id="rId439" Type="http://schemas.openxmlformats.org/officeDocument/2006/relationships/hyperlink" Target="../../../../../../:b:/g/team_sites/galileo/EUe828z3XQlMjiSZVU47AfgB9zPs45q9dwJHI4MkjB21Og?e=yncXMI" TargetMode="External"/><Relationship Id="rId646" Type="http://schemas.openxmlformats.org/officeDocument/2006/relationships/hyperlink" Target="http://oer.galileo.usg.edu/biology-textbooks/13" TargetMode="External"/><Relationship Id="rId201" Type="http://schemas.openxmlformats.org/officeDocument/2006/relationships/hyperlink" Target="http://oer.galileo.usg.edu/polisci-collections/1/" TargetMode="External"/><Relationship Id="rId285" Type="http://schemas.openxmlformats.org/officeDocument/2006/relationships/hyperlink" Target="https://affordablelearninggeorgia.org/documents/335_Southard.pdf" TargetMode="External"/><Relationship Id="rId506" Type="http://schemas.openxmlformats.org/officeDocument/2006/relationships/hyperlink" Target="https://openstax.org/details/books/biology-2e" TargetMode="External"/><Relationship Id="rId853" Type="http://schemas.openxmlformats.org/officeDocument/2006/relationships/hyperlink" Target="https://www.affordablelearninggeorgia.org/documents/M122_proposal.pdf" TargetMode="External"/><Relationship Id="rId492" Type="http://schemas.openxmlformats.org/officeDocument/2006/relationships/hyperlink" Target="https://openstax.org/details/books/psychology" TargetMode="External"/><Relationship Id="rId713" Type="http://schemas.openxmlformats.org/officeDocument/2006/relationships/hyperlink" Target="../../../../../../:b:/g/team_sites/galileo/EfzZMoVPRsNLopt53-eBhWABDjOZauucR8WxGzHUiRov-w" TargetMode="External"/><Relationship Id="rId797" Type="http://schemas.openxmlformats.org/officeDocument/2006/relationships/hyperlink" Target="../../Grants/R15-R17/R15/Proposals/Textbook%20Transformation%20Grant/492_Dose.pdf" TargetMode="External"/><Relationship Id="rId145" Type="http://schemas.openxmlformats.org/officeDocument/2006/relationships/hyperlink" Target="http://oer.galileo.usg.edu/chemistry-collections/4" TargetMode="External"/><Relationship Id="rId352" Type="http://schemas.openxmlformats.org/officeDocument/2006/relationships/hyperlink" Target="https://drive.google.com/open?id=1QN9MhTXe9mMsYWKlQ-9fxNOZSEl_p3RV" TargetMode="External"/><Relationship Id="rId212" Type="http://schemas.openxmlformats.org/officeDocument/2006/relationships/hyperlink" Target="http://oer.galileo.usg.edu/criminal-collections/2/" TargetMode="External"/><Relationship Id="rId657" Type="http://schemas.openxmlformats.org/officeDocument/2006/relationships/hyperlink" Target="http://oer.galileo.usg.edu/physics-ancillary/7" TargetMode="External"/><Relationship Id="rId864" Type="http://schemas.openxmlformats.org/officeDocument/2006/relationships/table" Target="../tables/table2.xml"/><Relationship Id="rId296" Type="http://schemas.openxmlformats.org/officeDocument/2006/relationships/hyperlink" Target="https://affordablelearninggeorgia.org/documents/M02_Hesse.pdf" TargetMode="External"/><Relationship Id="rId517" Type="http://schemas.openxmlformats.org/officeDocument/2006/relationships/hyperlink" Target="https://openstax.org/details/books/anatomy-and-physiology" TargetMode="External"/><Relationship Id="rId724" Type="http://schemas.openxmlformats.org/officeDocument/2006/relationships/hyperlink" Target="../../../../../../:b:/g/team_sites/galileo/EXeoldunzjNDn4vab10kvZ4B0H-x5XLNORUX-I2YZTHlbA" TargetMode="External"/><Relationship Id="rId60" Type="http://schemas.openxmlformats.org/officeDocument/2006/relationships/hyperlink" Target="https://www.pearson.com/us/higher-education/program/Gollnick-Multicultural-Education-in-a-Pluralistic-Society-Enhanced-Pearson-e-Text-with-Loose-Leaf-Version-Access-Card-Package-10th-Edition/PGM152747.html?tab=order" TargetMode="External"/><Relationship Id="rId156" Type="http://schemas.openxmlformats.org/officeDocument/2006/relationships/hyperlink" Target="http://oer.galileo.usg.edu/mathematics-collections/10/" TargetMode="External"/><Relationship Id="rId363" Type="http://schemas.openxmlformats.org/officeDocument/2006/relationships/hyperlink" Target="https://www.affordablelearninggeorgia.org/documents/M42_KSU_Das.pdf" TargetMode="External"/><Relationship Id="rId570" Type="http://schemas.openxmlformats.org/officeDocument/2006/relationships/hyperlink" Target="http://libguides.gcsu.edu/ENSC1000/introduction" TargetMode="External"/><Relationship Id="rId223" Type="http://schemas.openxmlformats.org/officeDocument/2006/relationships/hyperlink" Target="https://affordablelearninggeorgia.org/documents/231.d_xie_kersey_.docx" TargetMode="External"/><Relationship Id="rId430" Type="http://schemas.openxmlformats.org/officeDocument/2006/relationships/hyperlink" Target="../../../../../../:b:/g/team_sites/galileo/ES0LgVl2qnhEt9nNi-yRHQgB-TZL8ZnhK2NZ5B5NRgYmSQ?e=AxbBv2" TargetMode="External"/><Relationship Id="rId668" Type="http://schemas.openxmlformats.org/officeDocument/2006/relationships/hyperlink" Target="http://oer.galileo.usg.edu/psychology-ancillary/5" TargetMode="External"/><Relationship Id="rId18" Type="http://schemas.openxmlformats.org/officeDocument/2006/relationships/hyperlink" Target="https://www.mheducation.com/highered/product/theatre-experience-wilson/M0073514276.html" TargetMode="External"/><Relationship Id="rId528" Type="http://schemas.openxmlformats.org/officeDocument/2006/relationships/hyperlink" Target="https://openstax.org/details/books/introductory-statistics" TargetMode="External"/><Relationship Id="rId735" Type="http://schemas.openxmlformats.org/officeDocument/2006/relationships/hyperlink" Target="../../../../../../:b:/g/team_sites/galileo/ETKkCqwTpgNMhD39olKw7-UBsKvdqQ5t-8zKCHTf1oO6YA" TargetMode="External"/><Relationship Id="rId167" Type="http://schemas.openxmlformats.org/officeDocument/2006/relationships/hyperlink" Target="http://oer.galileo.usg.edu/psychology-collections/3/" TargetMode="External"/><Relationship Id="rId374" Type="http://schemas.openxmlformats.org/officeDocument/2006/relationships/hyperlink" Target="https://affordablelearninggeorgia.org/documents/M55_CSU_Adams.pdf" TargetMode="External"/><Relationship Id="rId581" Type="http://schemas.openxmlformats.org/officeDocument/2006/relationships/hyperlink" Target="https://oer.galileo.usg.edu/compsci-ancillary/6/" TargetMode="External"/><Relationship Id="rId71" Type="http://schemas.openxmlformats.org/officeDocument/2006/relationships/hyperlink" Target="https://www.mhprofessional.com/9780078136337-usa-elementary-statistics-a-step-by-step-approach-with-formula-card" TargetMode="External"/><Relationship Id="rId234" Type="http://schemas.openxmlformats.org/officeDocument/2006/relationships/hyperlink" Target="https://oer.galileo.usg.edu/physics-collections/6/" TargetMode="External"/><Relationship Id="rId679" Type="http://schemas.openxmlformats.org/officeDocument/2006/relationships/hyperlink" Target="../../../../../../:b:/g/team_sites/galileo/EZqKKjJy5-hIslVcmrcDEgMBsBgVQ_gywV3Yb1JxLQKMQA" TargetMode="External"/><Relationship Id="rId802" Type="http://schemas.openxmlformats.org/officeDocument/2006/relationships/hyperlink" Target="../../Grants/R15-R17/R15/Proposals/Textbook%20Transformation%20Grant/501_Spoletini.pdf" TargetMode="External"/><Relationship Id="rId2" Type="http://schemas.openxmlformats.org/officeDocument/2006/relationships/hyperlink" Target="../../../../../../:w:/g/team_sites/galileo/EfD7e2U5dENBrYqvZ_rjJ0cBqYThqEuc3o5dUTau3bJCmQ?e=JDnzeS" TargetMode="External"/><Relationship Id="rId29" Type="http://schemas.openxmlformats.org/officeDocument/2006/relationships/hyperlink" Target="https://www.cengage.com/c/introduction-to-general-organic-and-biochemistry-11e-bettelheim" TargetMode="External"/><Relationship Id="rId441" Type="http://schemas.openxmlformats.org/officeDocument/2006/relationships/hyperlink" Target="../../../../../../:b:/g/team_sites/galileo/EWOhF4SPdSZNjJU_Bl-dAFcBefwTVSPllE4L-Ai4ixzcPw?e=Rbanbi" TargetMode="External"/><Relationship Id="rId539" Type="http://schemas.openxmlformats.org/officeDocument/2006/relationships/hyperlink" Target="https://sites.google.com/site/gravesgeography/introduction" TargetMode="External"/><Relationship Id="rId746" Type="http://schemas.openxmlformats.org/officeDocument/2006/relationships/hyperlink" Target="../../../../../../:b:/g/team_sites/galileo/EUhvuo9OnD1Asc1BAAN7CPcBl9zA3gO5fLcB5fTJmCEOow?e=yjcKWN" TargetMode="External"/><Relationship Id="rId178" Type="http://schemas.openxmlformats.org/officeDocument/2006/relationships/hyperlink" Target="http://oer.galileo.usg.edu/communication-collections/4/" TargetMode="External"/><Relationship Id="rId301" Type="http://schemas.openxmlformats.org/officeDocument/2006/relationships/hyperlink" Target="https://affordablelearninggeorgia.org/documents/M11_Mutiti.pdf" TargetMode="External"/><Relationship Id="rId82" Type="http://schemas.openxmlformats.org/officeDocument/2006/relationships/hyperlink" Target="https://www.macmillanlearning.com/Catalog/product/exploringpsychology-tenthedition-myers/valueoptions" TargetMode="External"/><Relationship Id="rId385" Type="http://schemas.openxmlformats.org/officeDocument/2006/relationships/hyperlink" Target="https://drive.google.com/open?id=1vdlRypEno094r8LtDdjvnxpdHg7anA2H" TargetMode="External"/><Relationship Id="rId592" Type="http://schemas.openxmlformats.org/officeDocument/2006/relationships/hyperlink" Target="https://oer.galileo.usg.edu/biology-ancillary/10/" TargetMode="External"/><Relationship Id="rId606" Type="http://schemas.openxmlformats.org/officeDocument/2006/relationships/hyperlink" Target="http://libguides.gcsu.edu/math1111" TargetMode="External"/><Relationship Id="rId813" Type="http://schemas.openxmlformats.org/officeDocument/2006/relationships/hyperlink" Target="../../Grants/R15-R17/R15/Proposals/Mini-Grant/M107_Reardon.pdf" TargetMode="External"/><Relationship Id="rId245" Type="http://schemas.openxmlformats.org/officeDocument/2006/relationships/hyperlink" Target="https://oer.galileo.usg.edu/biology-collections/18" TargetMode="External"/><Relationship Id="rId452" Type="http://schemas.openxmlformats.org/officeDocument/2006/relationships/hyperlink" Target="../../../../../../:b:/g/team_sites/galileo/EdqFZFjylv1JrzE55KZjB2MBeTpgD5aqVU5fLxXvCS1F1g" TargetMode="External"/><Relationship Id="rId105" Type="http://schemas.openxmlformats.org/officeDocument/2006/relationships/hyperlink" Target="https://www.mheducation.com/highered/product/microbiology-systems-approach-cowan/0073402435.html" TargetMode="External"/><Relationship Id="rId312" Type="http://schemas.openxmlformats.org/officeDocument/2006/relationships/hyperlink" Target="https://affordablelearninggeorgia.org/documents/361_Tenzin.pdf" TargetMode="External"/><Relationship Id="rId757" Type="http://schemas.openxmlformats.org/officeDocument/2006/relationships/hyperlink" Target="../../../../../../:b:/g/team_sites/galileo/EWdxRQc4N1FEiT0m4Rno22MBbtAw7in8GmpFd4is-sWqVA?e=r87MRp" TargetMode="External"/><Relationship Id="rId93" Type="http://schemas.openxmlformats.org/officeDocument/2006/relationships/hyperlink" Target="https://www.mheducation.com/highered/product/plants-society-levetin-mcmahon/M0078023033.html" TargetMode="External"/><Relationship Id="rId189" Type="http://schemas.openxmlformats.org/officeDocument/2006/relationships/hyperlink" Target="http://oer.galileo.usg.edu/criminal-collections/1/" TargetMode="External"/><Relationship Id="rId396" Type="http://schemas.openxmlformats.org/officeDocument/2006/relationships/hyperlink" Target="https://drive.google.com/open?id=16niaXOLSvLuHFM74b1O4jnC8kFeI0cwM" TargetMode="External"/><Relationship Id="rId617" Type="http://schemas.openxmlformats.org/officeDocument/2006/relationships/hyperlink" Target="https://www.youtube.com/playlist?list=PLdiVex6HxQcvIQ2SQA5W_hirIGa1OQkHk" TargetMode="External"/><Relationship Id="rId824" Type="http://schemas.openxmlformats.org/officeDocument/2006/relationships/hyperlink" Target="../../Grants/R15-R17/R16/Reviews/Applications/502.pdf" TargetMode="External"/><Relationship Id="rId256" Type="http://schemas.openxmlformats.org/officeDocument/2006/relationships/hyperlink" Target="https://oer.galileo.usg.edu/biology-collections/19" TargetMode="External"/><Relationship Id="rId463" Type="http://schemas.openxmlformats.org/officeDocument/2006/relationships/hyperlink" Target="../../../../../../:b:/g/team_sites/galileo/EfMlfzsdzt1CnRApJpxGfcIBrGL0503-0X77rQKlIOawTw" TargetMode="External"/><Relationship Id="rId670" Type="http://schemas.openxmlformats.org/officeDocument/2006/relationships/hyperlink" Target="https://oer.galileo.usg.edu/mathematics-ancillary/6/" TargetMode="External"/><Relationship Id="rId116" Type="http://schemas.openxmlformats.org/officeDocument/2006/relationships/hyperlink" Target="https://www.affordablelearninggeorgia.org/documents/2014F_MGSC_APPENDIXA_Proposal08.pdf" TargetMode="External"/><Relationship Id="rId323" Type="http://schemas.openxmlformats.org/officeDocument/2006/relationships/hyperlink" Target="https://affordablelearninggeorgia.org/documents/M18_Dolan.pdf" TargetMode="External"/><Relationship Id="rId530" Type="http://schemas.openxmlformats.org/officeDocument/2006/relationships/hyperlink" Target="https://openstax.org/details/books/introductory-statistics" TargetMode="External"/><Relationship Id="rId768" Type="http://schemas.openxmlformats.org/officeDocument/2006/relationships/hyperlink" Target="../../../../../../:b:/g/team_sites/galileo/EaX_mDxUhcRAi3OiUKZq3M0BRRwrzBlVLXeG9Mo5JEo9Iw?e=Ho1h7C" TargetMode="External"/><Relationship Id="rId20" Type="http://schemas.openxmlformats.org/officeDocument/2006/relationships/hyperlink" Target="https://www.mheducation.com/highered/product/art-public-speaking-lucas/M0073523917.html" TargetMode="External"/><Relationship Id="rId628" Type="http://schemas.openxmlformats.org/officeDocument/2006/relationships/hyperlink" Target="http://gsu.speedslate.com/modules/" TargetMode="External"/><Relationship Id="rId835" Type="http://schemas.openxmlformats.org/officeDocument/2006/relationships/hyperlink" Target="../../Grants/R15-R17/R16/Reviews/Applications/521%20CSU%20Quantitative%20Reasoning/CSU-Application_Form_Departmental_Scaling.docx" TargetMode="External"/><Relationship Id="rId267" Type="http://schemas.openxmlformats.org/officeDocument/2006/relationships/hyperlink" Target="https://oer.galileo.usg.edu/education-collections/8/" TargetMode="External"/><Relationship Id="rId474" Type="http://schemas.openxmlformats.org/officeDocument/2006/relationships/hyperlink" Target="../../../../../../:b:/g/team_sites/galileo/EcWGcXbYtiVJo6gknoOM4qABqHyYQTSblRLUHUQSirV-Fg" TargetMode="External"/><Relationship Id="rId127" Type="http://schemas.openxmlformats.org/officeDocument/2006/relationships/hyperlink" Target="https://www.affordablelearninggeorgia.org/documents/2014F_UNG_APPENDIXA_Proposal31.pdf" TargetMode="External"/><Relationship Id="rId681" Type="http://schemas.openxmlformats.org/officeDocument/2006/relationships/hyperlink" Target="../../../../../../:b:/g/team_sites/galileo/EQ_F5cnwjUJFgFGK0SWP1ioBUx8fd-Yv2lyVW2KAFejfXw" TargetMode="External"/><Relationship Id="rId779" Type="http://schemas.openxmlformats.org/officeDocument/2006/relationships/hyperlink" Target="../../../../../../:b:/g/team_sites/galileo/EaDHr6B3LWhHpxzpz2l1WpMBt6KoWvWt9lr4drGPipot5Q?e=j8hvNj" TargetMode="External"/><Relationship Id="rId31" Type="http://schemas.openxmlformats.org/officeDocument/2006/relationships/hyperlink" Target="https://www.pearson.com/us/higher-education/product/Wheelen-Concepts-in-Strategic-Management-and-Business-Policy-14th-Edition/9780133126129.html" TargetMode="External"/><Relationship Id="rId334" Type="http://schemas.openxmlformats.org/officeDocument/2006/relationships/hyperlink" Target="https://affordablelearninggeorgia.org/documents/M31_Nunez.pdf" TargetMode="External"/><Relationship Id="rId541" Type="http://schemas.openxmlformats.org/officeDocument/2006/relationships/hyperlink" Target="https://oer.galileo.usg.edu/history-textbooks/2/" TargetMode="External"/><Relationship Id="rId639" Type="http://schemas.openxmlformats.org/officeDocument/2006/relationships/hyperlink" Target="http://libguides.asurams.edu/THEA1100" TargetMode="External"/><Relationship Id="rId180" Type="http://schemas.openxmlformats.org/officeDocument/2006/relationships/hyperlink" Target="http://oer.galileo.usg.edu/fye-collections/1" TargetMode="External"/><Relationship Id="rId278" Type="http://schemas.openxmlformats.org/officeDocument/2006/relationships/hyperlink" Target="https://oer.galileo.usg.edu/psychology-collections/25/" TargetMode="External"/><Relationship Id="rId401" Type="http://schemas.openxmlformats.org/officeDocument/2006/relationships/hyperlink" Target="https://drive.google.com/open?id=11tHFnkjbiFIEkoSosmzy5bIUMfmWPa8b" TargetMode="External"/><Relationship Id="rId846" Type="http://schemas.openxmlformats.org/officeDocument/2006/relationships/hyperlink" Target="https://www.affordablelearninggeorgia.org/documents/532_proposal.pdf" TargetMode="External"/><Relationship Id="rId485" Type="http://schemas.openxmlformats.org/officeDocument/2006/relationships/hyperlink" Target="https://openstax.org/details/books/calculus-volume-1" TargetMode="External"/><Relationship Id="rId692" Type="http://schemas.openxmlformats.org/officeDocument/2006/relationships/hyperlink" Target="../../../../../../:b:/g/team_sites/galileo/Ee5Dfu6x-wBOladpMeGmH-IBnqOeRqIzb2RgQEX6y_Y2kQ" TargetMode="External"/><Relationship Id="rId706" Type="http://schemas.openxmlformats.org/officeDocument/2006/relationships/hyperlink" Target="../../../../../../:b:/g/team_sites/galileo/EVsww1luhs9Hniy0T8eWf7oBX6vNWPhTFO3M1avW4Z9uog" TargetMode="External"/><Relationship Id="rId42" Type="http://schemas.openxmlformats.org/officeDocument/2006/relationships/hyperlink" Target="https://www.pearson.com/us/higher-education/program/Lial-College-Algebra-and-Trigonometry-plus-My-Lab-Math-with-Pearson-e-Text-Access-Card-Package-6th-Edition/PGM178897.html?tab=order" TargetMode="External"/><Relationship Id="rId138" Type="http://schemas.openxmlformats.org/officeDocument/2006/relationships/hyperlink" Target="https://www.affordablelearninggeorgia.org/documents/2014F_GCSU_APPENDIXA_Proposal45.pdf" TargetMode="External"/><Relationship Id="rId345" Type="http://schemas.openxmlformats.org/officeDocument/2006/relationships/hyperlink" Target="https://drive.google.com/open?id=1VP1KeehiiCzCAhLz2P9ZVJph-zQCht8o" TargetMode="External"/><Relationship Id="rId552" Type="http://schemas.openxmlformats.org/officeDocument/2006/relationships/hyperlink" Target="https://oer.galileo.usg.edu/arts-textbooks/1/" TargetMode="External"/><Relationship Id="rId191" Type="http://schemas.openxmlformats.org/officeDocument/2006/relationships/hyperlink" Target="http://oer.galileo.usg.edu/education-collections/5/" TargetMode="External"/><Relationship Id="rId205" Type="http://schemas.openxmlformats.org/officeDocument/2006/relationships/hyperlink" Target="http://oer.galileo.usg.edu/mathematics-collections/16/" TargetMode="External"/><Relationship Id="rId412" Type="http://schemas.openxmlformats.org/officeDocument/2006/relationships/hyperlink" Target="../../../../../../:b:/g/team_sites/galileo/Ef76vYA7_ddEs82XkW4a-d4B_cmo1alXNpRQbyxQVK04Uw?e=o84saJ" TargetMode="External"/><Relationship Id="rId857" Type="http://schemas.openxmlformats.org/officeDocument/2006/relationships/hyperlink" Target="https://www.affordablelearninggeorgia.org/documents/M127_proposal.pdf" TargetMode="External"/><Relationship Id="rId289" Type="http://schemas.openxmlformats.org/officeDocument/2006/relationships/hyperlink" Target="https://affordablelearninggeorgia.org/documents/340_Farr.pdf" TargetMode="External"/><Relationship Id="rId496" Type="http://schemas.openxmlformats.org/officeDocument/2006/relationships/hyperlink" Target="https://openstax.org/details/books/psychology" TargetMode="External"/><Relationship Id="rId717" Type="http://schemas.openxmlformats.org/officeDocument/2006/relationships/hyperlink" Target="../../../../../../:b:/g/team_sites/galileo/EYkR0Vd5KFJImRcDV3NlTtkBQ9aVY2KnbfBfMMQOZlBDYg" TargetMode="External"/><Relationship Id="rId53" Type="http://schemas.openxmlformats.org/officeDocument/2006/relationships/hyperlink" Target="http://www.mypearsonstore.com/bookstore/calculus-for-scientists-and-engineers-early-transcendentals-9780321837721" TargetMode="External"/><Relationship Id="rId149" Type="http://schemas.openxmlformats.org/officeDocument/2006/relationships/hyperlink" Target="http://oer.galileo.usg.edu/business-collections/2/" TargetMode="External"/><Relationship Id="rId356" Type="http://schemas.openxmlformats.org/officeDocument/2006/relationships/hyperlink" Target="https://affordablelearninggeorgia.org/documents/M35_KSU_Li.pdf" TargetMode="External"/><Relationship Id="rId563" Type="http://schemas.openxmlformats.org/officeDocument/2006/relationships/hyperlink" Target="http://www.stitz-zeager.com/szca07042013.pdf" TargetMode="External"/><Relationship Id="rId770" Type="http://schemas.openxmlformats.org/officeDocument/2006/relationships/hyperlink" Target="../../../../../../:b:/g/team_sites/galileo/EYZx_ZNzU-VGrQl_hK451_0Biimtp4LdArv9qfwVp384iA?e=oqxyBF" TargetMode="External"/><Relationship Id="rId216" Type="http://schemas.openxmlformats.org/officeDocument/2006/relationships/hyperlink" Target="http://oer.galileo.usg.edu/mathematics-collections/20/" TargetMode="External"/><Relationship Id="rId423" Type="http://schemas.openxmlformats.org/officeDocument/2006/relationships/hyperlink" Target="../../../../../../:b:/g/team_sites/galileo/EYH6SF8SLC9HnNPr7Q4nCJgBH25WLJWx6yGA4lG3xVMbPQ?e=Amgm4T" TargetMode="External"/><Relationship Id="rId630" Type="http://schemas.openxmlformats.org/officeDocument/2006/relationships/hyperlink" Target="http://chemwiki.ucdavis.edu/Wikitexts/Middle_Georgia_State_University/MGA_CHEM_1152K_Survey_of_Chemistry_II" TargetMode="External"/><Relationship Id="rId728" Type="http://schemas.openxmlformats.org/officeDocument/2006/relationships/hyperlink" Target="../../../../../../:b:/g/team_sites/galileo/EQF2OvDj7G9Lg7Mvgj7bNzABnuIEYzXfHmssBwsfL-aA1A" TargetMode="External"/><Relationship Id="rId64" Type="http://schemas.openxmlformats.org/officeDocument/2006/relationships/hyperlink" Target="https://www.amazon.com/Consequence-American-Politics-Penguin-Academics/dp/0205743625" TargetMode="External"/><Relationship Id="rId367" Type="http://schemas.openxmlformats.org/officeDocument/2006/relationships/hyperlink" Target="https://affordablelearninggeorgia.org/documents/M47_FVSU_Marion.pdf" TargetMode="External"/><Relationship Id="rId574" Type="http://schemas.openxmlformats.org/officeDocument/2006/relationships/hyperlink" Target="http://www.psychwiki.com/wiki/Main_Page" TargetMode="External"/><Relationship Id="rId227" Type="http://schemas.openxmlformats.org/officeDocument/2006/relationships/hyperlink" Target="https://oer.galileo.usg.edu/languages-collections/2" TargetMode="External"/><Relationship Id="rId781" Type="http://schemas.openxmlformats.org/officeDocument/2006/relationships/hyperlink" Target="mailto:ljellum@highlands.edu" TargetMode="External"/><Relationship Id="rId434" Type="http://schemas.openxmlformats.org/officeDocument/2006/relationships/hyperlink" Target="../../../../../../:b:/g/team_sites/galileo/EU5DVEn0DtJMuHvsEAF_a5wBZFWUr2KautlpHRceQw1p-w?e=7TxFlw" TargetMode="External"/><Relationship Id="rId641" Type="http://schemas.openxmlformats.org/officeDocument/2006/relationships/hyperlink" Target="https://oer.galileo.usg.edu/communication-textbooks/2/" TargetMode="External"/><Relationship Id="rId739" Type="http://schemas.openxmlformats.org/officeDocument/2006/relationships/hyperlink" Target="../../../../../../:b:/g/team_sites/galileo/EaGzhO4P33VDkPz49HPDlb8BjS5QDj5zf-2daP7esca0aw?e=Ougmdx" TargetMode="External"/><Relationship Id="rId280" Type="http://schemas.openxmlformats.org/officeDocument/2006/relationships/hyperlink" Target="https://oer.galileo.usg.edu/education-textbooks/1/" TargetMode="External"/><Relationship Id="rId501" Type="http://schemas.openxmlformats.org/officeDocument/2006/relationships/hyperlink" Target="https://openstax.org/details/books/chemistry" TargetMode="External"/><Relationship Id="rId75" Type="http://schemas.openxmlformats.org/officeDocument/2006/relationships/hyperlink" Target="http://books.wwnorton.com/books/webad.aspx?id=4294987072" TargetMode="External"/><Relationship Id="rId140" Type="http://schemas.openxmlformats.org/officeDocument/2006/relationships/hyperlink" Target="https://www.affordablelearninggeorgia.org/documents/2014F_Dalton_APPENDIXA_Proposal47.pdf" TargetMode="External"/><Relationship Id="rId378" Type="http://schemas.openxmlformats.org/officeDocument/2006/relationships/hyperlink" Target="https://drive.google.com/open?id=1KYGehjEHxj4Smy7Mlz5SQCn0PeUOcKQy" TargetMode="External"/><Relationship Id="rId585" Type="http://schemas.openxmlformats.org/officeDocument/2006/relationships/hyperlink" Target="mailto:mkeleher@kennesaw.edu" TargetMode="External"/><Relationship Id="rId792" Type="http://schemas.openxmlformats.org/officeDocument/2006/relationships/hyperlink" Target="../../Grants/R15-R17/R15/Proposals/Textbook%20Transformation%20Grant/481_Larson.pdf" TargetMode="External"/><Relationship Id="rId806" Type="http://schemas.openxmlformats.org/officeDocument/2006/relationships/hyperlink" Target="../../Grants/R15-R17/R15/Proposals/Mini-Grant/M99_Rutherfoord.pdf" TargetMode="External"/><Relationship Id="rId6" Type="http://schemas.openxmlformats.org/officeDocument/2006/relationships/hyperlink" Target="https://www.affordablelearninggeorgia.org/about/pilots18_grantees" TargetMode="External"/><Relationship Id="rId238" Type="http://schemas.openxmlformats.org/officeDocument/2006/relationships/hyperlink" Target="https://oer.galileo.usg.edu/english-collections/4" TargetMode="External"/><Relationship Id="rId445" Type="http://schemas.openxmlformats.org/officeDocument/2006/relationships/hyperlink" Target="../../../../../../:b:/g/team_sites/galileo/ERjvKP0Hy_lIhw9EloUkHW8BZfFwyY0O0STIaSgu8_Hmnw?e=hfNVK4" TargetMode="External"/><Relationship Id="rId652" Type="http://schemas.openxmlformats.org/officeDocument/2006/relationships/hyperlink" Target="http://oer.galileo.usg.edu/languages-textbooks/3" TargetMode="External"/><Relationship Id="rId291" Type="http://schemas.openxmlformats.org/officeDocument/2006/relationships/hyperlink" Target="https://affordablelearninggeorgia.org/documents/343_Bridges.pdf" TargetMode="External"/><Relationship Id="rId305" Type="http://schemas.openxmlformats.org/officeDocument/2006/relationships/hyperlink" Target="https://affordablelearninggeorgia.org/documents/352_Goldoni.pdf" TargetMode="External"/><Relationship Id="rId512" Type="http://schemas.openxmlformats.org/officeDocument/2006/relationships/hyperlink" Target="https://openstax.org/details/books/college-physics" TargetMode="External"/><Relationship Id="rId86" Type="http://schemas.openxmlformats.org/officeDocument/2006/relationships/hyperlink" Target="http://www.affordablelearninggeorgia.org/documents/2014F_KSU_APPENDIXA_Proposal06.pdf" TargetMode="External"/><Relationship Id="rId151" Type="http://schemas.openxmlformats.org/officeDocument/2006/relationships/hyperlink" Target="http://oer.galileo.usg.edu/business-collections/3/" TargetMode="External"/><Relationship Id="rId389" Type="http://schemas.openxmlformats.org/officeDocument/2006/relationships/hyperlink" Target="https://drive.google.com/open?id=1whw3nbhjE3muWu2BL_Z_AYHKVykIjLaS" TargetMode="External"/><Relationship Id="rId596" Type="http://schemas.openxmlformats.org/officeDocument/2006/relationships/hyperlink" Target="http://getlibraryhelp.highlands.edu/c.php?g=837680&amp;p=5983124" TargetMode="External"/><Relationship Id="rId817" Type="http://schemas.openxmlformats.org/officeDocument/2006/relationships/hyperlink" Target="../../Grants/R15-R17/R16/Reviews/Applications/M118.pdf" TargetMode="External"/><Relationship Id="rId249" Type="http://schemas.openxmlformats.org/officeDocument/2006/relationships/hyperlink" Target="https://oer.galileo.usg.edu/history-collections/4" TargetMode="External"/><Relationship Id="rId456" Type="http://schemas.openxmlformats.org/officeDocument/2006/relationships/hyperlink" Target="../../../../../../:b:/g/team_sites/galileo/EQjLSF_Nmq9DmX7dT3_MHoMB_iC73tKxxzVx5UARuTNfzA" TargetMode="External"/><Relationship Id="rId663" Type="http://schemas.openxmlformats.org/officeDocument/2006/relationships/hyperlink" Target="http://oer.galileo.usg.edu/business-collections/7" TargetMode="External"/><Relationship Id="rId13" Type="http://schemas.openxmlformats.org/officeDocument/2006/relationships/hyperlink" Target="https://www.pearson.com/us/higher-education/product/Macionis-Sociology-16th-Edition/9780134206318.html" TargetMode="External"/><Relationship Id="rId109" Type="http://schemas.openxmlformats.org/officeDocument/2006/relationships/hyperlink" Target="https://www.mheducation.com/highered/product/foundations-microbiology-talaro-chess/M1259705218.html" TargetMode="External"/><Relationship Id="rId316" Type="http://schemas.openxmlformats.org/officeDocument/2006/relationships/hyperlink" Target="https://affordablelearninggeorgia.org/documents/366_Castle.pdf" TargetMode="External"/><Relationship Id="rId523" Type="http://schemas.openxmlformats.org/officeDocument/2006/relationships/hyperlink" Target="https://openstax.org/details/books/concepts-biology" TargetMode="External"/><Relationship Id="rId97" Type="http://schemas.openxmlformats.org/officeDocument/2006/relationships/hyperlink" Target="https://www.pearson.com/us/higher-education/program/Marieb-Human-Anatomy-Physiology-Plus-Mastering-A-P-with-Pearson-e-Text-Access-Card-Package-11th-Edition/PGM322801.html?tab=order" TargetMode="External"/><Relationship Id="rId730" Type="http://schemas.openxmlformats.org/officeDocument/2006/relationships/hyperlink" Target="../../../../../../:b:/g/team_sites/galileo/EaLHfTlLIbFKqiAy-dPtBoQBbJo4rsxvk8Gk1AGN31IUwQ" TargetMode="External"/><Relationship Id="rId828" Type="http://schemas.openxmlformats.org/officeDocument/2006/relationships/hyperlink" Target="../../Grants/R15-R17/R16/Reviews/Applications/508.pdf" TargetMode="External"/><Relationship Id="rId162" Type="http://schemas.openxmlformats.org/officeDocument/2006/relationships/hyperlink" Target="http://oer.galileo.usg.edu/compsci-collections/7/" TargetMode="External"/><Relationship Id="rId467" Type="http://schemas.openxmlformats.org/officeDocument/2006/relationships/hyperlink" Target="../../Admin%20Documents/ALG%20PAYMENT%20REQUESTS%20SENT%20TO%20BUSINESS%20OFFICE/FINAL/336%20FINAL%20GEORGIA%20SOUTHERN%20UNIV.pdf" TargetMode="External"/><Relationship Id="rId674" Type="http://schemas.openxmlformats.org/officeDocument/2006/relationships/hyperlink" Target="../../../../../../:b:/g/team_sites/galileo/EV8CzKCf6Z1Brr8wbLBB0JYB3YbAWy_kj5ToA1Qlc685TQ" TargetMode="External"/><Relationship Id="rId24" Type="http://schemas.openxmlformats.org/officeDocument/2006/relationships/hyperlink" Target="https://www.cengage.com/shop/ProductDisplay?storeId=10151&amp;urlLangId=-1&amp;productId=518479&amp;urlRequestType=Base&amp;langId=-1&amp;catalogId=10057" TargetMode="External"/><Relationship Id="rId327" Type="http://schemas.openxmlformats.org/officeDocument/2006/relationships/hyperlink" Target="https://affordablelearninggeorgia.org/documents/M23_Cotter.pdf" TargetMode="External"/><Relationship Id="rId534" Type="http://schemas.openxmlformats.org/officeDocument/2006/relationships/hyperlink" Target="https://openstax.org/details/books/american-government" TargetMode="External"/><Relationship Id="rId741" Type="http://schemas.openxmlformats.org/officeDocument/2006/relationships/hyperlink" Target="../../../../../../:b:/g/team_sites/galileo/EWL85geRxZRClHhzprTB8HkBmY71G2NXat20Pc9GIyBMQw" TargetMode="External"/><Relationship Id="rId839" Type="http://schemas.openxmlformats.org/officeDocument/2006/relationships/hyperlink" Target="mailto:serdikoffs@savannahstate.edu" TargetMode="External"/><Relationship Id="rId173" Type="http://schemas.openxmlformats.org/officeDocument/2006/relationships/hyperlink" Target="http://oer.galileo.usg.edu/biology-collections/13/" TargetMode="External"/><Relationship Id="rId380" Type="http://schemas.openxmlformats.org/officeDocument/2006/relationships/hyperlink" Target="https://drive.google.com/open?id=1GTz8D3L3n_ohmwEdyOGy0EKPSPjt95H3" TargetMode="External"/><Relationship Id="rId601" Type="http://schemas.openxmlformats.org/officeDocument/2006/relationships/hyperlink" Target="http://libguides.galileo.usg.edu/aecontent.php?pid=673891&amp;sid=5582424" TargetMode="External"/><Relationship Id="rId240" Type="http://schemas.openxmlformats.org/officeDocument/2006/relationships/hyperlink" Target="https://oer.galileo.usg.edu/chemistry-collections/15" TargetMode="External"/><Relationship Id="rId478" Type="http://schemas.openxmlformats.org/officeDocument/2006/relationships/hyperlink" Target="https://openstax.org/details/books/introduction-sociology-2e" TargetMode="External"/><Relationship Id="rId685" Type="http://schemas.openxmlformats.org/officeDocument/2006/relationships/hyperlink" Target="../../Grants/R12-R14/R14/Review/Proposals/M90_UGA_Proposal_2800.pdf" TargetMode="External"/><Relationship Id="rId35" Type="http://schemas.openxmlformats.org/officeDocument/2006/relationships/hyperlink" Target="https://www.pearson.com/us/higher-education/product/Triola-Essentials-of-Statistics-5th-Edition/9780321924599.html?tab=order" TargetMode="External"/><Relationship Id="rId100" Type="http://schemas.openxmlformats.org/officeDocument/2006/relationships/hyperlink" Target="https://vistahigherlearning.com/catalog/product/view/id/5346/s/vistas-5th-edition-031/category/226/" TargetMode="External"/><Relationship Id="rId338" Type="http://schemas.openxmlformats.org/officeDocument/2006/relationships/hyperlink" Target="https://drive.google.com/open?id=18wKlkM4snag7SCJbmcliz8FohF7PZhKx" TargetMode="External"/><Relationship Id="rId545" Type="http://schemas.openxmlformats.org/officeDocument/2006/relationships/hyperlink" Target="http://apexcalculus.com/" TargetMode="External"/><Relationship Id="rId752" Type="http://schemas.openxmlformats.org/officeDocument/2006/relationships/hyperlink" Target="../../../../../../:b:/g/team_sites/galileo/Eb2mK8EP9lZGob6KoPBMC2cBzVsdU7K30m-PyM1my5CXSA?e=itEjCg" TargetMode="External"/><Relationship Id="rId184" Type="http://schemas.openxmlformats.org/officeDocument/2006/relationships/hyperlink" Target="http://oer.galileo.usg.edu/psychology-collections/12/" TargetMode="External"/><Relationship Id="rId391" Type="http://schemas.openxmlformats.org/officeDocument/2006/relationships/hyperlink" Target="https://drive.google.com/open?id=1QgX1gg31PWi__wPL6pCMPi1SeP_cbafG" TargetMode="External"/><Relationship Id="rId405" Type="http://schemas.openxmlformats.org/officeDocument/2006/relationships/hyperlink" Target="https://drive.google.com/open?id=1JJcqDdL3UXMOQA0LJUS5GboQPXB347q0" TargetMode="External"/><Relationship Id="rId612" Type="http://schemas.openxmlformats.org/officeDocument/2006/relationships/hyperlink" Target="https://www.softchalkcloud.com/lesson/serve/vzgdLRnTHGkuMF/html" TargetMode="External"/><Relationship Id="rId251" Type="http://schemas.openxmlformats.org/officeDocument/2006/relationships/hyperlink" Target="https://oer.galileo.usg.edu/geo-collections/3" TargetMode="External"/><Relationship Id="rId489" Type="http://schemas.openxmlformats.org/officeDocument/2006/relationships/hyperlink" Target="https://openstax.org/details/books/principles-microeconomics" TargetMode="External"/><Relationship Id="rId654" Type="http://schemas.openxmlformats.org/officeDocument/2006/relationships/hyperlink" Target="http://oer.galileo.usg.edu/history-textbooks/3" TargetMode="External"/><Relationship Id="rId696" Type="http://schemas.openxmlformats.org/officeDocument/2006/relationships/hyperlink" Target="../../../../../../:b:/g/team_sites/galileo/EfUS3vtCO_5FtqPeCUEr_MkBsgv9ZC9kzDwd8zHkMtDdDA" TargetMode="External"/><Relationship Id="rId861" Type="http://schemas.openxmlformats.org/officeDocument/2006/relationships/hyperlink" Target="https://www.affordablelearninggeorgia.org/documents/M134_proposal.pdf" TargetMode="External"/><Relationship Id="rId46" Type="http://schemas.openxmlformats.org/officeDocument/2006/relationships/hyperlink" Target="https://www.amazon.com/Success-Student-Update-Access-Package/dp/0134019350" TargetMode="External"/><Relationship Id="rId293" Type="http://schemas.openxmlformats.org/officeDocument/2006/relationships/hyperlink" Target="https://affordablelearninggeorgia.org/documents/345_Okonkwo.pdf" TargetMode="External"/><Relationship Id="rId307" Type="http://schemas.openxmlformats.org/officeDocument/2006/relationships/hyperlink" Target="https://affordablelearninggeorgia.org/documents/355_Reardon.pdf" TargetMode="External"/><Relationship Id="rId349" Type="http://schemas.openxmlformats.org/officeDocument/2006/relationships/hyperlink" Target="https://drive.google.com/open?id=1seLjUPU9fQbqVNqF2xIMzvTKoD8TD9az" TargetMode="External"/><Relationship Id="rId514" Type="http://schemas.openxmlformats.org/officeDocument/2006/relationships/hyperlink" Target="https://openstax.org/details/books/anatomy-and-physiology" TargetMode="External"/><Relationship Id="rId556" Type="http://schemas.openxmlformats.org/officeDocument/2006/relationships/hyperlink" Target="http://scholarcommons.usf.edu/cgi/viewcontent.cgi?article=1002&amp;context=oa_textbooks" TargetMode="External"/><Relationship Id="rId721" Type="http://schemas.openxmlformats.org/officeDocument/2006/relationships/hyperlink" Target="../../../../../../:b:/g/team_sites/galileo/ESn9pVaRbHhLnybFdUvHLaIBRhPD8dm1Adr7pr2j4D6aEw" TargetMode="External"/><Relationship Id="rId763" Type="http://schemas.openxmlformats.org/officeDocument/2006/relationships/hyperlink" Target="../../../../../../:b:/g/team_sites/galileo/EY9xMYZkYgJDpj3VNVx-4DMBEugBSrQQYdK02YuLsa5Fuw?e=55DNmm" TargetMode="External"/><Relationship Id="rId88" Type="http://schemas.openxmlformats.org/officeDocument/2006/relationships/hyperlink" Target="https://www.pearson.com/us/higher-education/program/Freeman-Biological-Science-Plus-Mastering-Biology-with-Pearson-e-Text-Access-Card-Package-6th-Edition/PGM260331.html?tab=order" TargetMode="External"/><Relationship Id="rId111" Type="http://schemas.openxmlformats.org/officeDocument/2006/relationships/hyperlink" Target="https://www.mheducation.com/highered/product/M1260397114.html" TargetMode="External"/><Relationship Id="rId153" Type="http://schemas.openxmlformats.org/officeDocument/2006/relationships/hyperlink" Target="http://oer.galileo.usg.edu/chemistry-collections/1/" TargetMode="External"/><Relationship Id="rId195" Type="http://schemas.openxmlformats.org/officeDocument/2006/relationships/hyperlink" Target="http://oer.galileo.usg.edu/psychology-collections/6/" TargetMode="External"/><Relationship Id="rId209" Type="http://schemas.openxmlformats.org/officeDocument/2006/relationships/hyperlink" Target="http://oer.galileo.usg.edu/mathematics-collections/11/" TargetMode="External"/><Relationship Id="rId360" Type="http://schemas.openxmlformats.org/officeDocument/2006/relationships/hyperlink" Target="https://affordablelearninggeorgia.org/documents/M39_GHC_Pergrem.pdf" TargetMode="External"/><Relationship Id="rId416" Type="http://schemas.openxmlformats.org/officeDocument/2006/relationships/hyperlink" Target="../../../../../../:b:/g/team_sites/galileo/EUSxkJ86j8ZIjjhfI4Bkvd4BFGwBnKHSLCNUv3c1WXsUOg?e=JWCyyo" TargetMode="External"/><Relationship Id="rId598" Type="http://schemas.openxmlformats.org/officeDocument/2006/relationships/hyperlink" Target="http://getlibraryhelp.highlands.edu/c.php?g=836658&amp;p=5975094" TargetMode="External"/><Relationship Id="rId819" Type="http://schemas.openxmlformats.org/officeDocument/2006/relationships/hyperlink" Target="../../Grants/R15-R17/R16/Reviews/Applications/M115.pdf" TargetMode="External"/><Relationship Id="rId220" Type="http://schemas.openxmlformats.org/officeDocument/2006/relationships/hyperlink" Target="http://oer.galileo.usg.edu/psychology-collections/18" TargetMode="External"/><Relationship Id="rId458" Type="http://schemas.openxmlformats.org/officeDocument/2006/relationships/hyperlink" Target="../../../../../../:b:/g/team_sites/galileo/EVykJqE4oFhGgKzmkchTjDwBsOiGDuThMem3b8PCDOApyA" TargetMode="External"/><Relationship Id="rId623" Type="http://schemas.openxmlformats.org/officeDocument/2006/relationships/hyperlink" Target="http://libguides.daltonstate.edu/PrinciplesofBiology/labmanual" TargetMode="External"/><Relationship Id="rId665" Type="http://schemas.openxmlformats.org/officeDocument/2006/relationships/hyperlink" Target="http://oer.galileo.usg.edu/arts-ancillary/3" TargetMode="External"/><Relationship Id="rId830" Type="http://schemas.openxmlformats.org/officeDocument/2006/relationships/hyperlink" Target="../../Grants/R15-R17/R16/Reviews/Applications/516.pdf" TargetMode="External"/><Relationship Id="rId15" Type="http://schemas.openxmlformats.org/officeDocument/2006/relationships/hyperlink" Target="https://www.mheducation.com/highered/product/psychology-perspectives-connections-feist-rosenberg/M0077861876.html" TargetMode="External"/><Relationship Id="rId57" Type="http://schemas.openxmlformats.org/officeDocument/2006/relationships/hyperlink" Target="https://www.cengage.com/c/a-concise-introduction-to-logic-13e-hurley/9781305958098" TargetMode="External"/><Relationship Id="rId262" Type="http://schemas.openxmlformats.org/officeDocument/2006/relationships/hyperlink" Target="https://oer.galileo.usg.edu/mathematics-collections/35/" TargetMode="External"/><Relationship Id="rId318" Type="http://schemas.openxmlformats.org/officeDocument/2006/relationships/hyperlink" Target="https://affordablelearninggeorgia.org/documents/M13_Huffman.pdf" TargetMode="External"/><Relationship Id="rId525" Type="http://schemas.openxmlformats.org/officeDocument/2006/relationships/hyperlink" Target="https://openstax.org/details/books/concepts-biology" TargetMode="External"/><Relationship Id="rId567" Type="http://schemas.openxmlformats.org/officeDocument/2006/relationships/hyperlink" Target="https://www.saylor.org/site/textbooks/Introduction%20to%20Psychology.pdf" TargetMode="External"/><Relationship Id="rId732" Type="http://schemas.openxmlformats.org/officeDocument/2006/relationships/hyperlink" Target="../../../../../../:b:/g/team_sites/galileo/EZKy0UGUlgdHvOyPMg37TUYBZFsntx0nWrpvGcq9lAVLaw" TargetMode="External"/><Relationship Id="rId99" Type="http://schemas.openxmlformats.org/officeDocument/2006/relationships/hyperlink" Target="https://www.macmillanlearning.com/Catalog/product/waysoftheworldabriefglobalhistoryvolumei-thirdedition-strayer/valueoptions" TargetMode="External"/><Relationship Id="rId122" Type="http://schemas.openxmlformats.org/officeDocument/2006/relationships/hyperlink" Target="https://www.affordablelearninggeorgia.org/documents/2014F_GSW_APPENDIXA_Proposal23.pdf" TargetMode="External"/><Relationship Id="rId164" Type="http://schemas.openxmlformats.org/officeDocument/2006/relationships/hyperlink" Target="http://oer.galileo.usg.edu/physics-collections/1/" TargetMode="External"/><Relationship Id="rId371" Type="http://schemas.openxmlformats.org/officeDocument/2006/relationships/hyperlink" Target="https://affordablelearninggeorgia.org/documents/M52_GHC_Christian.pdf" TargetMode="External"/><Relationship Id="rId774" Type="http://schemas.openxmlformats.org/officeDocument/2006/relationships/hyperlink" Target="../../../../../../:b:/g/team_sites/galileo/EZTy1slNXDJFtb3rzyeBcwkBlDTXoHXGdZWjYx6Uglm64g?e=ryiSTo" TargetMode="External"/><Relationship Id="rId427" Type="http://schemas.openxmlformats.org/officeDocument/2006/relationships/hyperlink" Target="../../../../../../:b:/g/team_sites/galileo/EZlbKIG1Z21EngVi1xSGIjsBr6fuSkUUbIov58Shv1mg_g?e=3UrOEx" TargetMode="External"/><Relationship Id="rId469" Type="http://schemas.openxmlformats.org/officeDocument/2006/relationships/hyperlink" Target="../../../../../../:b:/g/team_sites/galileo/EZvndPJfq35En6Wrq9UMEmEBEf9cDU_D0Jv9DAqaXEGOrQ" TargetMode="External"/><Relationship Id="rId634" Type="http://schemas.openxmlformats.org/officeDocument/2006/relationships/hyperlink" Target="http://oer.galileo.usg.edu/mathematics-ancillary/8/" TargetMode="External"/><Relationship Id="rId676" Type="http://schemas.openxmlformats.org/officeDocument/2006/relationships/hyperlink" Target="../../../../../../:b:/g/team_sites/galileo/EX68w682jiFNtjyDK0TNL3UBdXn0NRi00FmLusD97V0ONA" TargetMode="External"/><Relationship Id="rId841" Type="http://schemas.openxmlformats.org/officeDocument/2006/relationships/hyperlink" Target="https://www.affordablelearninggeorgia.org/documents/524_proposal.pdf" TargetMode="External"/><Relationship Id="rId26" Type="http://schemas.openxmlformats.org/officeDocument/2006/relationships/hyperlink" Target="https://macmillanlearning.com/Catalog/product/lifethescienceofbiology-eleventhedition-sadava/valueoptions" TargetMode="External"/><Relationship Id="rId231" Type="http://schemas.openxmlformats.org/officeDocument/2006/relationships/hyperlink" Target="https://oer.galileo.usg.edu/polisci-collections/3" TargetMode="External"/><Relationship Id="rId273" Type="http://schemas.openxmlformats.org/officeDocument/2006/relationships/hyperlink" Target="https://oer.galileo.usg.edu/psychology-collections/21" TargetMode="External"/><Relationship Id="rId329" Type="http://schemas.openxmlformats.org/officeDocument/2006/relationships/hyperlink" Target="https://affordablelearninggeorgia.org/documents/M25_Moser.pdf" TargetMode="External"/><Relationship Id="rId480" Type="http://schemas.openxmlformats.org/officeDocument/2006/relationships/hyperlink" Target="https://openstax.org/details/books/introduction-sociology-2e" TargetMode="External"/><Relationship Id="rId536" Type="http://schemas.openxmlformats.org/officeDocument/2006/relationships/hyperlink" Target="http://www.americanyawp.com/" TargetMode="External"/><Relationship Id="rId701" Type="http://schemas.openxmlformats.org/officeDocument/2006/relationships/hyperlink" Target="../../../../../../:b:/g/team_sites/galileo/EZQj_HeXbZxChLd2c-adcT0Bi42_GH_EnuSvCuUmO2rBFQ" TargetMode="External"/><Relationship Id="rId68" Type="http://schemas.openxmlformats.org/officeDocument/2006/relationships/hyperlink" Target="https://he.kendallhunt.com/product/musical-experience-1" TargetMode="External"/><Relationship Id="rId133" Type="http://schemas.openxmlformats.org/officeDocument/2006/relationships/hyperlink" Target="https://www.affordablelearninggeorgia.org/documents/2014F_GAHighlands_APPENDIXA_Proposal39.pdf" TargetMode="External"/><Relationship Id="rId175" Type="http://schemas.openxmlformats.org/officeDocument/2006/relationships/hyperlink" Target="http://oer.galileo.usg.edu/compsci-collections/2/" TargetMode="External"/><Relationship Id="rId340" Type="http://schemas.openxmlformats.org/officeDocument/2006/relationships/hyperlink" Target="https://drive.google.com/open?id=11Vda8xpH7W9UgA5uDq8CKZ83UMKvy6H6" TargetMode="External"/><Relationship Id="rId578" Type="http://schemas.openxmlformats.org/officeDocument/2006/relationships/hyperlink" Target="http://distanceed.hss.kennesaw.edu/elearning/open_comp/" TargetMode="External"/><Relationship Id="rId743" Type="http://schemas.openxmlformats.org/officeDocument/2006/relationships/hyperlink" Target="../../../../../../:b:/g/team_sites/galileo/ERHN4Vqdes1GokDCG9FwQZoBkZhXlVELpjP6uqhQ2WhHBA?e=HKmMys" TargetMode="External"/><Relationship Id="rId785" Type="http://schemas.openxmlformats.org/officeDocument/2006/relationships/hyperlink" Target="mailto:samuel.mutiti@gcsu.edu" TargetMode="External"/><Relationship Id="rId200" Type="http://schemas.openxmlformats.org/officeDocument/2006/relationships/hyperlink" Target="http://oer.galileo.usg.edu/psychology-collections/13/" TargetMode="External"/><Relationship Id="rId382" Type="http://schemas.openxmlformats.org/officeDocument/2006/relationships/hyperlink" Target="https://drive.google.com/open?id=1ZOjMwsW9U1ngyNJNV23na1PXSgZmGkU4" TargetMode="External"/><Relationship Id="rId438" Type="http://schemas.openxmlformats.org/officeDocument/2006/relationships/hyperlink" Target="../../../../../../:b:/g/team_sites/galileo/EWlMNyP41u5KtlNydYGTkagBQ8tdMgac6gWua_Mo1imMMQ?e=FhzoJr" TargetMode="External"/><Relationship Id="rId603" Type="http://schemas.openxmlformats.org/officeDocument/2006/relationships/hyperlink" Target="http://columbusstate.libguides.com/openworldlit" TargetMode="External"/><Relationship Id="rId645" Type="http://schemas.openxmlformats.org/officeDocument/2006/relationships/hyperlink" Target="http://oer.galileo.usg.edu/arts-ancillary/2" TargetMode="External"/><Relationship Id="rId687" Type="http://schemas.openxmlformats.org/officeDocument/2006/relationships/hyperlink" Target="../../../../../../:b:/g/team_sites/galileo/EXAGJwj9tpRLo0NIdbcRo7YB9k_8eVPS28W9kFAImc9OgQ" TargetMode="External"/><Relationship Id="rId810" Type="http://schemas.openxmlformats.org/officeDocument/2006/relationships/hyperlink" Target="../../Grants/R15-R17/R15/Proposals/Mini-Grant/M103_Pace.pdf" TargetMode="External"/><Relationship Id="rId852" Type="http://schemas.openxmlformats.org/officeDocument/2006/relationships/hyperlink" Target="https://www.affordablelearninggeorgia.org/documents/546_proposal.pdf" TargetMode="External"/><Relationship Id="rId242" Type="http://schemas.openxmlformats.org/officeDocument/2006/relationships/hyperlink" Target="https://oer.galileo.usg.edu/health-collections/5" TargetMode="External"/><Relationship Id="rId284" Type="http://schemas.openxmlformats.org/officeDocument/2006/relationships/hyperlink" Target="https://affordablelearninggeorgia.org/documents/334_Han.pdf" TargetMode="External"/><Relationship Id="rId491" Type="http://schemas.openxmlformats.org/officeDocument/2006/relationships/hyperlink" Target="https://openstax.org/details/books/psychology" TargetMode="External"/><Relationship Id="rId505" Type="http://schemas.openxmlformats.org/officeDocument/2006/relationships/hyperlink" Target="https://openstax.org/details/books/biology-2e" TargetMode="External"/><Relationship Id="rId712" Type="http://schemas.openxmlformats.org/officeDocument/2006/relationships/hyperlink" Target="../../../../../../:b:/g/team_sites/galileo/EZBxtltS2KRArIATV6Wks10BqGKSzZzNsTJ8kURojf30Tw" TargetMode="External"/><Relationship Id="rId37" Type="http://schemas.openxmlformats.org/officeDocument/2006/relationships/hyperlink" Target="http://www.mypearsonstore.com/bookstore/chemistry-plus-mastering-chemistry-with-etext-access-9780321940872" TargetMode="External"/><Relationship Id="rId79" Type="http://schemas.openxmlformats.org/officeDocument/2006/relationships/hyperlink" Target="https://macmillanlearning.com/Catalog/product/lehningerprinciplesofbiochemistry-seventhedition-nelson/valueoptions" TargetMode="External"/><Relationship Id="rId102" Type="http://schemas.openxmlformats.org/officeDocument/2006/relationships/hyperlink" Target="https://www.pearson.com/us/higher-education/program/Ciccarelli-Psychology-Plus-My-Lab-Psychology-Access-Card-Package-5th-Edition/PGM333811.html?tab=order" TargetMode="External"/><Relationship Id="rId144" Type="http://schemas.openxmlformats.org/officeDocument/2006/relationships/hyperlink" Target="http://www.affordablelearninggeorgia.org/documents/2015S_Proposal_92.pdf" TargetMode="External"/><Relationship Id="rId547" Type="http://schemas.openxmlformats.org/officeDocument/2006/relationships/hyperlink" Target="http://www.opentextbookstore.com/mathinsociety/" TargetMode="External"/><Relationship Id="rId589" Type="http://schemas.openxmlformats.org/officeDocument/2006/relationships/hyperlink" Target="http://wiki.ggc.edu/wiki/ALG:ITEC2110:Revised" TargetMode="External"/><Relationship Id="rId754" Type="http://schemas.openxmlformats.org/officeDocument/2006/relationships/hyperlink" Target="../../../../../../:b:/g/team_sites/galileo/EbIORBmqfo9Nibtc7OjhWz8Bzk3y5c65YWAVdNfYITtsVw?e=tpSXx3" TargetMode="External"/><Relationship Id="rId796" Type="http://schemas.openxmlformats.org/officeDocument/2006/relationships/hyperlink" Target="../../Grants/R15-R17/R15/Proposals/Textbook%20Transformation%20Grant/490_Farmer.pdf" TargetMode="External"/><Relationship Id="rId90" Type="http://schemas.openxmlformats.org/officeDocument/2006/relationships/hyperlink" Target="https://www.cengage.com/c/calculus-early-transcendentals-8e-stewart" TargetMode="External"/><Relationship Id="rId186" Type="http://schemas.openxmlformats.org/officeDocument/2006/relationships/hyperlink" Target="http://oer.galileo.usg.edu/languages-collections/1/" TargetMode="External"/><Relationship Id="rId351" Type="http://schemas.openxmlformats.org/officeDocument/2006/relationships/hyperlink" Target="https://drive.google.com/open?id=1T-XIBMKej-ZyylQEjChT5ynKA-gGHSpJ" TargetMode="External"/><Relationship Id="rId393" Type="http://schemas.openxmlformats.org/officeDocument/2006/relationships/hyperlink" Target="https://drive.google.com/open?id=1VTXkMRph9acA5fuZNLaI0Xr7ifR4yQTN" TargetMode="External"/><Relationship Id="rId407" Type="http://schemas.openxmlformats.org/officeDocument/2006/relationships/hyperlink" Target="https://drive.google.com/open?id=1tTRmYqUu9sq9UDZ1jF-ZWEPb1VLHILz8" TargetMode="External"/><Relationship Id="rId449" Type="http://schemas.openxmlformats.org/officeDocument/2006/relationships/hyperlink" Target="../../../../../../:b:/g/team_sites/galileo/EVRYcnSYSs1NhFynGH68CicBo65PeoaR0Jt4ZYpZL5DGcw" TargetMode="External"/><Relationship Id="rId614" Type="http://schemas.openxmlformats.org/officeDocument/2006/relationships/hyperlink" Target="http://amgov.cnlawrence.com/" TargetMode="External"/><Relationship Id="rId656" Type="http://schemas.openxmlformats.org/officeDocument/2006/relationships/hyperlink" Target="http://oer.galileo.usg.edu/biology-ancillary/5" TargetMode="External"/><Relationship Id="rId821" Type="http://schemas.openxmlformats.org/officeDocument/2006/relationships/hyperlink" Target="../../Grants/R15-R17/R16/Reviews/Applications/M111.pdf" TargetMode="External"/><Relationship Id="rId863" Type="http://schemas.openxmlformats.org/officeDocument/2006/relationships/vmlDrawing" Target="../drawings/vmlDrawing1.vml"/><Relationship Id="rId211" Type="http://schemas.openxmlformats.org/officeDocument/2006/relationships/hyperlink" Target="http://oer.galileo.usg.edu/arts-collections/3/" TargetMode="External"/><Relationship Id="rId253" Type="http://schemas.openxmlformats.org/officeDocument/2006/relationships/hyperlink" Target="https://oer.galileo.usg.edu/psychology-collections/20" TargetMode="External"/><Relationship Id="rId295" Type="http://schemas.openxmlformats.org/officeDocument/2006/relationships/hyperlink" Target="https://affordablelearninggeorgia.org/documents/M01_Hastings.pdf" TargetMode="External"/><Relationship Id="rId309" Type="http://schemas.openxmlformats.org/officeDocument/2006/relationships/hyperlink" Target="https://affordablelearninggeorgia.org/documents/357_McKinney.pdf" TargetMode="External"/><Relationship Id="rId460" Type="http://schemas.openxmlformats.org/officeDocument/2006/relationships/hyperlink" Target="../../../../../../:b:/g/team_sites/galileo/Eat69w0JVwFCtEIWuSTFNPUB958k8SMAEFcdD5DCZPTp_w" TargetMode="External"/><Relationship Id="rId516" Type="http://schemas.openxmlformats.org/officeDocument/2006/relationships/hyperlink" Target="https://openstax.org/details/books/anatomy-and-physiology" TargetMode="External"/><Relationship Id="rId698" Type="http://schemas.openxmlformats.org/officeDocument/2006/relationships/hyperlink" Target="../../../../../../:b:/g/team_sites/galileo/EWL4xwAIPe5BnZLoeGC3cTcBgmA2dHodVOji0lA15jzaqQ" TargetMode="External"/><Relationship Id="rId48" Type="http://schemas.openxmlformats.org/officeDocument/2006/relationships/hyperlink" Target="https://www.abebooks.com/9781905819003/Distilling-Knowledge-Professional-Guide-Spirits-1905819005/plp" TargetMode="External"/><Relationship Id="rId113" Type="http://schemas.openxmlformats.org/officeDocument/2006/relationships/hyperlink" Target="https://www.cengage.com/c/i-never-knew-i-had-a-choice-explorations-in-personal-growth-11e-corey/9781305945722" TargetMode="External"/><Relationship Id="rId320" Type="http://schemas.openxmlformats.org/officeDocument/2006/relationships/hyperlink" Target="https://affordablelearninggeorgia.org/documents/M15_Christian.pdf" TargetMode="External"/><Relationship Id="rId558" Type="http://schemas.openxmlformats.org/officeDocument/2006/relationships/hyperlink" Target="https://2012books.lardbucket.org/books/getting-the-most-out-of-information-systems-v2.0/index.html" TargetMode="External"/><Relationship Id="rId723" Type="http://schemas.openxmlformats.org/officeDocument/2006/relationships/hyperlink" Target="../../../../../../:b:/g/team_sites/galileo/EejJ69PBM-lMtY84X-r5mf4BoXFZ6SYlyGntvF72EdycOQ" TargetMode="External"/><Relationship Id="rId765" Type="http://schemas.openxmlformats.org/officeDocument/2006/relationships/hyperlink" Target="../../../../../../:b:/g/team_sites/galileo/EU-b-bNVbRxNkSKhJXkfog0Bf6RuLZ6c9aXjsA0ekk99Ww?e=mdCtbS" TargetMode="External"/><Relationship Id="rId155" Type="http://schemas.openxmlformats.org/officeDocument/2006/relationships/hyperlink" Target="http://oer.galileo.usg.edu/education-collections/2/" TargetMode="External"/><Relationship Id="rId197" Type="http://schemas.openxmlformats.org/officeDocument/2006/relationships/hyperlink" Target="http://oer.galileo.usg.edu/biology-collections/9/" TargetMode="External"/><Relationship Id="rId362" Type="http://schemas.openxmlformats.org/officeDocument/2006/relationships/hyperlink" Target="https://affordablelearninggeorgia.org/documents/M41_VSU_Bulut.pdf" TargetMode="External"/><Relationship Id="rId418" Type="http://schemas.openxmlformats.org/officeDocument/2006/relationships/hyperlink" Target="../../../../../../:b:/g/team_sites/galileo/EasYwt9JgzxHkcllK1VXINkBhmjID6TY3MmD-VLlpEVPDQ?e=5eRlzd" TargetMode="External"/><Relationship Id="rId625" Type="http://schemas.openxmlformats.org/officeDocument/2006/relationships/hyperlink" Target="http://libguides.gcsu.edu/ensc1000/course-overview" TargetMode="External"/><Relationship Id="rId832" Type="http://schemas.openxmlformats.org/officeDocument/2006/relationships/hyperlink" Target="../../Grants/R15-R17/R16/Reviews/Applications/518.pdf" TargetMode="External"/><Relationship Id="rId222" Type="http://schemas.openxmlformats.org/officeDocument/2006/relationships/hyperlink" Target="https://affordablelearninggeorgia.org/documents/231.c_choi_.docx" TargetMode="External"/><Relationship Id="rId264" Type="http://schemas.openxmlformats.org/officeDocument/2006/relationships/hyperlink" Target="https://oer.galileo.usg.edu/criminal-collections/3" TargetMode="External"/><Relationship Id="rId471" Type="http://schemas.openxmlformats.org/officeDocument/2006/relationships/hyperlink" Target="../../../../../../:b:/g/team_sites/galileo/EWnSDn5oO95JqPCbyQUnt3YB3pSSzLN4nZiyxhsbso0mMg" TargetMode="External"/><Relationship Id="rId667" Type="http://schemas.openxmlformats.org/officeDocument/2006/relationships/hyperlink" Target="http://oer.galileo.usg.edu/chemistry-ancillary/7" TargetMode="External"/><Relationship Id="rId17" Type="http://schemas.openxmlformats.org/officeDocument/2006/relationships/hyperlink" Target="https://www.macmillanlearning.com/Catalog/product/technicalcommunicationwith2016mlaupdate-eleventhedition-markel/valueoptions" TargetMode="External"/><Relationship Id="rId59" Type="http://schemas.openxmlformats.org/officeDocument/2006/relationships/hyperlink" Target="https://www.pearson.com/us/higher-education/program/Woolfolk-Educational-Psychology-plus-My-Lab-Education-with-Pearson-e-Text-Access-Card-Package-14th-Edition/PGM334949.html" TargetMode="External"/><Relationship Id="rId124" Type="http://schemas.openxmlformats.org/officeDocument/2006/relationships/hyperlink" Target="https://www.affordablelearninggeorgia.org/documents/2014F_GATech_APPENDIXA_Proposal27.pdf" TargetMode="External"/><Relationship Id="rId527" Type="http://schemas.openxmlformats.org/officeDocument/2006/relationships/hyperlink" Target="https://openstax.org/details/books/introductory-statistics" TargetMode="External"/><Relationship Id="rId569" Type="http://schemas.openxmlformats.org/officeDocument/2006/relationships/hyperlink" Target="http://www.whitman.edu/mathematics/calculus_late_online/" TargetMode="External"/><Relationship Id="rId734" Type="http://schemas.openxmlformats.org/officeDocument/2006/relationships/hyperlink" Target="../../../../../../:b:/g/team_sites/galileo/ETKkCqwTpgNMhD39olKw7-UBsKvdqQ5t-8zKCHTf1oO6YA" TargetMode="External"/><Relationship Id="rId776" Type="http://schemas.openxmlformats.org/officeDocument/2006/relationships/hyperlink" Target="../../../../../../:b:/g/team_sites/galileo/Edd9Dh8gXmtCh-1bDyuAMaEBFGRFz8B9Ij57Dj6_29gPiw?e=3WplgN" TargetMode="External"/><Relationship Id="rId70" Type="http://schemas.openxmlformats.org/officeDocument/2006/relationships/hyperlink" Target="https://www.pearson.com/us/higher-education/product/Triola-Essentials-of-Statistics-5th-Edition/9780321924599.html?tab=order" TargetMode="External"/><Relationship Id="rId166" Type="http://schemas.openxmlformats.org/officeDocument/2006/relationships/hyperlink" Target="http://oer.galileo.usg.edu/business-collections/4/" TargetMode="External"/><Relationship Id="rId331" Type="http://schemas.openxmlformats.org/officeDocument/2006/relationships/hyperlink" Target="https://affordablelearninggeorgia.org/documents/M27_Pitts.pdf" TargetMode="External"/><Relationship Id="rId373" Type="http://schemas.openxmlformats.org/officeDocument/2006/relationships/hyperlink" Target="https://affordablelearninggeorgia.org/documents/M54_KSU_Shahriar.pdf" TargetMode="External"/><Relationship Id="rId429" Type="http://schemas.openxmlformats.org/officeDocument/2006/relationships/hyperlink" Target="../../../../../../:b:/g/team_sites/galileo/ES0LgVl2qnhEt9nNi-yRHQgB-TZL8ZnhK2NZ5B5NRgYmSQ?e=AxbBv2" TargetMode="External"/><Relationship Id="rId580" Type="http://schemas.openxmlformats.org/officeDocument/2006/relationships/hyperlink" Target="https://openstax.org/details/books/microbiology" TargetMode="External"/><Relationship Id="rId636" Type="http://schemas.openxmlformats.org/officeDocument/2006/relationships/hyperlink" Target="https://oer.galileo.usg.edu/do/search/?q=krivosheev&amp;start=0&amp;context=8373871&amp;facet=" TargetMode="External"/><Relationship Id="rId801" Type="http://schemas.openxmlformats.org/officeDocument/2006/relationships/hyperlink" Target="../../Grants/R15-R17/R15/Proposals/Textbook%20Transformation%20Grant/499_Dolo.pdf" TargetMode="External"/><Relationship Id="rId1" Type="http://schemas.openxmlformats.org/officeDocument/2006/relationships/hyperlink" Target="https://docs.google.com/spreadsheets/d/1lfdcEVwbQKzZ-4uMtyqLyrYlkXlPd7iHQpjQ132c0OU/edit?usp=sharing" TargetMode="External"/><Relationship Id="rId233" Type="http://schemas.openxmlformats.org/officeDocument/2006/relationships/hyperlink" Target="https://oer.galileo.usg.edu/psychology-collections/19/" TargetMode="External"/><Relationship Id="rId440" Type="http://schemas.openxmlformats.org/officeDocument/2006/relationships/hyperlink" Target="../../../../../../:b:/g/team_sites/galileo/EWis1kp9mWZJprK46Ot6KD8BqOne4oGBZqXNyOgTE7jUoQ?e=yKh5gP" TargetMode="External"/><Relationship Id="rId678" Type="http://schemas.openxmlformats.org/officeDocument/2006/relationships/hyperlink" Target="../../../../../../:b:/g/team_sites/galileo/ESRMsRBhQSdNtir1szVCjEYBvdmnrjijT3XlB68drqO7Mg" TargetMode="External"/><Relationship Id="rId843" Type="http://schemas.openxmlformats.org/officeDocument/2006/relationships/hyperlink" Target="https://www.affordablelearninggeorgia.org/documents/526_proposal.pdf" TargetMode="External"/><Relationship Id="rId28" Type="http://schemas.openxmlformats.org/officeDocument/2006/relationships/hyperlink" Target="http://www.mypearsonstore.com/bookstore/college-algebra-and-trigonometry-plus-mymathlab-with-9780134306971" TargetMode="External"/><Relationship Id="rId275" Type="http://schemas.openxmlformats.org/officeDocument/2006/relationships/hyperlink" Target="https://oer.galileo.usg.edu/psychology-collections/24/" TargetMode="External"/><Relationship Id="rId300" Type="http://schemas.openxmlformats.org/officeDocument/2006/relationships/hyperlink" Target="https://affordablelearninggeorgia.org/documents/M10_Zheng.pdf" TargetMode="External"/><Relationship Id="rId482" Type="http://schemas.openxmlformats.org/officeDocument/2006/relationships/hyperlink" Target="https://openstax.org/details/books/algebra-and-trigonometry" TargetMode="External"/><Relationship Id="rId538" Type="http://schemas.openxmlformats.org/officeDocument/2006/relationships/hyperlink" Target="https://oer.galileo.usg.edu/history-textbooks/2/" TargetMode="External"/><Relationship Id="rId703" Type="http://schemas.openxmlformats.org/officeDocument/2006/relationships/hyperlink" Target="../../../../../../:b:/g/team_sites/galileo/EeP2dwUg6fFNh8O6OENmTr8Bg5pD8jrYIxDdtWzIEpxDVg" TargetMode="External"/><Relationship Id="rId745" Type="http://schemas.openxmlformats.org/officeDocument/2006/relationships/hyperlink" Target="../../../../../../:b:/g/team_sites/galileo/EcpSbYL0hbFBnRDjjzSxkdUBQ382LVlzHTwMcY_hsiP7iQ?e=Xbb2ft" TargetMode="External"/><Relationship Id="rId81" Type="http://schemas.openxmlformats.org/officeDocument/2006/relationships/hyperlink" Target="https://www.pearson.com/us/higher-education/product/Beecher-Algebra-and-Trigonometry-5th-Edition/9780321969569.html?tab=order" TargetMode="External"/><Relationship Id="rId135" Type="http://schemas.openxmlformats.org/officeDocument/2006/relationships/hyperlink" Target="https://www.affordablelearninggeorgia.org/documents/2014F_SPSU_APPENDIXA_Proposal42.pdf" TargetMode="External"/><Relationship Id="rId177" Type="http://schemas.openxmlformats.org/officeDocument/2006/relationships/hyperlink" Target="http://oer.galileo.usg.edu/history-collections/1/" TargetMode="External"/><Relationship Id="rId342" Type="http://schemas.openxmlformats.org/officeDocument/2006/relationships/hyperlink" Target="https://drive.google.com/open?id=1cDeHRoL36-jLBajZWGQW9DDaoLoP52DG" TargetMode="External"/><Relationship Id="rId384" Type="http://schemas.openxmlformats.org/officeDocument/2006/relationships/hyperlink" Target="https://drive.google.com/open?id=1FC7FUXiyRT9MYzHqh-EFJfe5xQNUMDuw" TargetMode="External"/><Relationship Id="rId591" Type="http://schemas.openxmlformats.org/officeDocument/2006/relationships/hyperlink" Target="https://oer.galileo.usg.edu/compsci-ancillary/6/" TargetMode="External"/><Relationship Id="rId605" Type="http://schemas.openxmlformats.org/officeDocument/2006/relationships/hyperlink" Target="http://nobaproject.com/textbooks/tori-kearns-new-textbook" TargetMode="External"/><Relationship Id="rId787" Type="http://schemas.openxmlformats.org/officeDocument/2006/relationships/hyperlink" Target="mailto:lli@georgiasouthern.edu" TargetMode="External"/><Relationship Id="rId812" Type="http://schemas.openxmlformats.org/officeDocument/2006/relationships/hyperlink" Target="../../Grants/R15-R17/R15/Proposals/Mini-Grant/M106_Lindley.pdf" TargetMode="External"/><Relationship Id="rId202" Type="http://schemas.openxmlformats.org/officeDocument/2006/relationships/hyperlink" Target="http://oer.galileo.usg.edu/physics-collections/3/" TargetMode="External"/><Relationship Id="rId244" Type="http://schemas.openxmlformats.org/officeDocument/2006/relationships/hyperlink" Target="https://oer.galileo.usg.edu/geo-collections/2" TargetMode="External"/><Relationship Id="rId647" Type="http://schemas.openxmlformats.org/officeDocument/2006/relationships/hyperlink" Target="http://oer.galileo.usg.edu/physics-ancillary/5" TargetMode="External"/><Relationship Id="rId689" Type="http://schemas.openxmlformats.org/officeDocument/2006/relationships/hyperlink" Target="../../../../../../:b:/g/team_sites/galileo/ES1WmIlHnnBPoq2k9Kr56UUB7U9GQDUlKQkSpLlwyb2imw" TargetMode="External"/><Relationship Id="rId854" Type="http://schemas.openxmlformats.org/officeDocument/2006/relationships/hyperlink" Target="https://www.affordablelearninggeorgia.org/documents/M123_proposal.pdf" TargetMode="External"/><Relationship Id="rId39" Type="http://schemas.openxmlformats.org/officeDocument/2006/relationships/hyperlink" Target="https://www.cengage.com/c/the-legal-environment-today-8e-miller/9781305075450" TargetMode="External"/><Relationship Id="rId286" Type="http://schemas.openxmlformats.org/officeDocument/2006/relationships/hyperlink" Target="https://affordablelearninggeorgia.org/documents/336_Baird.pdf" TargetMode="External"/><Relationship Id="rId451" Type="http://schemas.openxmlformats.org/officeDocument/2006/relationships/hyperlink" Target="../../../../../../:b:/g/team_sites/galileo/ERQ8ImjIfytGton5raSfykoBs9Cl9VPxfU4KGWqftnmuYQ" TargetMode="External"/><Relationship Id="rId493" Type="http://schemas.openxmlformats.org/officeDocument/2006/relationships/hyperlink" Target="https://openstax.org/details/books/psychology" TargetMode="External"/><Relationship Id="rId507" Type="http://schemas.openxmlformats.org/officeDocument/2006/relationships/hyperlink" Target="https://openstax.org/details/books/biology-2e" TargetMode="External"/><Relationship Id="rId549" Type="http://schemas.openxmlformats.org/officeDocument/2006/relationships/hyperlink" Target="http://biochem.science.oregonstate.edu/files/biochem/ahern/Biochemistry%20Free%20for%20All%20Final.compressed.pdf" TargetMode="External"/><Relationship Id="rId714" Type="http://schemas.openxmlformats.org/officeDocument/2006/relationships/hyperlink" Target="../../../../../../:b:/g/team_sites/galileo/Eb9D3NhDaXBOtGTMcgd40iMB4BHMFo8mDiCniVrxJHIOjw" TargetMode="External"/><Relationship Id="rId756" Type="http://schemas.openxmlformats.org/officeDocument/2006/relationships/hyperlink" Target="../../../../../../:b:/g/team_sites/galileo/EQDNOGK3h0tCuIyyiVb_XQoB8XwdchSuiSOgyZwcU8N78A?e=zTtvzr" TargetMode="External"/><Relationship Id="rId50" Type="http://schemas.openxmlformats.org/officeDocument/2006/relationships/hyperlink" Target="http://www.mypearsonstore.com/bookstore/longman-anthology-of-world-literature-volume-i-abc-9780205625932" TargetMode="External"/><Relationship Id="rId104" Type="http://schemas.openxmlformats.org/officeDocument/2006/relationships/hyperlink" Target="http://books.wwnorton.com/books/webad-detail-editions.aspx?id=4294993018" TargetMode="External"/><Relationship Id="rId146" Type="http://schemas.openxmlformats.org/officeDocument/2006/relationships/hyperlink" Target="http://www.affordablelearninggeorgia.org/documents/2015S_Proposal_108.pdf" TargetMode="External"/><Relationship Id="rId188" Type="http://schemas.openxmlformats.org/officeDocument/2006/relationships/hyperlink" Target="http://oer.galileo.usg.edu/criminal-collections/1/" TargetMode="External"/><Relationship Id="rId311" Type="http://schemas.openxmlformats.org/officeDocument/2006/relationships/hyperlink" Target="https://affordablelearninggeorgia.org/documents/360_Bryan.pdf" TargetMode="External"/><Relationship Id="rId353" Type="http://schemas.openxmlformats.org/officeDocument/2006/relationships/hyperlink" Target="https://drive.google.com/open?id=18gp76P64ZVOch_vXW2kGS2jLs6rKISlP" TargetMode="External"/><Relationship Id="rId395" Type="http://schemas.openxmlformats.org/officeDocument/2006/relationships/hyperlink" Target="https://drive.google.com/open?id=11v5FIcKl4w4byJPpjwsZXndujMZ_HE45" TargetMode="External"/><Relationship Id="rId409" Type="http://schemas.openxmlformats.org/officeDocument/2006/relationships/hyperlink" Target="../../../../../../:b:/g/team_sites/galileo/EWKGEmHrAeBMtP5xN9XTsD0BE6UTTKA5VfPK0ohwtKZPtA?e=VeKSlt" TargetMode="External"/><Relationship Id="rId560" Type="http://schemas.openxmlformats.org/officeDocument/2006/relationships/hyperlink" Target="https://chem.libretexts.org/" TargetMode="External"/><Relationship Id="rId798" Type="http://schemas.openxmlformats.org/officeDocument/2006/relationships/hyperlink" Target="../../Grants/R15-R17/R15/Proposals/Textbook%20Transformation%20Grant/494_Chakraborty.pdf" TargetMode="External"/><Relationship Id="rId92" Type="http://schemas.openxmlformats.org/officeDocument/2006/relationships/hyperlink" Target="https://www.wiley.com/en-us/Fundamentals+of+Physics+Extended%2C+10th+Edition-p-9781118230725" TargetMode="External"/><Relationship Id="rId213" Type="http://schemas.openxmlformats.org/officeDocument/2006/relationships/hyperlink" Target="http://oer.galileo.usg.edu/health-collections/4/" TargetMode="External"/><Relationship Id="rId420" Type="http://schemas.openxmlformats.org/officeDocument/2006/relationships/hyperlink" Target="../../../../../../:b:/g/team_sites/galileo/EbslZMvCGclGvDE4w0N50QYBtyJ95RWBRkoAMomMrA9IUw?e=dLPLPj" TargetMode="External"/><Relationship Id="rId616" Type="http://schemas.openxmlformats.org/officeDocument/2006/relationships/hyperlink" Target="http://facultyweb.kennesaw.edu/lritter/RitterDengALG_CalculusII_Portal.php" TargetMode="External"/><Relationship Id="rId658" Type="http://schemas.openxmlformats.org/officeDocument/2006/relationships/hyperlink" Target="http://oer.galileo.usg.edu/biology-ancillary/8" TargetMode="External"/><Relationship Id="rId823" Type="http://schemas.openxmlformats.org/officeDocument/2006/relationships/hyperlink" Target="../../Grants/R15-R17/R16/Reviews/Applications/M109.pdf" TargetMode="External"/><Relationship Id="rId865" Type="http://schemas.openxmlformats.org/officeDocument/2006/relationships/comments" Target="../comments1.xml"/><Relationship Id="rId255" Type="http://schemas.openxmlformats.org/officeDocument/2006/relationships/hyperlink" Target="https://oer.galileo.usg.edu/arts-collections/5" TargetMode="External"/><Relationship Id="rId297" Type="http://schemas.openxmlformats.org/officeDocument/2006/relationships/hyperlink" Target="https://affordablelearninggeorgia.org/documents/M04_Sega.pdf" TargetMode="External"/><Relationship Id="rId462" Type="http://schemas.openxmlformats.org/officeDocument/2006/relationships/hyperlink" Target="../../../../../../:b:/g/team_sites/galileo/EYr_8sMIP21Ih4qrPU2PGe8BaoWfh4O3Fi-Q_LCp3fxwCA" TargetMode="External"/><Relationship Id="rId518" Type="http://schemas.openxmlformats.org/officeDocument/2006/relationships/hyperlink" Target="https://openstax.org/details/books/anatomy-and-physiology" TargetMode="External"/><Relationship Id="rId725" Type="http://schemas.openxmlformats.org/officeDocument/2006/relationships/hyperlink" Target="../../../../../../:b:/g/team_sites/galileo/EaMckS3RyUZFmOaiBLIfM8IBEi7jctf0hASrrSYa-OVf5A?e=VrHaJe" TargetMode="External"/><Relationship Id="rId115" Type="http://schemas.openxmlformats.org/officeDocument/2006/relationships/hyperlink" Target="https://www.affordablelearninggeorgia.org/documents/2014F_SPSU_APPENDIXA_Proposal07.pdf" TargetMode="External"/><Relationship Id="rId157" Type="http://schemas.openxmlformats.org/officeDocument/2006/relationships/hyperlink" Target="http://oer.galileo.usg.edu/psychology-collections/4/" TargetMode="External"/><Relationship Id="rId322" Type="http://schemas.openxmlformats.org/officeDocument/2006/relationships/hyperlink" Target="https://affordablelearninggeorgia.org/documents/M17_Zhou.pdf" TargetMode="External"/><Relationship Id="rId364" Type="http://schemas.openxmlformats.org/officeDocument/2006/relationships/hyperlink" Target="https://affordablelearninggeorgia.org/documents/M44_GHC_Feagin.pdf" TargetMode="External"/><Relationship Id="rId767" Type="http://schemas.openxmlformats.org/officeDocument/2006/relationships/hyperlink" Target="../../../../../../:b:/g/team_sites/galileo/ERMxFIEvxBxNqeqojXWCk0MBzzxpB-qiuQYSXxixqtGqZA?e=Zu1XhL" TargetMode="External"/><Relationship Id="rId61" Type="http://schemas.openxmlformats.org/officeDocument/2006/relationships/hyperlink" Target="https://www.mheducation.com/highered/product/1259913791.html" TargetMode="External"/><Relationship Id="rId199" Type="http://schemas.openxmlformats.org/officeDocument/2006/relationships/hyperlink" Target="http://oer.galileo.usg.edu/psychology-collections/8/" TargetMode="External"/><Relationship Id="rId571" Type="http://schemas.openxmlformats.org/officeDocument/2006/relationships/hyperlink" Target="https://oer.galileo.usg.edu/psychology-textbooks/11/" TargetMode="External"/><Relationship Id="rId627" Type="http://schemas.openxmlformats.org/officeDocument/2006/relationships/hyperlink" Target="https://affordablelearninggeorgia.org/documents/Successful_College_Composition_2016.pdf" TargetMode="External"/><Relationship Id="rId669" Type="http://schemas.openxmlformats.org/officeDocument/2006/relationships/hyperlink" Target="https://cnx.org/contents/ab184547-4169-4b19-adff-cf30dace1252:dba07085-472d-41f7-a1d1-0b24c20b309d/CSC1010-Introduction" TargetMode="External"/><Relationship Id="rId834" Type="http://schemas.openxmlformats.org/officeDocument/2006/relationships/hyperlink" Target="../../Grants/R15-R17/R16/Reviews/Applications/520.pdf" TargetMode="External"/><Relationship Id="rId19" Type="http://schemas.openxmlformats.org/officeDocument/2006/relationships/hyperlink" Target="https://www.pearson.com/us/higher-education/program/Laudon-Management-Information-Systems-Managing-the-Digital-Firm-Plus-My-Lab-MIS-with-Pearson-e-Text-Access-Card-Package-15th-Edition/PGM1247269.html?tab=order" TargetMode="External"/><Relationship Id="rId224" Type="http://schemas.openxmlformats.org/officeDocument/2006/relationships/hyperlink" Target="https://affordablelearninggeorgia.org/documents/231.e_atkinson_.docx" TargetMode="External"/><Relationship Id="rId266" Type="http://schemas.openxmlformats.org/officeDocument/2006/relationships/hyperlink" Target="https://oer.galileo.usg.edu/compsci-collections/15/" TargetMode="External"/><Relationship Id="rId431" Type="http://schemas.openxmlformats.org/officeDocument/2006/relationships/hyperlink" Target="../../../../../../:b:/g/team_sites/galileo/EVm5FkLRGHZEmYfpOMewILkBw6PkFQGfG7P2GVr5iGv13g?e=dV22lO" TargetMode="External"/><Relationship Id="rId473" Type="http://schemas.openxmlformats.org/officeDocument/2006/relationships/hyperlink" Target="../../../../../../:b:/g/team_sites/galileo/EVvM3_SGTiVJpKh0lGsD6BUBqQEjpjcMD7jncOVTksrj5A" TargetMode="External"/><Relationship Id="rId529" Type="http://schemas.openxmlformats.org/officeDocument/2006/relationships/hyperlink" Target="https://openstax.org/details/books/introductory-statistics" TargetMode="External"/><Relationship Id="rId680" Type="http://schemas.openxmlformats.org/officeDocument/2006/relationships/hyperlink" Target="../../../../../../:b:/g/team_sites/galileo/EdbRiJT3nK9Og0Hl5n0nlewBug9vLIBjjRqduKypY2T47g" TargetMode="External"/><Relationship Id="rId736" Type="http://schemas.openxmlformats.org/officeDocument/2006/relationships/hyperlink" Target="../../../../../../:b:/g/team_sites/galileo/EbxcqZ9qw9pMuhKyOoDtybQBHPu5Wn33P6SScy_UAMYE7g" TargetMode="External"/><Relationship Id="rId30" Type="http://schemas.openxmlformats.org/officeDocument/2006/relationships/hyperlink" Target="http://www.mypearsonstore.com/bookstore/essential-environment-the-science-behind-the-stories-0134714881" TargetMode="External"/><Relationship Id="rId126" Type="http://schemas.openxmlformats.org/officeDocument/2006/relationships/hyperlink" Target="https://www.affordablelearninggeorgia.org/documents/2014F_KSU_APPENDIXA_Proposal30.pdf" TargetMode="External"/><Relationship Id="rId168" Type="http://schemas.openxmlformats.org/officeDocument/2006/relationships/hyperlink" Target="http://oer.galileo.usg.edu/biology-collections/3/" TargetMode="External"/><Relationship Id="rId333" Type="http://schemas.openxmlformats.org/officeDocument/2006/relationships/hyperlink" Target="https://affordablelearninggeorgia.org/documents/M30_Saber.pdf" TargetMode="External"/><Relationship Id="rId540" Type="http://schemas.openxmlformats.org/officeDocument/2006/relationships/hyperlink" Target="http://apexcalculus.com/" TargetMode="External"/><Relationship Id="rId778" Type="http://schemas.openxmlformats.org/officeDocument/2006/relationships/hyperlink" Target="../../../../../../:b:/g/team_sites/galileo/EX96CZtkm9BPgSBasYGWRa4Bggh3Rr1xiUTjEGSSAB6ezA?e=gKNJzf" TargetMode="External"/><Relationship Id="rId72" Type="http://schemas.openxmlformats.org/officeDocument/2006/relationships/hyperlink" Target="https://www.macmillanlearning.com/Catalog/product/experiencingthelifespan-fourthedition-belsky/valueoptions" TargetMode="External"/><Relationship Id="rId375" Type="http://schemas.openxmlformats.org/officeDocument/2006/relationships/hyperlink" Target="https://drive.google.com/open?id=1gojkxZrpoHVivKGbIHg7QTHOevRyYBTR" TargetMode="External"/><Relationship Id="rId582" Type="http://schemas.openxmlformats.org/officeDocument/2006/relationships/hyperlink" Target="http://thieryval.wixsite.com/liberte1001" TargetMode="External"/><Relationship Id="rId638" Type="http://schemas.openxmlformats.org/officeDocument/2006/relationships/hyperlink" Target="http://oer.galileo.usg.edu/communication-textbooks/1/" TargetMode="External"/><Relationship Id="rId803" Type="http://schemas.openxmlformats.org/officeDocument/2006/relationships/hyperlink" Target="../../Grants/R15-R17/R15/Proposals/Mini-Grant/M96_Mukhopadhyay.pdf" TargetMode="External"/><Relationship Id="rId845" Type="http://schemas.openxmlformats.org/officeDocument/2006/relationships/hyperlink" Target="https://www.affordablelearninggeorgia.org/documents/528_proposal.pdf" TargetMode="External"/><Relationship Id="rId3" Type="http://schemas.openxmlformats.org/officeDocument/2006/relationships/hyperlink" Target="../../../../../../:b:/g/team_sites/galileo/EWbc8Wc5IBVPojLcYzpy6UABFXoyikKdQzpVOkBocEy4KQ?e=ZfJXoA" TargetMode="External"/><Relationship Id="rId235" Type="http://schemas.openxmlformats.org/officeDocument/2006/relationships/hyperlink" Target="https://oer.galileo.usg.edu/biology-collections/16/" TargetMode="External"/><Relationship Id="rId277" Type="http://schemas.openxmlformats.org/officeDocument/2006/relationships/hyperlink" Target="https://oer.galileo.usg.edu/physics-collections/7/" TargetMode="External"/><Relationship Id="rId400" Type="http://schemas.openxmlformats.org/officeDocument/2006/relationships/hyperlink" Target="https://drive.google.com/open?id=1-MGvO_cLlytd8g-25aFFgRGdOliN8Rtz" TargetMode="External"/><Relationship Id="rId442" Type="http://schemas.openxmlformats.org/officeDocument/2006/relationships/hyperlink" Target="../../../../../../:b:/g/team_sites/galileo/EWOhF4SPdSZNjJU_Bl-dAFcBefwTVSPllE4L-Ai4ixzcPw?e=Rbanbi" TargetMode="External"/><Relationship Id="rId484" Type="http://schemas.openxmlformats.org/officeDocument/2006/relationships/hyperlink" Target="https://openstax.org/details/books/algebra-and-trigonometry" TargetMode="External"/><Relationship Id="rId705" Type="http://schemas.openxmlformats.org/officeDocument/2006/relationships/hyperlink" Target="../../../../../../:b:/g/team_sites/galileo/EV5a7hQ_pnZIoo65hsx5rNEB8QhpT5ouSajJWnfvsviyHQ" TargetMode="External"/><Relationship Id="rId137" Type="http://schemas.openxmlformats.org/officeDocument/2006/relationships/hyperlink" Target="https://www.affordablelearninggeorgia.org/documents/2014F_SPSU_APPENDIXA_Proposal44.pdf" TargetMode="External"/><Relationship Id="rId302" Type="http://schemas.openxmlformats.org/officeDocument/2006/relationships/hyperlink" Target="https://affordablelearninggeorgia.org/documents/349_Peng.pdf" TargetMode="External"/><Relationship Id="rId344" Type="http://schemas.openxmlformats.org/officeDocument/2006/relationships/hyperlink" Target="https://drive.google.com/open?id=1dg3Dt9E-8OnOSu3E22zD6zKKQhA4W7AM" TargetMode="External"/><Relationship Id="rId691" Type="http://schemas.openxmlformats.org/officeDocument/2006/relationships/hyperlink" Target="../../../../../../:b:/g/team_sites/galileo/EbKd08c_R_lHtwEWhhX6ixwBlbk4pRuv2V3qtH7WYj9VXA" TargetMode="External"/><Relationship Id="rId747" Type="http://schemas.openxmlformats.org/officeDocument/2006/relationships/hyperlink" Target="../../../../../../:b:/g/team_sites/galileo/Ea6twTZ53E5MjSJS2azNhcUBqaN_2BcSIfzdISsCjfGs7g?e=JBzMYK" TargetMode="External"/><Relationship Id="rId789" Type="http://schemas.openxmlformats.org/officeDocument/2006/relationships/hyperlink" Target="../../Grants/R15-R17/R15/Proposals/Textbook%20Transformation%20Grant/477_Bates.pdf" TargetMode="External"/><Relationship Id="rId41" Type="http://schemas.openxmlformats.org/officeDocument/2006/relationships/hyperlink" Target="https://www.cengage.com/c/anderson-s-business-law-and-the-legal-environment-comprehensive-volume-23e-twomey/9781305575080" TargetMode="External"/><Relationship Id="rId83" Type="http://schemas.openxmlformats.org/officeDocument/2006/relationships/hyperlink" Target="https://www.pearson.com/us/higher-education/product/Henslin-Essentials-of-Sociology-Plus-NEW-My-Lab-Sociology-for-Introduction-to-Sociology-Access-Card-Package-12th-Edition/9780134495927.html" TargetMode="External"/><Relationship Id="rId179" Type="http://schemas.openxmlformats.org/officeDocument/2006/relationships/hyperlink" Target="http://oer.galileo.usg.edu/compsci-collections/6/" TargetMode="External"/><Relationship Id="rId386" Type="http://schemas.openxmlformats.org/officeDocument/2006/relationships/hyperlink" Target="https://drive.google.com/open?id=1mR1HTP5iB_IbMhTQrphPGOUlocQzUBUX" TargetMode="External"/><Relationship Id="rId551" Type="http://schemas.openxmlformats.org/officeDocument/2006/relationships/hyperlink" Target="https://www.saylor.org/site/textbooks/Social%20Problems%20-%20Continuity%20and%20Change.pdf" TargetMode="External"/><Relationship Id="rId593" Type="http://schemas.openxmlformats.org/officeDocument/2006/relationships/hyperlink" Target="http://distanceed.hss.kennesaw.edu/elearning/open_comp/" TargetMode="External"/><Relationship Id="rId607" Type="http://schemas.openxmlformats.org/officeDocument/2006/relationships/hyperlink" Target="http://libguides.gcsu.edu/businesslaw" TargetMode="External"/><Relationship Id="rId649" Type="http://schemas.openxmlformats.org/officeDocument/2006/relationships/hyperlink" Target="http://oer.galileo.usg.edu/chemistry-ancillary/6" TargetMode="External"/><Relationship Id="rId814" Type="http://schemas.openxmlformats.org/officeDocument/2006/relationships/hyperlink" Target="../../Grants/R15-R17/R16/Reviews/Applications/M121.pdf" TargetMode="External"/><Relationship Id="rId856" Type="http://schemas.openxmlformats.org/officeDocument/2006/relationships/hyperlink" Target="https://www.affordablelearninggeorgia.org/documents/M126_proposal.pdf" TargetMode="External"/><Relationship Id="rId190" Type="http://schemas.openxmlformats.org/officeDocument/2006/relationships/hyperlink" Target="http://oer.galileo.usg.edu/mathematics-collections/22/" TargetMode="External"/><Relationship Id="rId204" Type="http://schemas.openxmlformats.org/officeDocument/2006/relationships/hyperlink" Target="http://oer.galileo.usg.edu/psychology-collections/9/" TargetMode="External"/><Relationship Id="rId246" Type="http://schemas.openxmlformats.org/officeDocument/2006/relationships/hyperlink" Target="https://oer.galileo.usg.edu/history-collections/3" TargetMode="External"/><Relationship Id="rId288" Type="http://schemas.openxmlformats.org/officeDocument/2006/relationships/hyperlink" Target="https://affordablelearninggeorgia.org/documents/339_Yunek.pdf" TargetMode="External"/><Relationship Id="rId411" Type="http://schemas.openxmlformats.org/officeDocument/2006/relationships/hyperlink" Target="../../../../../../:b:/g/team_sites/galileo/EXFdaSr2TItGujHZaEyIt0gB3aQ0lhMRkJT6hfclXCO6bA" TargetMode="External"/><Relationship Id="rId453" Type="http://schemas.openxmlformats.org/officeDocument/2006/relationships/hyperlink" Target="../../../../../../:b:/g/team_sites/galileo/EV7qHBXlpf1OqN30dhyi9DEBfAsp1AGVQsnU3sXGIYTTUw" TargetMode="External"/><Relationship Id="rId509" Type="http://schemas.openxmlformats.org/officeDocument/2006/relationships/hyperlink" Target="https://openstax.org/details/books/biology-2e" TargetMode="External"/><Relationship Id="rId660" Type="http://schemas.openxmlformats.org/officeDocument/2006/relationships/hyperlink" Target="http://oer.galileo.usg.edu/health-textbooks/4" TargetMode="External"/><Relationship Id="rId106" Type="http://schemas.openxmlformats.org/officeDocument/2006/relationships/hyperlink" Target="https://www.cengage.com/c/mathematical-applications-for-the-management-life-and-social-sciences-12e-harshbarger/9781337625340" TargetMode="External"/><Relationship Id="rId313" Type="http://schemas.openxmlformats.org/officeDocument/2006/relationships/hyperlink" Target="https://affordablelearninggeorgia.org/documents/362_Hand.pdf" TargetMode="External"/><Relationship Id="rId495" Type="http://schemas.openxmlformats.org/officeDocument/2006/relationships/hyperlink" Target="https://openstax.org/details/books/psychology" TargetMode="External"/><Relationship Id="rId716" Type="http://schemas.openxmlformats.org/officeDocument/2006/relationships/hyperlink" Target="../../../../../../:b:/g/team_sites/galileo/EbMcMI9B2KRFrHxOft119soBs2SJn1ux9VN5T8CykKVxIw" TargetMode="External"/><Relationship Id="rId758" Type="http://schemas.openxmlformats.org/officeDocument/2006/relationships/hyperlink" Target="../../../../../../:b:/g/team_sites/galileo/EQpr-oaLwbhIt3Sjv1P36h8B4s1BBD0GVThg2jXYCux90A?e=5QqIXN" TargetMode="External"/><Relationship Id="rId10" Type="http://schemas.openxmlformats.org/officeDocument/2006/relationships/hyperlink" Target="https://www.affordablelearninggeorgia.org/about/pilots18_grantees" TargetMode="External"/><Relationship Id="rId52" Type="http://schemas.openxmlformats.org/officeDocument/2006/relationships/hyperlink" Target="https://www.barnesandnoble.com/w/introduction-to-human-factors-engineering-christopher-d-wickens/1100057500" TargetMode="External"/><Relationship Id="rId94" Type="http://schemas.openxmlformats.org/officeDocument/2006/relationships/hyperlink" Target="https://www.pearson.com/us/higher-education/product/Urry-Campbell-Biology-11th-Edition/9780134093413.html?tab=order" TargetMode="External"/><Relationship Id="rId148" Type="http://schemas.openxmlformats.org/officeDocument/2006/relationships/hyperlink" Target="http://oer.galileo.usg.edu/psychology-collections/1/" TargetMode="External"/><Relationship Id="rId355" Type="http://schemas.openxmlformats.org/officeDocument/2006/relationships/hyperlink" Target="https://affordablelearninggeorgia.org/documents/375_KSU_Shi.pdf" TargetMode="External"/><Relationship Id="rId397" Type="http://schemas.openxmlformats.org/officeDocument/2006/relationships/hyperlink" Target="https://drive.google.com/open?id=1UFUfRxP0-vwBvnrLi7_KbXBE7fUWptp1" TargetMode="External"/><Relationship Id="rId520" Type="http://schemas.openxmlformats.org/officeDocument/2006/relationships/hyperlink" Target="https://openstax.org/details/books/concepts-biology" TargetMode="External"/><Relationship Id="rId562" Type="http://schemas.openxmlformats.org/officeDocument/2006/relationships/hyperlink" Target="http://www.apexcalculus.com/downloads/" TargetMode="External"/><Relationship Id="rId618" Type="http://schemas.openxmlformats.org/officeDocument/2006/relationships/hyperlink" Target="http://ramscholar.openrepository.com/ramscholar/simple-search?filter_field_0=author&amp;filter_type_0=equals&amp;filter_value_0=Dr.+Arun+K.+Saha" TargetMode="External"/><Relationship Id="rId825" Type="http://schemas.openxmlformats.org/officeDocument/2006/relationships/hyperlink" Target="../../Grants/R15-R17/R16/Reviews/Applications/504.pdf" TargetMode="External"/><Relationship Id="rId215" Type="http://schemas.openxmlformats.org/officeDocument/2006/relationships/hyperlink" Target="http://oer.galileo.usg.edu/mathematics-collections/21/" TargetMode="External"/><Relationship Id="rId257" Type="http://schemas.openxmlformats.org/officeDocument/2006/relationships/hyperlink" Target="https://oer.galileo.usg.edu/history-collections/5" TargetMode="External"/><Relationship Id="rId422" Type="http://schemas.openxmlformats.org/officeDocument/2006/relationships/hyperlink" Target="../../../../../../:b:/g/team_sites/galileo/Een1yQwLo8pCiEH6V8aRoSoBbT9j-SeQBnE-3BMqtW1A_Q?e=W7cdMx" TargetMode="External"/><Relationship Id="rId464" Type="http://schemas.openxmlformats.org/officeDocument/2006/relationships/hyperlink" Target="../../../../../../:b:/g/team_sites/galileo/EWwEuGPYbB5Cu-TeYPX51eoB-nH0HoJAlqz-fiscF1Qr5Q" TargetMode="External"/><Relationship Id="rId299" Type="http://schemas.openxmlformats.org/officeDocument/2006/relationships/hyperlink" Target="https://affordablelearninggeorgia.org/documents/M09_Callahan.pdf" TargetMode="External"/><Relationship Id="rId727" Type="http://schemas.openxmlformats.org/officeDocument/2006/relationships/hyperlink" Target="../../../../../../:b:/g/team_sites/galileo/EQF2OvDj7G9Lg7Mvgj7bNzABnuIEYzXfHmssBwsfL-aA1A" TargetMode="External"/><Relationship Id="rId63" Type="http://schemas.openxmlformats.org/officeDocument/2006/relationships/hyperlink" Target="https://shop.lww.com/Essentials-of-Nursing-Research/p/9781496351296" TargetMode="External"/><Relationship Id="rId159" Type="http://schemas.openxmlformats.org/officeDocument/2006/relationships/hyperlink" Target="http://oer.galileo.usg.edu/biology-collections/4/" TargetMode="External"/><Relationship Id="rId366" Type="http://schemas.openxmlformats.org/officeDocument/2006/relationships/hyperlink" Target="https://affordablelearninggeorgia.org/documents/M46_Dalton_Crisp.pdf" TargetMode="External"/><Relationship Id="rId573" Type="http://schemas.openxmlformats.org/officeDocument/2006/relationships/hyperlink" Target="https://oer.galileo.usg.edu/health-textbooks/5/" TargetMode="External"/><Relationship Id="rId780" Type="http://schemas.openxmlformats.org/officeDocument/2006/relationships/hyperlink" Target="mailto:tmueller@ggc.edu" TargetMode="External"/><Relationship Id="rId226" Type="http://schemas.openxmlformats.org/officeDocument/2006/relationships/hyperlink" Target="https://oer.galileo.usg.edu/business-collections/5" TargetMode="External"/><Relationship Id="rId433" Type="http://schemas.openxmlformats.org/officeDocument/2006/relationships/hyperlink" Target="../../../../../../:b:/g/team_sites/galileo/ETsYHi0FXrpHn3kdwdGGhysBQKz6sxvBfJCWC5_Dy2uuyg?e=KQg3XL" TargetMode="External"/><Relationship Id="rId640" Type="http://schemas.openxmlformats.org/officeDocument/2006/relationships/hyperlink" Target="http://wiki.ggc.edu/wiki/ITEC2110:Summer2016:Section03" TargetMode="External"/><Relationship Id="rId738" Type="http://schemas.openxmlformats.org/officeDocument/2006/relationships/hyperlink" Target="../../../../../../:b:/g/team_sites/galileo/EanxBz4DKUhFizEu3D9rnwABIdGVgrZ4F2hf693NgAKQzQ" TargetMode="External"/><Relationship Id="rId74" Type="http://schemas.openxmlformats.org/officeDocument/2006/relationships/hyperlink" Target="https://macmillanlearning.com/Catalog/product/lifethescienceofbiology-eleventhedition-sadava/valueoptions" TargetMode="External"/><Relationship Id="rId377" Type="http://schemas.openxmlformats.org/officeDocument/2006/relationships/hyperlink" Target="https://drive.google.com/open?id=1Gs1LZN-D4O2dRzu0npUGC10iDmy9yqM_" TargetMode="External"/><Relationship Id="rId500" Type="http://schemas.openxmlformats.org/officeDocument/2006/relationships/hyperlink" Target="https://openstax.org/details/books/chemistry" TargetMode="External"/><Relationship Id="rId584" Type="http://schemas.openxmlformats.org/officeDocument/2006/relationships/hyperlink" Target="https://oer.galileo.usg.edu/education-textbooks/1/" TargetMode="External"/><Relationship Id="rId805" Type="http://schemas.openxmlformats.org/officeDocument/2006/relationships/hyperlink" Target="../../Grants/R15-R17/R15/Proposals/Mini-Grant/M98_Rutherfoord.pdf" TargetMode="External"/><Relationship Id="rId5" Type="http://schemas.openxmlformats.org/officeDocument/2006/relationships/hyperlink" Target="../../../../../../:w:/g/team_sites/galileo/EVxR9rQJVFFElzkeGoJzYzQBUnDbeZR1_1piqGSHI9rwdQ?e=1TFYsf" TargetMode="External"/><Relationship Id="rId237" Type="http://schemas.openxmlformats.org/officeDocument/2006/relationships/hyperlink" Target="https://oer.galileo.usg.edu/mathematics-collections/26" TargetMode="External"/><Relationship Id="rId791" Type="http://schemas.openxmlformats.org/officeDocument/2006/relationships/hyperlink" Target="../../Grants/R15-R17/R15/Proposals/Textbook%20Transformation%20Grant/480_Peterson.pdf" TargetMode="External"/><Relationship Id="rId444" Type="http://schemas.openxmlformats.org/officeDocument/2006/relationships/hyperlink" Target="../../../../../../:b:/g/team_sites/galileo/EVn9QB_aMYlNkuGOGNrIrm8BmBmjZky_RtlCACvXpnwXoA?e=KeroUp" TargetMode="External"/><Relationship Id="rId651" Type="http://schemas.openxmlformats.org/officeDocument/2006/relationships/hyperlink" Target="https://www.oercommons.org/search?f.search=laura+ralston&amp;f.general_subject=&amp;f.sublevel=&amp;f.alignment_standard=" TargetMode="External"/><Relationship Id="rId749" Type="http://schemas.openxmlformats.org/officeDocument/2006/relationships/hyperlink" Target="../../../../../../:b:/g/team_sites/galileo/EeLZz1e5mHxIj7CGN3_YEv0BNFLRsMzh_99M74Evy7PZ7w?e=kd8lGY" TargetMode="External"/><Relationship Id="rId290" Type="http://schemas.openxmlformats.org/officeDocument/2006/relationships/hyperlink" Target="https://affordablelearninggeorgia.org/documents/342_Grissett.pdf" TargetMode="External"/><Relationship Id="rId304" Type="http://schemas.openxmlformats.org/officeDocument/2006/relationships/hyperlink" Target="https://affordablelearninggeorgia.org/documents/351_Finazzo.pdf" TargetMode="External"/><Relationship Id="rId388" Type="http://schemas.openxmlformats.org/officeDocument/2006/relationships/hyperlink" Target="https://drive.google.com/open?id=1R3KD0rqCRsM7djXoNAx0BlpSpVjOMnPm" TargetMode="External"/><Relationship Id="rId511" Type="http://schemas.openxmlformats.org/officeDocument/2006/relationships/hyperlink" Target="https://openstax.org/details/books/college-physics" TargetMode="External"/><Relationship Id="rId609" Type="http://schemas.openxmlformats.org/officeDocument/2006/relationships/hyperlink" Target="http://libguides.gatech.edu/ID-2320" TargetMode="External"/><Relationship Id="rId85" Type="http://schemas.openxmlformats.org/officeDocument/2006/relationships/hyperlink" Target="http://www.affordablelearninggeorgia.org/documents/2014F_MGSC_APPENDIXA_Proposal02.pdf" TargetMode="External"/><Relationship Id="rId150" Type="http://schemas.openxmlformats.org/officeDocument/2006/relationships/hyperlink" Target="http://oer.galileo.usg.edu/english-collections/1/" TargetMode="External"/><Relationship Id="rId595" Type="http://schemas.openxmlformats.org/officeDocument/2006/relationships/hyperlink" Target="http://pwp.gatech.edu/gt1000-textbook/" TargetMode="External"/><Relationship Id="rId816" Type="http://schemas.openxmlformats.org/officeDocument/2006/relationships/hyperlink" Target="../../Grants/R15-R17/R16/Reviews/Applications/M119.pdf" TargetMode="External"/><Relationship Id="rId248" Type="http://schemas.openxmlformats.org/officeDocument/2006/relationships/hyperlink" Target="https://oer.galileo.usg.edu/geo-collections/1" TargetMode="External"/><Relationship Id="rId455" Type="http://schemas.openxmlformats.org/officeDocument/2006/relationships/hyperlink" Target="../../../../../../:b:/g/team_sites/galileo/EfG2jf0TQRlOlvS1uIWfpoUBHfV13aXb3__4try0OrbR1g" TargetMode="External"/><Relationship Id="rId662" Type="http://schemas.openxmlformats.org/officeDocument/2006/relationships/hyperlink" Target="http://oer.galileo.usg.edu/history-ancillary/1" TargetMode="External"/><Relationship Id="rId12" Type="http://schemas.openxmlformats.org/officeDocument/2006/relationships/hyperlink" Target="https://www.pearson.com/us/higher-education/product/Urry-Campbell-Biology-11th-Edition/9780134093413.html?tab=order" TargetMode="External"/><Relationship Id="rId108" Type="http://schemas.openxmlformats.org/officeDocument/2006/relationships/hyperlink" Target="https://www.amazon.com/Teaching-Science-Every-Child-Starting/dp/1138118958/ref=dp_ob_title_bk" TargetMode="External"/><Relationship Id="rId315" Type="http://schemas.openxmlformats.org/officeDocument/2006/relationships/hyperlink" Target="https://affordablelearninggeorgia.org/documents/365_Li.pdf" TargetMode="External"/><Relationship Id="rId522" Type="http://schemas.openxmlformats.org/officeDocument/2006/relationships/hyperlink" Target="https://openstax.org/details/books/concepts-biology" TargetMode="External"/><Relationship Id="rId96" Type="http://schemas.openxmlformats.org/officeDocument/2006/relationships/hyperlink" Target="https://www.pearson.com/us/higher-education/product/Lutgens-Atmosphere-The-An-Introduction-to-Meteorology-13th-Edition/9780321984623.html" TargetMode="External"/><Relationship Id="rId161" Type="http://schemas.openxmlformats.org/officeDocument/2006/relationships/hyperlink" Target="http://oer.galileo.usg.edu/mathematics-collections/5/" TargetMode="External"/><Relationship Id="rId399" Type="http://schemas.openxmlformats.org/officeDocument/2006/relationships/hyperlink" Target="https://drive.google.com/open?id=1_eXUbSUMVc16r5ie-67SvlXjJY_CmKbK" TargetMode="External"/><Relationship Id="rId827" Type="http://schemas.openxmlformats.org/officeDocument/2006/relationships/hyperlink" Target="../../Grants/R15-R17/R16/Reviews/Applications/507.pdf" TargetMode="External"/><Relationship Id="rId259" Type="http://schemas.openxmlformats.org/officeDocument/2006/relationships/hyperlink" Target="https://oer.galileo.usg.edu/chemistry-collections/16" TargetMode="External"/><Relationship Id="rId466" Type="http://schemas.openxmlformats.org/officeDocument/2006/relationships/hyperlink" Target="../../../../../../:b:/g/team_sites/galileo/EaC9z7LCFWxAlusU_6rZ6AUBIKp1121ufWYrVwCQ0RkpoQ" TargetMode="External"/><Relationship Id="rId673" Type="http://schemas.openxmlformats.org/officeDocument/2006/relationships/hyperlink" Target="../../../../../../:b:/g/team_sites/galileo/EZyC-Bt5_Y9FovJhQnmBE-QBCPu_3KKw6YutwolVknKzKQ" TargetMode="External"/><Relationship Id="rId23" Type="http://schemas.openxmlformats.org/officeDocument/2006/relationships/hyperlink" Target="https://www.mheducation.com/highered/product/art-public-speaking-lucas/M0073523917.html" TargetMode="External"/><Relationship Id="rId119" Type="http://schemas.openxmlformats.org/officeDocument/2006/relationships/hyperlink" Target="https://www.affordablelearninggeorgia.org/documents/2014F_GPC_APPENDIXA_Proposal14.pdf" TargetMode="External"/><Relationship Id="rId326" Type="http://schemas.openxmlformats.org/officeDocument/2006/relationships/hyperlink" Target="https://affordablelearninggeorgia.org/documents/M22_Fisk.pdf" TargetMode="External"/><Relationship Id="rId533" Type="http://schemas.openxmlformats.org/officeDocument/2006/relationships/hyperlink" Target="https://openstax.org/details/books/american-government" TargetMode="External"/><Relationship Id="rId740" Type="http://schemas.openxmlformats.org/officeDocument/2006/relationships/hyperlink" Target="../../../../../../:b:/g/team_sites/galileo/EanxBz4DKUhFizEu3D9rnwABIdGVgrZ4F2hf693NgAKQzQ" TargetMode="External"/><Relationship Id="rId838" Type="http://schemas.openxmlformats.org/officeDocument/2006/relationships/hyperlink" Target="mailto:fang_houbin@columbusstate.edu" TargetMode="External"/><Relationship Id="rId172" Type="http://schemas.openxmlformats.org/officeDocument/2006/relationships/hyperlink" Target="http://oer.galileo.usg.edu/psychology-collections/5/" TargetMode="External"/><Relationship Id="rId477" Type="http://schemas.openxmlformats.org/officeDocument/2006/relationships/hyperlink" Target="https://openstax.org/details/books/microbiology" TargetMode="External"/><Relationship Id="rId600" Type="http://schemas.openxmlformats.org/officeDocument/2006/relationships/hyperlink" Target="http://libguides.gcsu.edu/ENSC1000/introduction" TargetMode="External"/><Relationship Id="rId684" Type="http://schemas.openxmlformats.org/officeDocument/2006/relationships/hyperlink" Target="../../../../../../:b:/g/team_sites/galileo/EXrtNyGzenNCiTlFajsChlQBKXEswkTnQAYvI3HEjmMA6Q" TargetMode="External"/><Relationship Id="rId337" Type="http://schemas.openxmlformats.org/officeDocument/2006/relationships/hyperlink" Target="https://drive.google.com/open?id=1smR6UMfws9N3lpUrXkxVdYjUgUiUdLb2" TargetMode="External"/><Relationship Id="rId34" Type="http://schemas.openxmlformats.org/officeDocument/2006/relationships/hyperlink" Target="https://www.cengage.com/c/essentials-of-psychology-concepts-and-applications-5e-nevid/9781305964150" TargetMode="External"/><Relationship Id="rId544" Type="http://schemas.openxmlformats.org/officeDocument/2006/relationships/hyperlink" Target="https://www.saylor.org/site/textbooks/Business%20English%20for%20Success.pdf" TargetMode="External"/><Relationship Id="rId751" Type="http://schemas.openxmlformats.org/officeDocument/2006/relationships/hyperlink" Target="../../../../../../:b:/g/team_sites/galileo/Eb2mK8EP9lZGob6KoPBMC2cBzVsdU7K30m-PyM1my5CXSA?e=itEjCg" TargetMode="External"/><Relationship Id="rId849" Type="http://schemas.openxmlformats.org/officeDocument/2006/relationships/hyperlink" Target="https://www.affordablelearninggeorgia.org/documents/538_proposal.pdf" TargetMode="External"/><Relationship Id="rId183" Type="http://schemas.openxmlformats.org/officeDocument/2006/relationships/hyperlink" Target="http://oer.galileo.usg.edu/biology-collections/1/" TargetMode="External"/><Relationship Id="rId390" Type="http://schemas.openxmlformats.org/officeDocument/2006/relationships/hyperlink" Target="https://drive.google.com/open?id=18x3805dI0ipcuavdNfulhHjyL-KZ2ZQc" TargetMode="External"/><Relationship Id="rId404" Type="http://schemas.openxmlformats.org/officeDocument/2006/relationships/hyperlink" Target="https://drive.google.com/open?id=1vuGz6Jvt9m5ikZ6JT2yEXoiO1IlMJtRO" TargetMode="External"/><Relationship Id="rId611" Type="http://schemas.openxmlformats.org/officeDocument/2006/relationships/hyperlink" Target="http://faculty.gordonstate.edu/wvenus/Handbook.htm" TargetMode="External"/><Relationship Id="rId250" Type="http://schemas.openxmlformats.org/officeDocument/2006/relationships/hyperlink" Target="https://oer.galileo.usg.edu/languages-collections/3" TargetMode="External"/><Relationship Id="rId488" Type="http://schemas.openxmlformats.org/officeDocument/2006/relationships/hyperlink" Target="https://openstax.org/details/books/principles-microeconomics" TargetMode="External"/><Relationship Id="rId695" Type="http://schemas.openxmlformats.org/officeDocument/2006/relationships/hyperlink" Target="../../../../../../:b:/g/team_sites/galileo/Ee9vHJBclDVKnbxEhJRMGmkBzzWgGJM-kYC3Prd3HAMXHg" TargetMode="External"/><Relationship Id="rId709" Type="http://schemas.openxmlformats.org/officeDocument/2006/relationships/hyperlink" Target="../../../../../../:b:/g/team_sites/galileo/ERJETAb6KBdJqOMtrj_R0v8BQEmDnSLBJiTCtqAnPNMspg" TargetMode="External"/><Relationship Id="rId45" Type="http://schemas.openxmlformats.org/officeDocument/2006/relationships/hyperlink" Target="http://www.mypearsonstore.com/bookstore/programming-the-world-wide-web-9780133775983?xid=PSED" TargetMode="External"/><Relationship Id="rId110" Type="http://schemas.openxmlformats.org/officeDocument/2006/relationships/hyperlink" Target="https://www.mheducation.com/highered/product/essentials-life-span-development-santrock/M1259708799.html" TargetMode="External"/><Relationship Id="rId348" Type="http://schemas.openxmlformats.org/officeDocument/2006/relationships/hyperlink" Target="https://drive.google.com/open?id=1qBsDMBoFBl1QoMI1h5P078B_8CrZbr6M" TargetMode="External"/><Relationship Id="rId555" Type="http://schemas.openxmlformats.org/officeDocument/2006/relationships/hyperlink" Target="http://scholarcommons.usf.edu/cgi/viewcontent.cgi?article=1002&amp;context=oa_textbooks" TargetMode="External"/><Relationship Id="rId762" Type="http://schemas.openxmlformats.org/officeDocument/2006/relationships/hyperlink" Target="../../../../../../:b:/g/team_sites/galileo/EZiVTozCNk5KhJHcEAeoTSMBicDMpf1UYCQfRjcCqWdAyg?e=JfyMSk" TargetMode="External"/><Relationship Id="rId194" Type="http://schemas.openxmlformats.org/officeDocument/2006/relationships/hyperlink" Target="http://oer.galileo.usg.edu/mathematics-collections/15" TargetMode="External"/><Relationship Id="rId208" Type="http://schemas.openxmlformats.org/officeDocument/2006/relationships/hyperlink" Target="http://oer.galileo.usg.edu/psychology-collections/14" TargetMode="External"/><Relationship Id="rId415" Type="http://schemas.openxmlformats.org/officeDocument/2006/relationships/hyperlink" Target="../../../../../../:b:/g/team_sites/galileo/EdOK4J0QfBBLjzlFRj1iEpsBfI3hSElXK14pyOWkq5eb3Q?e=jdKxWU" TargetMode="External"/><Relationship Id="rId622" Type="http://schemas.openxmlformats.org/officeDocument/2006/relationships/hyperlink" Target="http://columbusstate.libguides.com/content.php?pid=673531" TargetMode="External"/><Relationship Id="rId261" Type="http://schemas.openxmlformats.org/officeDocument/2006/relationships/hyperlink" Target="https://oer.galileo.usg.edu/biology-collections/20/" TargetMode="External"/><Relationship Id="rId499" Type="http://schemas.openxmlformats.org/officeDocument/2006/relationships/hyperlink" Target="https://openstax.org/details/books/chemistry" TargetMode="External"/><Relationship Id="rId56" Type="http://schemas.openxmlformats.org/officeDocument/2006/relationships/hyperlink" Target="https://www.mheducation.com/highered/product/biology-concepts-investigations-hoefnagels/M007802420X.html" TargetMode="External"/><Relationship Id="rId359" Type="http://schemas.openxmlformats.org/officeDocument/2006/relationships/hyperlink" Target="https://affordablelearninggeorgia.org/documents/M38_GHC_Rogers.pdf" TargetMode="External"/><Relationship Id="rId566" Type="http://schemas.openxmlformats.org/officeDocument/2006/relationships/hyperlink" Target="http://www.apexcalculus.com/downloads/" TargetMode="External"/><Relationship Id="rId773" Type="http://schemas.openxmlformats.org/officeDocument/2006/relationships/hyperlink" Target="../../../../../../:b:/g/team_sites/galileo/EeKY8J6zAfRLjYPEnoqu8QQBQhqWbeMKNBnTMiF3EBrrWQ?e=iUQ9Ot" TargetMode="External"/><Relationship Id="rId121" Type="http://schemas.openxmlformats.org/officeDocument/2006/relationships/hyperlink" Target="https://www.affordablelearninggeorgia.org/documents/2014F_VSU_APPENDIXA_Proposal18.pdf" TargetMode="External"/><Relationship Id="rId219" Type="http://schemas.openxmlformats.org/officeDocument/2006/relationships/hyperlink" Target="http://oer.galileo.usg.edu/psychology-collections/17" TargetMode="External"/><Relationship Id="rId426" Type="http://schemas.openxmlformats.org/officeDocument/2006/relationships/hyperlink" Target="../../../../../../:b:/g/team_sites/galileo/Ea4G7tuxW4lMu3ekxMOXV44BsOebEGYJEzqaw1sswHroWg?e=Q5fVCv" TargetMode="External"/><Relationship Id="rId633" Type="http://schemas.openxmlformats.org/officeDocument/2006/relationships/hyperlink" Target="http://oer.galileo.usg.edu/biology-ancillary/1/" TargetMode="External"/><Relationship Id="rId840" Type="http://schemas.openxmlformats.org/officeDocument/2006/relationships/hyperlink" Target="https://www.affordablelearninggeorgia.org/documents/523_proposal.pdf" TargetMode="External"/><Relationship Id="rId67" Type="http://schemas.openxmlformats.org/officeDocument/2006/relationships/hyperlink" Target="https://www.affordablelearninggeorgia.org/about/open_math/" TargetMode="External"/><Relationship Id="rId272" Type="http://schemas.openxmlformats.org/officeDocument/2006/relationships/hyperlink" Target="https://oer.galileo.usg.edu/health-collections/7/" TargetMode="External"/><Relationship Id="rId577" Type="http://schemas.openxmlformats.org/officeDocument/2006/relationships/hyperlink" Target="https://oer.galileo.usg.edu/compsci-ancillary/7/" TargetMode="External"/><Relationship Id="rId700" Type="http://schemas.openxmlformats.org/officeDocument/2006/relationships/hyperlink" Target="../../../../../../:b:/g/team_sites/galileo/ETt_a5PfI9pLv6avdkabdBYBBMcDpsOmdm39wTtfq-HkGQ" TargetMode="External"/><Relationship Id="rId132" Type="http://schemas.openxmlformats.org/officeDocument/2006/relationships/hyperlink" Target="https://www.affordablelearninggeorgia.org/documents/2014F_Albany_APPENDIXA_Proposal38.pdf" TargetMode="External"/><Relationship Id="rId784" Type="http://schemas.openxmlformats.org/officeDocument/2006/relationships/hyperlink" Target="mailto:mlargin@highlands.edu" TargetMode="External"/><Relationship Id="rId437" Type="http://schemas.openxmlformats.org/officeDocument/2006/relationships/hyperlink" Target="../../../../../../:b:/g/team_sites/galileo/EdfaAeStsvhEuCF5wgpPjrcB76VyAZOiGSQwN1N_hX_1kw?e=8m78Lo" TargetMode="External"/><Relationship Id="rId644" Type="http://schemas.openxmlformats.org/officeDocument/2006/relationships/hyperlink" Target="http://oer.galileo.usg.edu/mathematics-ancillary/9" TargetMode="External"/><Relationship Id="rId851" Type="http://schemas.openxmlformats.org/officeDocument/2006/relationships/hyperlink" Target="https://www.affordablelearninggeorgia.org/documents/544_proposal.pdf" TargetMode="External"/><Relationship Id="rId283" Type="http://schemas.openxmlformats.org/officeDocument/2006/relationships/hyperlink" Target="https://affordablelearninggeorgia.org/documents/333_Marion.pdf" TargetMode="External"/><Relationship Id="rId490" Type="http://schemas.openxmlformats.org/officeDocument/2006/relationships/hyperlink" Target="https://openstax.org/details/books/psychology" TargetMode="External"/><Relationship Id="rId504" Type="http://schemas.openxmlformats.org/officeDocument/2006/relationships/hyperlink" Target="https://openstax.org/details/books/biology-2e" TargetMode="External"/><Relationship Id="rId711" Type="http://schemas.openxmlformats.org/officeDocument/2006/relationships/hyperlink" Target="../../../../../../:b:/g/team_sites/galileo/Efb6UnV4uu9GnZ9IBUJG5a8Bdr5c3LZ1KNN0U5wh7aDeMg" TargetMode="External"/><Relationship Id="rId78" Type="http://schemas.openxmlformats.org/officeDocument/2006/relationships/hyperlink" Target="https://www.cengage.com/c/the-enduring-democracy-5e-dautrich/9781337092982" TargetMode="External"/><Relationship Id="rId143" Type="http://schemas.openxmlformats.org/officeDocument/2006/relationships/hyperlink" Target="http://www.affordablelearninggeorgia.org/documents/2015S_Proposal_83.pdf" TargetMode="External"/><Relationship Id="rId350" Type="http://schemas.openxmlformats.org/officeDocument/2006/relationships/hyperlink" Target="https://drive.google.com/open?id=1dMTet_WjaQornhLtJg7uPSOCQMDxo4it" TargetMode="External"/><Relationship Id="rId588" Type="http://schemas.openxmlformats.org/officeDocument/2006/relationships/hyperlink" Target="https://oer.galileo.usg.edu/education-textbooks/1/" TargetMode="External"/><Relationship Id="rId795" Type="http://schemas.openxmlformats.org/officeDocument/2006/relationships/hyperlink" Target="../../Grants/R15-R17/R15/Proposals/Textbook%20Transformation%20Grant/486_Reardon.pdf" TargetMode="External"/><Relationship Id="rId809" Type="http://schemas.openxmlformats.org/officeDocument/2006/relationships/hyperlink" Target="../../Grants/R15-R17/R15/Proposals/Mini-Grant/M102_Subacz.pdf" TargetMode="External"/><Relationship Id="rId9" Type="http://schemas.openxmlformats.org/officeDocument/2006/relationships/hyperlink" Target="https://www.affordablelearninggeorgia.org/about/pilots18_grantees" TargetMode="External"/><Relationship Id="rId210" Type="http://schemas.openxmlformats.org/officeDocument/2006/relationships/hyperlink" Target="http://oer.galileo.usg.edu/chemistry-collections/6/" TargetMode="External"/><Relationship Id="rId448" Type="http://schemas.openxmlformats.org/officeDocument/2006/relationships/hyperlink" Target="../../../../../../:b:/g/team_sites/galileo/EYb-ycLTo5VOsg6x5ocCt2EBNdp5R-UOe9WAzEdsY8ogxQ" TargetMode="External"/><Relationship Id="rId655" Type="http://schemas.openxmlformats.org/officeDocument/2006/relationships/hyperlink" Target="http://oer.galileo.usg.edu/mathematics-textbooks/16" TargetMode="External"/><Relationship Id="rId862" Type="http://schemas.openxmlformats.org/officeDocument/2006/relationships/printerSettings" Target="../printerSettings/printerSettings2.bin"/><Relationship Id="rId294" Type="http://schemas.openxmlformats.org/officeDocument/2006/relationships/hyperlink" Target="https://affordablelearninggeorgia.org/documents/347_Feagin.pdf" TargetMode="External"/><Relationship Id="rId308" Type="http://schemas.openxmlformats.org/officeDocument/2006/relationships/hyperlink" Target="https://affordablelearninggeorgia.org/documents/356_Pace.pdf" TargetMode="External"/><Relationship Id="rId515" Type="http://schemas.openxmlformats.org/officeDocument/2006/relationships/hyperlink" Target="https://openstax.org/details/books/anatomy-and-physiology" TargetMode="External"/><Relationship Id="rId722" Type="http://schemas.openxmlformats.org/officeDocument/2006/relationships/hyperlink" Target="../../../../../../:b:/g/team_sites/galileo/ER5ruSB9_FJOpJ8U54ieIpUBE1I-iWAMpLSaQcQzrZDMyw" TargetMode="External"/><Relationship Id="rId89" Type="http://schemas.openxmlformats.org/officeDocument/2006/relationships/hyperlink" Target="https://macmillanlearning.com/Catalog/product/historyofworldsocietiesvolume1-tenthedition-mckay/valueoptions" TargetMode="External"/><Relationship Id="rId154" Type="http://schemas.openxmlformats.org/officeDocument/2006/relationships/hyperlink" Target="http://oer.galileo.usg.edu/mathematics-collections/14" TargetMode="External"/><Relationship Id="rId361" Type="http://schemas.openxmlformats.org/officeDocument/2006/relationships/hyperlink" Target="https://affordablelearninggeorgia.org/documents/M40_KSU_Rutherfoord.pdf" TargetMode="External"/><Relationship Id="rId599" Type="http://schemas.openxmlformats.org/officeDocument/2006/relationships/hyperlink" Target="https://oer.galileo.usg.edu/psychology-textbooks/11/" TargetMode="External"/><Relationship Id="rId459" Type="http://schemas.openxmlformats.org/officeDocument/2006/relationships/hyperlink" Target="../../../../../../:b:/g/team_sites/galileo/ES2tWXPmK-BLj_uIZ-C92IkBjL4PYA-61BMYnqwikpsDwg" TargetMode="External"/><Relationship Id="rId666" Type="http://schemas.openxmlformats.org/officeDocument/2006/relationships/hyperlink" Target="http://oer.galileo.usg.edu/biology-ancillary/7" TargetMode="External"/><Relationship Id="rId16" Type="http://schemas.openxmlformats.org/officeDocument/2006/relationships/hyperlink" Target="https://www.pearson.com/us/higher-education/program/Wong-Digital-Media-Primer-3rd-Edition/PGM296540.html?tab=order" TargetMode="External"/><Relationship Id="rId221" Type="http://schemas.openxmlformats.org/officeDocument/2006/relationships/hyperlink" Target="https://affordablelearninggeorgia.org/documents/231.b_abbott_you_.pdf" TargetMode="External"/><Relationship Id="rId319" Type="http://schemas.openxmlformats.org/officeDocument/2006/relationships/hyperlink" Target="https://affordablelearninggeorgia.org/documents/M14_Tucker.pdf" TargetMode="External"/><Relationship Id="rId526" Type="http://schemas.openxmlformats.org/officeDocument/2006/relationships/hyperlink" Target="https://openstax.org/details/books/concepts-biology" TargetMode="External"/><Relationship Id="rId733" Type="http://schemas.openxmlformats.org/officeDocument/2006/relationships/hyperlink" Target="../../../../../../:b:/g/team_sites/galileo/EZKy0UGUlgdHvOyPMg37TUYBZFsntx0nWrpvGcq9lAVLaw" TargetMode="External"/><Relationship Id="rId165" Type="http://schemas.openxmlformats.org/officeDocument/2006/relationships/hyperlink" Target="http://oer.galileo.usg.edu/mathematics-collections/6/" TargetMode="External"/><Relationship Id="rId372" Type="http://schemas.openxmlformats.org/officeDocument/2006/relationships/hyperlink" Target="https://affordablelearninggeorgia.org/documents/M53_GSU_Stickney.pdf" TargetMode="External"/><Relationship Id="rId677" Type="http://schemas.openxmlformats.org/officeDocument/2006/relationships/hyperlink" Target="../../../../../../:b:/g/team_sites/galileo/EREetKfFoxpBk7N9jzjMZB4BglYeMp6_NHXb70DTuZMvrw" TargetMode="External"/><Relationship Id="rId800" Type="http://schemas.openxmlformats.org/officeDocument/2006/relationships/hyperlink" Target="../../Grants/R15-R17/R15/Proposals/Textbook%20Transformation%20Grant/497_Farr.pdf" TargetMode="External"/><Relationship Id="rId232" Type="http://schemas.openxmlformats.org/officeDocument/2006/relationships/hyperlink" Target="https://oer.galileo.usg.edu/biology-collections/15/" TargetMode="External"/><Relationship Id="rId27" Type="http://schemas.openxmlformats.org/officeDocument/2006/relationships/hyperlink" Target="https://www.mheducation.com/highered/product/science-psychology-ll-connect-access-code-king/1260034364.html" TargetMode="External"/><Relationship Id="rId537" Type="http://schemas.openxmlformats.org/officeDocument/2006/relationships/hyperlink" Target="http://caitiefinlayson.com/worldregional/" TargetMode="External"/><Relationship Id="rId744" Type="http://schemas.openxmlformats.org/officeDocument/2006/relationships/hyperlink" Target="../../../../../../:b:/g/team_sites/galileo/Ef3XC2zl9etMohkbIpb3QLsBZNoLI1iuTAeeGFsVXF9a_A?e=gstpoe" TargetMode="External"/><Relationship Id="rId80" Type="http://schemas.openxmlformats.org/officeDocument/2006/relationships/hyperlink" Target="https://www.pearson.com/us/higher-education/product/Bennett-Using-and-Understanding-Mathematics-A-Quantitative-Reasoning-Approach-6th-Edition/9780321914620.html?tab=order" TargetMode="External"/><Relationship Id="rId176" Type="http://schemas.openxmlformats.org/officeDocument/2006/relationships/hyperlink" Target="http://oer.galileo.usg.edu/arts-collections/1/" TargetMode="External"/><Relationship Id="rId383" Type="http://schemas.openxmlformats.org/officeDocument/2006/relationships/hyperlink" Target="https://drive.google.com/open?id=17soEBVqOdTez6DpB63xKBojzw1_FDwl_" TargetMode="External"/><Relationship Id="rId590" Type="http://schemas.openxmlformats.org/officeDocument/2006/relationships/hyperlink" Target="http://thieryval.wixsite.com/liberte1001" TargetMode="External"/><Relationship Id="rId604" Type="http://schemas.openxmlformats.org/officeDocument/2006/relationships/hyperlink" Target="http://rrscholar.openrepository.com/rrscholar/pages/educ2130.html" TargetMode="External"/><Relationship Id="rId811" Type="http://schemas.openxmlformats.org/officeDocument/2006/relationships/hyperlink" Target="../../Grants/R15-R17/R15/Proposals/Mini-Grant/M105_Xu.pdf" TargetMode="External"/><Relationship Id="rId243" Type="http://schemas.openxmlformats.org/officeDocument/2006/relationships/hyperlink" Target="http://oer.galileo.usg.edu/mathematics-collections/23/" TargetMode="External"/><Relationship Id="rId450" Type="http://schemas.openxmlformats.org/officeDocument/2006/relationships/hyperlink" Target="../../../../../../:b:/g/team_sites/galileo/ERHZPEJUa3tMgItyDg6ROgwByJCBc9P3yhgaOYdASe0AuA" TargetMode="External"/><Relationship Id="rId688" Type="http://schemas.openxmlformats.org/officeDocument/2006/relationships/hyperlink" Target="../../../../../../:b:/g/team_sites/galileo/EY2cyEoeBptFpQJOSgosrV0Bgp7NG7j1vSkPWx10NjO_Lg" TargetMode="External"/><Relationship Id="rId38" Type="http://schemas.openxmlformats.org/officeDocument/2006/relationships/hyperlink" Target="https://www.pearson.com/us/higher-education/product/Thomas-Thomas-Calculus-Early-Transcendentals-13th-Edition/9780321884077.html?tab=order" TargetMode="External"/><Relationship Id="rId103" Type="http://schemas.openxmlformats.org/officeDocument/2006/relationships/hyperlink" Target="https://www.mheducation.com/highered/product/film-art-introduction-bordwell-thompson/M1259534952.html" TargetMode="External"/><Relationship Id="rId310" Type="http://schemas.openxmlformats.org/officeDocument/2006/relationships/hyperlink" Target="https://affordablelearninggeorgia.org/documents/359_Pienta.pdf" TargetMode="External"/><Relationship Id="rId548" Type="http://schemas.openxmlformats.org/officeDocument/2006/relationships/hyperlink" Target="https://oer.galileo.usg.edu/arts-textbooks/4" TargetMode="External"/><Relationship Id="rId755" Type="http://schemas.openxmlformats.org/officeDocument/2006/relationships/hyperlink" Target="../../../../../../:b:/g/team_sites/galileo/EVAb1-SPYxlLm1YXXnl-iQgBj1C5uF-VrSiACiiyFLGkyg?e=0jEiLs" TargetMode="External"/><Relationship Id="rId91" Type="http://schemas.openxmlformats.org/officeDocument/2006/relationships/hyperlink" Target="https://www.pearson.com/us/higher-education/program/Ciccarelli-Psychology-Plus-My-Lab-Psychology-Access-Card-Package-5th-Edition/PGM333811.html?tab=order" TargetMode="External"/><Relationship Id="rId187" Type="http://schemas.openxmlformats.org/officeDocument/2006/relationships/hyperlink" Target="http://oer.galileo.usg.edu/arts-collections/4/" TargetMode="External"/><Relationship Id="rId394" Type="http://schemas.openxmlformats.org/officeDocument/2006/relationships/hyperlink" Target="https://drive.google.com/open?id=1WGAsqwTRaTg-Mw6EnF4QqLSj3X567Sk6" TargetMode="External"/><Relationship Id="rId408" Type="http://schemas.openxmlformats.org/officeDocument/2006/relationships/hyperlink" Target="../../../../../../:b:/g/team_sites/galileo/EU4fKdELs9pNrjYS2bVOs-gBIFidnUWsG4x05b7R__GrHQ?e=XK8GLy" TargetMode="External"/><Relationship Id="rId615" Type="http://schemas.openxmlformats.org/officeDocument/2006/relationships/hyperlink" Target="https://www.merlot.org/merlot/viewMaterial.htm?id=1032522" TargetMode="External"/><Relationship Id="rId822" Type="http://schemas.openxmlformats.org/officeDocument/2006/relationships/hyperlink" Target="../../Grants/R15-R17/R16/Reviews/Applications/M110.pdf" TargetMode="External"/><Relationship Id="rId254" Type="http://schemas.openxmlformats.org/officeDocument/2006/relationships/hyperlink" Target="https://oer.galileo.usg.edu/education-collections/6" TargetMode="External"/><Relationship Id="rId699" Type="http://schemas.openxmlformats.org/officeDocument/2006/relationships/hyperlink" Target="../../../../../../:b:/g/team_sites/galileo/Eb1vkHJdxU9CufJyRIO7mzsBxf6slRed3SCemaUmHTCqsw" TargetMode="External"/><Relationship Id="rId49" Type="http://schemas.openxmlformats.org/officeDocument/2006/relationships/hyperlink" Target="http://www.mypearsonstore.com/bookstore/biology-science-for-life-9780133892307?xid=PSED" TargetMode="External"/><Relationship Id="rId114" Type="http://schemas.openxmlformats.org/officeDocument/2006/relationships/hyperlink" Target="https://www.affordablelearninggeorgia.org/documents/2014F_VSU_APPENDIXA_Proposal17.pdf" TargetMode="External"/><Relationship Id="rId461" Type="http://schemas.openxmlformats.org/officeDocument/2006/relationships/hyperlink" Target="../../../../../../:b:/g/team_sites/galileo/EcNO0RhB87VDrzLqTkHnKo8BlCX3wYT1Ck4BdUtE0wqODQ" TargetMode="External"/><Relationship Id="rId559" Type="http://schemas.openxmlformats.org/officeDocument/2006/relationships/hyperlink" Target="https://open.umn.edu/opentextbooks/BookDetail.aspx?bookId=77" TargetMode="External"/><Relationship Id="rId766" Type="http://schemas.openxmlformats.org/officeDocument/2006/relationships/hyperlink" Target="../../../../../../:b:/g/team_sites/galileo/EVrOQttPEFpNj1YTm-FWVTABcJ6SrMhKm_va8TUBJ_e35Q?e=hVChRg" TargetMode="External"/><Relationship Id="rId198" Type="http://schemas.openxmlformats.org/officeDocument/2006/relationships/hyperlink" Target="http://oer.galileo.usg.edu/arts-collections/2/" TargetMode="External"/><Relationship Id="rId321" Type="http://schemas.openxmlformats.org/officeDocument/2006/relationships/hyperlink" Target="https://affordablelearninggeorgia.org/documents/M16_Forringer.pdf" TargetMode="External"/><Relationship Id="rId419" Type="http://schemas.openxmlformats.org/officeDocument/2006/relationships/hyperlink" Target="../../../../../../:b:/g/team_sites/galileo/EUNukjOPzhdJp5YbXZZD7o0BexDY0zPAdLE-FvESxY982A?e=Ylj208" TargetMode="External"/><Relationship Id="rId626" Type="http://schemas.openxmlformats.org/officeDocument/2006/relationships/hyperlink" Target="http://libguides.gsw.edu/libr1101" TargetMode="External"/><Relationship Id="rId833" Type="http://schemas.openxmlformats.org/officeDocument/2006/relationships/hyperlink" Target="../../Grants/R15-R17/R16/Reviews/Applications/519.pdf" TargetMode="External"/><Relationship Id="rId265" Type="http://schemas.openxmlformats.org/officeDocument/2006/relationships/hyperlink" Target="https://oer.galileo.usg.edu/english-collections/5/" TargetMode="External"/><Relationship Id="rId472" Type="http://schemas.openxmlformats.org/officeDocument/2006/relationships/hyperlink" Target="../../../../../../:b:/g/team_sites/galileo/ER9plyGXGgNKv12JyiUjXGcBdbD_TTBtJtd1n0cc711KVg" TargetMode="External"/><Relationship Id="rId125" Type="http://schemas.openxmlformats.org/officeDocument/2006/relationships/hyperlink" Target="https://www.affordablelearninggeorgia.org/documents/2014F_EGSC_APPENDIXA_Proposal29.pdf" TargetMode="External"/><Relationship Id="rId332" Type="http://schemas.openxmlformats.org/officeDocument/2006/relationships/hyperlink" Target="https://affordablelearninggeorgia.org/documents/M28_Hoban.pdf" TargetMode="External"/><Relationship Id="rId777" Type="http://schemas.openxmlformats.org/officeDocument/2006/relationships/hyperlink" Target="../../../../../../:b:/g/team_sites/galileo/EesPLeotORxMunWPVkvvCxABjD7rf37a5-lXwyE7Q6xAKA?e=uErcrD" TargetMode="External"/><Relationship Id="rId637" Type="http://schemas.openxmlformats.org/officeDocument/2006/relationships/hyperlink" Target="http://libguides.daltonstate.edu/ENGL0098" TargetMode="External"/><Relationship Id="rId844" Type="http://schemas.openxmlformats.org/officeDocument/2006/relationships/hyperlink" Target="https://www.affordablelearninggeorgia.org/documents/527_proposal.pdf" TargetMode="External"/><Relationship Id="rId276" Type="http://schemas.openxmlformats.org/officeDocument/2006/relationships/hyperlink" Target="https://oer.galileo.usg.edu/geo-collections/4/" TargetMode="External"/><Relationship Id="rId483" Type="http://schemas.openxmlformats.org/officeDocument/2006/relationships/hyperlink" Target="https://openstax.org/details/books/algebra-and-trigonometry" TargetMode="External"/><Relationship Id="rId690" Type="http://schemas.openxmlformats.org/officeDocument/2006/relationships/hyperlink" Target="../../../../../../:b:/g/team_sites/galileo/EfU-O9pAx7pMh-tMmVXIjKABnY-kyIQnzQHSiXBH67y_Jg" TargetMode="External"/><Relationship Id="rId704" Type="http://schemas.openxmlformats.org/officeDocument/2006/relationships/hyperlink" Target="../../../../../../:b:/g/team_sites/galileo/EQTE_ve4yTVGo4JFJtrDSzYBC4U26cDtFlEHZJHuUZIzKA" TargetMode="External"/><Relationship Id="rId40" Type="http://schemas.openxmlformats.org/officeDocument/2006/relationships/hyperlink" Target="https://www.pearson.com/us/higher-education/product/Harris-Prentice-Hall-Reference-Guide-10th-Edition/9780134427867.html?tab=order" TargetMode="External"/><Relationship Id="rId136" Type="http://schemas.openxmlformats.org/officeDocument/2006/relationships/hyperlink" Target="https://www.affordablelearninggeorgia.org/documents/2014F_CSU_APPENDIXA_Proposal43.pdf" TargetMode="External"/><Relationship Id="rId343" Type="http://schemas.openxmlformats.org/officeDocument/2006/relationships/hyperlink" Target="https://drive.google.com/open?id=1FUhbGLzweWK5NKGaFXW37dSOtOJFxXFb" TargetMode="External"/><Relationship Id="rId550" Type="http://schemas.openxmlformats.org/officeDocument/2006/relationships/hyperlink" Target="https://www.openintro.org/stat/textbook.php" TargetMode="External"/><Relationship Id="rId788" Type="http://schemas.openxmlformats.org/officeDocument/2006/relationships/hyperlink" Target="../../Grants/R15-R17/R15/Proposals/Textbook%20Transformation%20Grant/476_Lai.pdf" TargetMode="External"/><Relationship Id="rId203" Type="http://schemas.openxmlformats.org/officeDocument/2006/relationships/hyperlink" Target="http://oer.galileo.usg.edu/physics-collections/3/" TargetMode="External"/><Relationship Id="rId648" Type="http://schemas.openxmlformats.org/officeDocument/2006/relationships/hyperlink" Target="http://oer.galileo.usg.edu/psychology-ancillary/2" TargetMode="External"/><Relationship Id="rId855" Type="http://schemas.openxmlformats.org/officeDocument/2006/relationships/hyperlink" Target="https://www.affordablelearninggeorgia.org/documents/M124_proposal.pdf" TargetMode="External"/><Relationship Id="rId287" Type="http://schemas.openxmlformats.org/officeDocument/2006/relationships/hyperlink" Target="https://affordablelearninggeorgia.org/documents/338_Karen.pdf" TargetMode="External"/><Relationship Id="rId410" Type="http://schemas.openxmlformats.org/officeDocument/2006/relationships/hyperlink" Target="../../../../../../:b:/g/team_sites/galileo/ER4s2eEIYQRDvJ8Z2nJKpyYBtvXorqcYGz6bL3ad1ZugJA?e=gzoaIU" TargetMode="External"/><Relationship Id="rId494" Type="http://schemas.openxmlformats.org/officeDocument/2006/relationships/hyperlink" Target="https://openstax.org/details/books/psychology" TargetMode="External"/><Relationship Id="rId508" Type="http://schemas.openxmlformats.org/officeDocument/2006/relationships/hyperlink" Target="https://openstax.org/details/books/biology-2e" TargetMode="External"/><Relationship Id="rId715" Type="http://schemas.openxmlformats.org/officeDocument/2006/relationships/hyperlink" Target="../../../../../../:b:/g/team_sites/galileo/EUydfBZ43OZNktnJwjQYTQoB1IVbG_WINJtGglhAFBhlpQ" TargetMode="External"/><Relationship Id="rId147" Type="http://schemas.openxmlformats.org/officeDocument/2006/relationships/hyperlink" Target="http://oer.galileo.usg.edu/infolit-collections/1/" TargetMode="External"/><Relationship Id="rId354" Type="http://schemas.openxmlformats.org/officeDocument/2006/relationships/hyperlink" Target="https://drive.google.com/open?id=1D3-5nuSLa_DKSbXSHHd5yLeIbavk5tMu" TargetMode="External"/><Relationship Id="rId799" Type="http://schemas.openxmlformats.org/officeDocument/2006/relationships/hyperlink" Target="../../Grants/R15-R17/R15/Proposals/Textbook%20Transformation%20Grant/495_Mubin.pdf" TargetMode="External"/><Relationship Id="rId51" Type="http://schemas.openxmlformats.org/officeDocument/2006/relationships/hyperlink" Target="https://www.bvtpublishing.com/book/680" TargetMode="External"/><Relationship Id="rId561" Type="http://schemas.openxmlformats.org/officeDocument/2006/relationships/hyperlink" Target="https://www.saylor.org/site/textbooks/Writing%20for%20Success.pdf" TargetMode="External"/><Relationship Id="rId659" Type="http://schemas.openxmlformats.org/officeDocument/2006/relationships/hyperlink" Target="http://oer.galileo.usg.edu/english-textbooks/14" TargetMode="External"/><Relationship Id="rId866" Type="http://schemas.microsoft.com/office/2017/10/relationships/threadedComment" Target="../threadedComments/threadedComment1.xml"/><Relationship Id="rId214" Type="http://schemas.openxmlformats.org/officeDocument/2006/relationships/hyperlink" Target="https://oer.galileo.usg.edu/compsci-collections/14/" TargetMode="External"/><Relationship Id="rId298" Type="http://schemas.openxmlformats.org/officeDocument/2006/relationships/hyperlink" Target="https://affordablelearninggeorgia.org/documents/M07_Schlieper.pdf" TargetMode="External"/><Relationship Id="rId421" Type="http://schemas.openxmlformats.org/officeDocument/2006/relationships/hyperlink" Target="../../../../../../:b:/g/team_sites/galileo/EfM4Qx0mEitMoknU5nbLivMB418ZH4Wml8a0UhOLlOGZ3w?e=aQTawn" TargetMode="External"/><Relationship Id="rId519" Type="http://schemas.openxmlformats.org/officeDocument/2006/relationships/hyperlink" Target="https://openstax.org/details/books/concepts-biology" TargetMode="External"/><Relationship Id="rId158" Type="http://schemas.openxmlformats.org/officeDocument/2006/relationships/hyperlink" Target="http://oer.galileo.usg.edu/compsci-collections/3/" TargetMode="External"/><Relationship Id="rId726" Type="http://schemas.openxmlformats.org/officeDocument/2006/relationships/hyperlink" Target="../../../../../../:b:/g/team_sites/galileo/ESW757j9PxxEsuTc_3CKOxABaSaj3jJvGZSwaWeUayJlMQ?e=bGCxnq" TargetMode="External"/><Relationship Id="rId62" Type="http://schemas.openxmlformats.org/officeDocument/2006/relationships/hyperlink" Target="https://www.cengage.com/c/calculus-8e-stewart" TargetMode="External"/><Relationship Id="rId365" Type="http://schemas.openxmlformats.org/officeDocument/2006/relationships/hyperlink" Target="https://affordablelearninggeorgia.org/documents/M43_KSU_Zhang.pdf" TargetMode="External"/><Relationship Id="rId572" Type="http://schemas.openxmlformats.org/officeDocument/2006/relationships/hyperlink" Target="http://getlibraryhelp.highlands.edu/c.php?g=836658&amp;p=5975094" TargetMode="External"/><Relationship Id="rId225" Type="http://schemas.openxmlformats.org/officeDocument/2006/relationships/hyperlink" Target="https://affordablelearninggeorgia.org/documents/231.f_gore_pace_ralston_.docx" TargetMode="External"/><Relationship Id="rId432" Type="http://schemas.openxmlformats.org/officeDocument/2006/relationships/hyperlink" Target="../../../../../../:b:/g/team_sites/galileo/EbLdzFRiZbhCtTsfeEqtno0BtBh0yJhsXBxebMG42PTmFg?e=RQWcUq" TargetMode="External"/><Relationship Id="rId737" Type="http://schemas.openxmlformats.org/officeDocument/2006/relationships/hyperlink" Target="../../../../../../:b:/g/team_sites/galileo/ETKkCqwTpgNMhD39olKw7-UBsKvdqQ5t-8zKCHTf1oO6YA" TargetMode="External"/><Relationship Id="rId73" Type="http://schemas.openxmlformats.org/officeDocument/2006/relationships/hyperlink" Target="https://www.mheducation.com/highered/product/M0078021510.html" TargetMode="External"/><Relationship Id="rId169" Type="http://schemas.openxmlformats.org/officeDocument/2006/relationships/hyperlink" Target="http://oer.galileo.usg.edu/psychology-collections/2/" TargetMode="External"/><Relationship Id="rId376" Type="http://schemas.openxmlformats.org/officeDocument/2006/relationships/hyperlink" Target="https://drive.google.com/open?id=1pZX76vEebLL7xXbPmm8CE0dFFcT7Bjdc" TargetMode="External"/><Relationship Id="rId583" Type="http://schemas.openxmlformats.org/officeDocument/2006/relationships/hyperlink" Target="http://wiki.ggc.edu/wiki/ALG:ITEC2110:Revised" TargetMode="External"/><Relationship Id="rId790" Type="http://schemas.openxmlformats.org/officeDocument/2006/relationships/hyperlink" Target="../../Grants/R15-R17/R15/Proposals/Textbook%20Transformation%20Grant/478_Jacques.pdf" TargetMode="External"/><Relationship Id="rId804" Type="http://schemas.openxmlformats.org/officeDocument/2006/relationships/hyperlink" Target="../../Grants/R15-R17/R15/Proposals/Mini-Grant/M97_Li.pdf" TargetMode="External"/><Relationship Id="rId4" Type="http://schemas.openxmlformats.org/officeDocument/2006/relationships/hyperlink" Target="../../../../../../:w:/g/team_sites/galileo/EbVG-l6PEvBCtpGLuraeljwBLmTCyEIaknEvG_LST5l3Xg?e=D7QQ9m" TargetMode="External"/><Relationship Id="rId236" Type="http://schemas.openxmlformats.org/officeDocument/2006/relationships/hyperlink" Target="https://oer.galileo.usg.edu/biology-collections/17" TargetMode="External"/><Relationship Id="rId443" Type="http://schemas.openxmlformats.org/officeDocument/2006/relationships/hyperlink" Target="../../../../../../:b:/g/team_sites/galileo/EflUPh7WyjBInwpDjX6zaBIBCSeNeu0tJT2EcsF1lfmHXA?e=fm1r8c" TargetMode="External"/><Relationship Id="rId650" Type="http://schemas.openxmlformats.org/officeDocument/2006/relationships/hyperlink" Target="https://www.oercommons.org/search?f.search=Libby+Gore&amp;f.general_subject=&amp;f.sublevel=&amp;f.alignment_standard=" TargetMode="External"/><Relationship Id="rId303" Type="http://schemas.openxmlformats.org/officeDocument/2006/relationships/hyperlink" Target="https://affordablelearninggeorgia.org/documents/350_Kersey.pdf" TargetMode="External"/><Relationship Id="rId748" Type="http://schemas.openxmlformats.org/officeDocument/2006/relationships/hyperlink" Target="../../../../../../:b:/g/team_sites/galileo/ESPSpaAe_jRHsaDU-O9HKKwBoln6yO9zqOz7ea7w2t3C9A?e=PWUhNU" TargetMode="External"/><Relationship Id="rId84" Type="http://schemas.openxmlformats.org/officeDocument/2006/relationships/hyperlink" Target="https://www.amazon.com/Health-Information-Technology-Management-Richard/dp/013159267X" TargetMode="External"/><Relationship Id="rId387" Type="http://schemas.openxmlformats.org/officeDocument/2006/relationships/hyperlink" Target="https://drive.google.com/open?id=143WSNZSGfaD3HHc2rb86c_TwMRif0F40" TargetMode="External"/><Relationship Id="rId510" Type="http://schemas.openxmlformats.org/officeDocument/2006/relationships/hyperlink" Target="https://openstax.org/details/books/college-physics" TargetMode="External"/><Relationship Id="rId594" Type="http://schemas.openxmlformats.org/officeDocument/2006/relationships/hyperlink" Target="https://oer.galileo.usg.edu/compsci-ancillary/7/" TargetMode="External"/><Relationship Id="rId608" Type="http://schemas.openxmlformats.org/officeDocument/2006/relationships/hyperlink" Target="http://getlibraryhelp.highlands.edu/c.php?g=241794" TargetMode="External"/><Relationship Id="rId815" Type="http://schemas.openxmlformats.org/officeDocument/2006/relationships/hyperlink" Target="../../Grants/R15-R17/R16/Reviews/Applications/M120.pdf" TargetMode="External"/><Relationship Id="rId247" Type="http://schemas.openxmlformats.org/officeDocument/2006/relationships/hyperlink" Target="https://oer.galileo.usg.edu/mathematics-collections/33" TargetMode="External"/><Relationship Id="rId107" Type="http://schemas.openxmlformats.org/officeDocument/2006/relationships/hyperlink" Target="https://www.pearson.com/us/higher-education/product/Eitzen-Social-Problems-13th-Edition/9780205881888.html" TargetMode="External"/><Relationship Id="rId454" Type="http://schemas.openxmlformats.org/officeDocument/2006/relationships/hyperlink" Target="../../../../../../:b:/g/team_sites/galileo/ERakuF39D1ZLqgeUw6kHpgQB9gfJgQ0aEZakP52khUAmLw" TargetMode="External"/><Relationship Id="rId661" Type="http://schemas.openxmlformats.org/officeDocument/2006/relationships/hyperlink" Target="http://oer.galileo.usg.edu/mathematics-ancillary/10" TargetMode="External"/><Relationship Id="rId759" Type="http://schemas.openxmlformats.org/officeDocument/2006/relationships/hyperlink" Target="../../../../../../:b:/g/team_sites/galileo/EejYYgGLTO9HpbJeDChP8tUBZ-NBZFvXMsorFVQdBW0_dQ?e=mGYXjO" TargetMode="External"/><Relationship Id="rId11" Type="http://schemas.openxmlformats.org/officeDocument/2006/relationships/hyperlink" Target="https://www.mheducation.com/highered/product/en-avant-beginning-french-student-edition-anderson-dolidon/M0073386464.html" TargetMode="External"/><Relationship Id="rId314" Type="http://schemas.openxmlformats.org/officeDocument/2006/relationships/hyperlink" Target="https://affordablelearninggeorgia.org/documents/364_Green.pdf" TargetMode="External"/><Relationship Id="rId398" Type="http://schemas.openxmlformats.org/officeDocument/2006/relationships/hyperlink" Target="https://drive.google.com/open?id=1_SmnCA7yt2ExR-hJRnd2_nbrl0f-Yj_9" TargetMode="External"/><Relationship Id="rId521" Type="http://schemas.openxmlformats.org/officeDocument/2006/relationships/hyperlink" Target="https://openstax.org/details/books/concepts-biology" TargetMode="External"/><Relationship Id="rId619" Type="http://schemas.openxmlformats.org/officeDocument/2006/relationships/hyperlink" Target="http://ctlsites.uga.edu/openeduc/" TargetMode="External"/><Relationship Id="rId95" Type="http://schemas.openxmlformats.org/officeDocument/2006/relationships/hyperlink" Target="https://www.pearson.com/us/higher-education/program/Blitzer-Introductory-Algebra-for-College-Students-Access-Card-Package-7th-Edition/PGM15132.html?tab=order" TargetMode="External"/><Relationship Id="rId160" Type="http://schemas.openxmlformats.org/officeDocument/2006/relationships/hyperlink" Target="http://oer.galileo.usg.edu/biology-collections/7/" TargetMode="External"/><Relationship Id="rId826" Type="http://schemas.openxmlformats.org/officeDocument/2006/relationships/hyperlink" Target="../../Grants/R15-R17/R16/Reviews/Applications/506.pdf" TargetMode="External"/><Relationship Id="rId258" Type="http://schemas.openxmlformats.org/officeDocument/2006/relationships/hyperlink" Target="https://oer.galileo.usg.edu/compsci-collections/8" TargetMode="External"/><Relationship Id="rId465" Type="http://schemas.openxmlformats.org/officeDocument/2006/relationships/hyperlink" Target="../../../../../../:b:/g/team_sites/galileo/EZ6kTFQoZY1AogLf9KRPyakBlU9FqPekY95IOxiRiXPt_w" TargetMode="External"/><Relationship Id="rId672" Type="http://schemas.openxmlformats.org/officeDocument/2006/relationships/hyperlink" Target="http://getlibraryhelp.highlands.edu/biol1010" TargetMode="External"/><Relationship Id="rId22" Type="http://schemas.openxmlformats.org/officeDocument/2006/relationships/hyperlink" Target="https://www.macmillanlearning.com/Catalog/product/psychologyineverydaylife-fourthedition-myers/valueoptions" TargetMode="External"/><Relationship Id="rId118" Type="http://schemas.openxmlformats.org/officeDocument/2006/relationships/hyperlink" Target="https://www.affordablelearninggeorgia.org/documents/2014F_Dalton_APPENDIXA_Proposal13.pdf" TargetMode="External"/><Relationship Id="rId325" Type="http://schemas.openxmlformats.org/officeDocument/2006/relationships/hyperlink" Target="https://affordablelearninggeorgia.org/documents/M21_Lupo.pdf" TargetMode="External"/><Relationship Id="rId532" Type="http://schemas.openxmlformats.org/officeDocument/2006/relationships/hyperlink" Target="https://openstax.org/details/books/american-government" TargetMode="External"/><Relationship Id="rId171" Type="http://schemas.openxmlformats.org/officeDocument/2006/relationships/hyperlink" Target="http://oer.galileo.usg.edu/communication-collections/2/" TargetMode="External"/><Relationship Id="rId837" Type="http://schemas.openxmlformats.org/officeDocument/2006/relationships/hyperlink" Target="mailto:jhkim@gsu.edu" TargetMode="External"/><Relationship Id="rId269" Type="http://schemas.openxmlformats.org/officeDocument/2006/relationships/hyperlink" Target="https://oer.galileo.usg.edu/fye-collections/2/" TargetMode="External"/><Relationship Id="rId476" Type="http://schemas.openxmlformats.org/officeDocument/2006/relationships/hyperlink" Target="https://openstax.org/details/books/university-physics-volume-1" TargetMode="External"/><Relationship Id="rId683" Type="http://schemas.openxmlformats.org/officeDocument/2006/relationships/hyperlink" Target="../../../../../../:b:/g/team_sites/galileo/EZcrkcKpM-9KmXnNK8LZMg4BtBS0RrDtoD0epTJ2-zpnDw" TargetMode="External"/><Relationship Id="rId33" Type="http://schemas.openxmlformats.org/officeDocument/2006/relationships/hyperlink" Target="https://www.cengage.com/c/precalculus-10e-larson" TargetMode="External"/><Relationship Id="rId129" Type="http://schemas.openxmlformats.org/officeDocument/2006/relationships/hyperlink" Target="https://www.affordablelearninggeorgia.org/documents/2014F_Albany_APPENDIXA_Proposal34.pdf" TargetMode="External"/><Relationship Id="rId336" Type="http://schemas.openxmlformats.org/officeDocument/2006/relationships/hyperlink" Target="https://affordablelearninggeorgia.org/documents/M33_Grissett.pdf" TargetMode="External"/><Relationship Id="rId543" Type="http://schemas.openxmlformats.org/officeDocument/2006/relationships/hyperlink" Target="https://tophat.com/marketplace/beta/oer-general-chemistry-franklin-ow/293/" TargetMode="External"/><Relationship Id="rId182" Type="http://schemas.openxmlformats.org/officeDocument/2006/relationships/hyperlink" Target="http://oer.galileo.usg.edu/psychology-collections/7/" TargetMode="External"/><Relationship Id="rId403" Type="http://schemas.openxmlformats.org/officeDocument/2006/relationships/hyperlink" Target="https://drive.google.com/open?id=1QdCEnQ4SRWacJBADcnsEPegqQHG9mDBZ" TargetMode="External"/><Relationship Id="rId750" Type="http://schemas.openxmlformats.org/officeDocument/2006/relationships/hyperlink" Target="../../../../../../:b:/g/team_sites/galileo/EX_-pjjE6XxMr51ktFMtiRgBpT8Z5UEfYO95sHNEo52FYw?e=or2sIq" TargetMode="External"/><Relationship Id="rId848" Type="http://schemas.openxmlformats.org/officeDocument/2006/relationships/hyperlink" Target="https://www.affordablelearninggeorgia.org/documents/537_proposal.pdf" TargetMode="External"/><Relationship Id="rId487" Type="http://schemas.openxmlformats.org/officeDocument/2006/relationships/hyperlink" Target="https://openstax.org/details/books/precalculus" TargetMode="External"/><Relationship Id="rId610" Type="http://schemas.openxmlformats.org/officeDocument/2006/relationships/hyperlink" Target="http://jaguware.com/pt/" TargetMode="External"/><Relationship Id="rId694" Type="http://schemas.openxmlformats.org/officeDocument/2006/relationships/hyperlink" Target="../../../../../../:b:/g/team_sites/galileo/EZ3vA1hmEAtChJt-eTMnGfMB8f6vs36KdCDnVdW7S6F4kw" TargetMode="External"/><Relationship Id="rId708" Type="http://schemas.openxmlformats.org/officeDocument/2006/relationships/hyperlink" Target="../../../../../../:b:/g/team_sites/galileo/EcjeMGBuOJBNpLe8qaIo5YgBLykijhmX18jZIl2gpw0vMg" TargetMode="External"/><Relationship Id="rId347" Type="http://schemas.openxmlformats.org/officeDocument/2006/relationships/hyperlink" Target="https://drive.google.com/open?id=1vd14S6tlOLVCw96IaAdobqsf9BLqZEWH" TargetMode="External"/><Relationship Id="rId44" Type="http://schemas.openxmlformats.org/officeDocument/2006/relationships/hyperlink" Target="https://www.pearson.com/us/higher-education/program/Reece-Campbell-Biology-Concepts-Connections-Plus-Mastering-Biology-with-e-Text-Access-Card-Package-8th-Edition/PGM214195.html?tab=order" TargetMode="External"/><Relationship Id="rId554" Type="http://schemas.openxmlformats.org/officeDocument/2006/relationships/hyperlink" Target="http://www.qcc.cuny.edu/SocialSciences/ppecorino/MEDICAL_ETHICS_TEXT/Table_of_Contents.htm" TargetMode="External"/><Relationship Id="rId761" Type="http://schemas.openxmlformats.org/officeDocument/2006/relationships/hyperlink" Target="../../../../../../:b:/g/team_sites/galileo/ETPS71VlDq5OnzRYZks5mWQBWivqggQl0WUJxRSKlUQ4hQ?e=vB7fzE" TargetMode="External"/><Relationship Id="rId859" Type="http://schemas.openxmlformats.org/officeDocument/2006/relationships/hyperlink" Target="https://www.affordablelearninggeorgia.org/documents/M132_proposal.pdf" TargetMode="External"/><Relationship Id="rId193" Type="http://schemas.openxmlformats.org/officeDocument/2006/relationships/hyperlink" Target="http://oer.galileo.usg.edu/health-collections/3/" TargetMode="External"/><Relationship Id="rId207" Type="http://schemas.openxmlformats.org/officeDocument/2006/relationships/hyperlink" Target="http://oer.galileo.usg.edu/physics-collections/2/" TargetMode="External"/><Relationship Id="rId414" Type="http://schemas.openxmlformats.org/officeDocument/2006/relationships/hyperlink" Target="../../../../../../:b:/g/team_sites/galileo/EVNcz3Lie05Dqp5qOfX-CtkBM4No8uPkJi3mWWHhK4v9HQ?e=K9bY2H" TargetMode="External"/><Relationship Id="rId498" Type="http://schemas.openxmlformats.org/officeDocument/2006/relationships/hyperlink" Target="https://openstax.org/details/books/psychology" TargetMode="External"/><Relationship Id="rId621" Type="http://schemas.openxmlformats.org/officeDocument/2006/relationships/hyperlink" Target="http://www.valdosta.edu/colleges/education/open-ed-resources/documents/link-resources-for-k-5-math-and-technology.pdf" TargetMode="External"/><Relationship Id="rId260" Type="http://schemas.openxmlformats.org/officeDocument/2006/relationships/hyperlink" Target="https://oer.galileo.usg.edu/compsci-collections/13/" TargetMode="External"/><Relationship Id="rId719" Type="http://schemas.openxmlformats.org/officeDocument/2006/relationships/hyperlink" Target="../../../../../../:b:/g/team_sites/galileo/EUkrBxoQ-8VFiqrXDNr2b44BgCocZSsxn0qIJk9Exp951g" TargetMode="External"/><Relationship Id="rId55" Type="http://schemas.openxmlformats.org/officeDocument/2006/relationships/hyperlink" Target="http://www.mypearsonstore.com/bookstore/teaching-science-through-inquiry-based-instruction-9780134515472" TargetMode="External"/><Relationship Id="rId120" Type="http://schemas.openxmlformats.org/officeDocument/2006/relationships/hyperlink" Target="https://www.affordablelearninggeorgia.org/documents/2014F_VSU_APPENDIXA_Proposal16.pdf" TargetMode="External"/><Relationship Id="rId358" Type="http://schemas.openxmlformats.org/officeDocument/2006/relationships/hyperlink" Target="https://affordablelearninggeorgia.org/documents/M37_GHC_Henderson.pdf" TargetMode="External"/><Relationship Id="rId565" Type="http://schemas.openxmlformats.org/officeDocument/2006/relationships/hyperlink" Target="http://nobaproject.com/" TargetMode="External"/><Relationship Id="rId772" Type="http://schemas.openxmlformats.org/officeDocument/2006/relationships/hyperlink" Target="../../../../../../:b:/g/team_sites/galileo/EeKY8J6zAfRLjYPEnoqu8QQBQhqWbeMKNBnTMiF3EBrrWQ?e=iUQ9Ot" TargetMode="External"/><Relationship Id="rId218" Type="http://schemas.openxmlformats.org/officeDocument/2006/relationships/hyperlink" Target="http://oer.galileo.usg.edu/biology-collections/10/" TargetMode="External"/><Relationship Id="rId425" Type="http://schemas.openxmlformats.org/officeDocument/2006/relationships/hyperlink" Target="../../../../../../:b:/g/team_sites/galileo/EZYJYHVwBU1Gk93hFnd7lCkBnZOMi0eyBJHsgIaGII_YMQ?e=TqpsOW" TargetMode="External"/><Relationship Id="rId632" Type="http://schemas.openxmlformats.org/officeDocument/2006/relationships/hyperlink" Target="http://oer.galileo.usg.edu/chemistry-ancillary/2" TargetMode="External"/><Relationship Id="rId271" Type="http://schemas.openxmlformats.org/officeDocument/2006/relationships/hyperlink" Target="https://oer.galileo.usg.edu/psychology-collections/23/" TargetMode="External"/><Relationship Id="rId66" Type="http://schemas.openxmlformats.org/officeDocument/2006/relationships/hyperlink" Target="https://www.affordablelearninggeorgia.org/about/r10_grantees/" TargetMode="External"/><Relationship Id="rId131" Type="http://schemas.openxmlformats.org/officeDocument/2006/relationships/hyperlink" Target="https://www.affordablelearninggeorgia.org/documents/2014F_KSU_APPENDIXA_Proposal37.pdf" TargetMode="External"/><Relationship Id="rId369" Type="http://schemas.openxmlformats.org/officeDocument/2006/relationships/hyperlink" Target="https://affordablelearninggeorgia.org/documents/M50_CSU_Carroll.pdf" TargetMode="External"/><Relationship Id="rId576" Type="http://schemas.openxmlformats.org/officeDocument/2006/relationships/hyperlink" Target="http://pwp.gatech.edu/gt1000-textbook/" TargetMode="External"/><Relationship Id="rId783" Type="http://schemas.openxmlformats.org/officeDocument/2006/relationships/hyperlink" Target="mailto:shenders@highlands.edu" TargetMode="External"/><Relationship Id="rId229" Type="http://schemas.openxmlformats.org/officeDocument/2006/relationships/hyperlink" Target="https://oer.galileo.usg.edu/history-collections/2" TargetMode="External"/><Relationship Id="rId436" Type="http://schemas.openxmlformats.org/officeDocument/2006/relationships/hyperlink" Target="../../../../../../:b:/g/team_sites/galileo/EU5DVEn0DtJMuHvsEAF_a5wBZFWUr2KautlpHRceQw1p-w?e=7TxFlw" TargetMode="External"/><Relationship Id="rId643" Type="http://schemas.openxmlformats.org/officeDocument/2006/relationships/hyperlink" Target="http://thieryval.wixsite.com/liberte1001" TargetMode="External"/><Relationship Id="rId850" Type="http://schemas.openxmlformats.org/officeDocument/2006/relationships/hyperlink" Target="https://www.affordablelearninggeorgia.org/documents/540_proposal.pdf" TargetMode="External"/><Relationship Id="rId77" Type="http://schemas.openxmlformats.org/officeDocument/2006/relationships/hyperlink" Target="https://www.pearson.com/us/higher-education/product/Ciccarelli-Psychology-5th-Edition/9780134636856.html?tab=overview" TargetMode="External"/><Relationship Id="rId282" Type="http://schemas.openxmlformats.org/officeDocument/2006/relationships/hyperlink" Target="https://affordablelearninggeorgia.org/documents/332_McKie-Voerste.pdf" TargetMode="External"/><Relationship Id="rId503" Type="http://schemas.openxmlformats.org/officeDocument/2006/relationships/hyperlink" Target="https://openstax.org/details/books/biology-2e" TargetMode="External"/><Relationship Id="rId587" Type="http://schemas.openxmlformats.org/officeDocument/2006/relationships/hyperlink" Target="mailto:megan.mittelstadt@uga.edu" TargetMode="External"/><Relationship Id="rId710" Type="http://schemas.openxmlformats.org/officeDocument/2006/relationships/hyperlink" Target="../../Grants/R12-R14/R14/Review/Proposals/468_GASouthern_Proposal_18500.pdf" TargetMode="External"/><Relationship Id="rId808" Type="http://schemas.openxmlformats.org/officeDocument/2006/relationships/hyperlink" Target="../../Grants/R15-R17/R15/Proposals/Mini-Grant/M101_Streator.pdf" TargetMode="External"/><Relationship Id="rId8" Type="http://schemas.openxmlformats.org/officeDocument/2006/relationships/hyperlink" Target="https://www.affordablelearninggeorgia.org/about/pilots18_grantees" TargetMode="External"/><Relationship Id="rId142" Type="http://schemas.openxmlformats.org/officeDocument/2006/relationships/hyperlink" Target="http://www.affordablelearninggeorgia.org/documents/2015S_Proposal_82.pdf" TargetMode="External"/><Relationship Id="rId447" Type="http://schemas.openxmlformats.org/officeDocument/2006/relationships/hyperlink" Target="../../../../../../:b:/g/team_sites/galileo/Eb5bkFWke7pCpxshu9LrPAoBPuLOmWRBd6mYvNpJsJbfcw" TargetMode="External"/><Relationship Id="rId794" Type="http://schemas.openxmlformats.org/officeDocument/2006/relationships/hyperlink" Target="../../Grants/R15-R17/R15/Proposals/Textbook%20Transformation%20Grant/484_Shahriar.pdf"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core.usg.edu/about/factbook/factbook-2018/2018-factbook.pdf" TargetMode="External"/><Relationship Id="rId1" Type="http://schemas.openxmlformats.org/officeDocument/2006/relationships/hyperlink" Target="https://ecore.usg.edu/about/factbook/factbook-2017/" TargetMode="External"/><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opLeftCell="A3" workbookViewId="0">
      <selection activeCell="B34" sqref="B34"/>
    </sheetView>
  </sheetViews>
  <sheetFormatPr defaultRowHeight="15" x14ac:dyDescent="0.25"/>
  <cols>
    <col min="1" max="1" width="64.42578125" customWidth="1"/>
    <col min="2" max="2" width="61" customWidth="1"/>
    <col min="3" max="3" width="84.85546875" bestFit="1" customWidth="1"/>
    <col min="4" max="4" width="19.140625" style="5" bestFit="1" customWidth="1"/>
    <col min="5" max="5" width="31.7109375" customWidth="1"/>
    <col min="6" max="6" width="26.7109375" customWidth="1"/>
    <col min="7" max="7" width="19.7109375" customWidth="1"/>
    <col min="8" max="8" width="18.42578125" bestFit="1" customWidth="1"/>
    <col min="9" max="9" width="17.85546875" bestFit="1" customWidth="1"/>
    <col min="10" max="32" width="16.28515625" bestFit="1" customWidth="1"/>
    <col min="33" max="33" width="11.28515625" customWidth="1"/>
    <col min="34" max="176" width="16.28515625" bestFit="1" customWidth="1"/>
    <col min="177" max="177" width="11.28515625" bestFit="1" customWidth="1"/>
  </cols>
  <sheetData>
    <row r="1" spans="1:4" ht="107.25" customHeight="1" x14ac:dyDescent="0.25">
      <c r="A1" s="286"/>
      <c r="B1" s="286"/>
    </row>
    <row r="2" spans="1:4" ht="31.5" x14ac:dyDescent="0.5">
      <c r="A2" s="287" t="s">
        <v>2197</v>
      </c>
      <c r="B2" s="287"/>
    </row>
    <row r="4" spans="1:4" ht="31.5" x14ac:dyDescent="0.5">
      <c r="A4" s="292" t="s">
        <v>0</v>
      </c>
      <c r="B4" s="292"/>
    </row>
    <row r="5" spans="1:4" ht="31.5" x14ac:dyDescent="0.5">
      <c r="A5" s="22" t="s">
        <v>1</v>
      </c>
      <c r="B5" s="22" t="s">
        <v>2</v>
      </c>
    </row>
    <row r="6" spans="1:4" ht="31.5" x14ac:dyDescent="0.5">
      <c r="A6" s="32">
        <v>535054.33666666667</v>
      </c>
      <c r="B6" s="238">
        <v>86834445.761101842</v>
      </c>
    </row>
    <row r="7" spans="1:4" ht="31.5" x14ac:dyDescent="0.5">
      <c r="A7" s="23"/>
      <c r="B7" s="23"/>
    </row>
    <row r="8" spans="1:4" ht="31.5" x14ac:dyDescent="0.5">
      <c r="A8" s="293" t="s">
        <v>1782</v>
      </c>
      <c r="B8" s="293"/>
    </row>
    <row r="9" spans="1:4" ht="31.5" x14ac:dyDescent="0.5">
      <c r="A9" s="22" t="s">
        <v>1</v>
      </c>
      <c r="B9" s="22" t="s">
        <v>2</v>
      </c>
    </row>
    <row r="10" spans="1:4" ht="31.5" x14ac:dyDescent="0.5">
      <c r="A10" s="32">
        <v>119816</v>
      </c>
      <c r="B10" s="234">
        <v>13328536</v>
      </c>
    </row>
    <row r="11" spans="1:4" ht="31.5" x14ac:dyDescent="0.5">
      <c r="A11" s="23"/>
      <c r="B11" s="23"/>
    </row>
    <row r="12" spans="1:4" ht="31.5" x14ac:dyDescent="0.5">
      <c r="A12" s="294" t="s">
        <v>3</v>
      </c>
      <c r="B12" s="294"/>
    </row>
    <row r="13" spans="1:4" ht="31.5" x14ac:dyDescent="0.5">
      <c r="A13" s="61" t="s">
        <v>1</v>
      </c>
      <c r="B13" s="61" t="s">
        <v>2</v>
      </c>
    </row>
    <row r="14" spans="1:4" ht="31.5" x14ac:dyDescent="0.5">
      <c r="A14" s="33">
        <f>A6+A10</f>
        <v>654870.33666666667</v>
      </c>
      <c r="B14" s="60">
        <f>B6+B10</f>
        <v>100162981.76110184</v>
      </c>
      <c r="C14" s="73" t="s">
        <v>27</v>
      </c>
      <c r="D14" s="239" t="s">
        <v>118</v>
      </c>
    </row>
    <row r="15" spans="1:4" x14ac:dyDescent="0.25">
      <c r="D15"/>
    </row>
    <row r="16" spans="1:4" ht="29.25" customHeight="1" x14ac:dyDescent="0.5">
      <c r="A16" s="288" t="s">
        <v>1772</v>
      </c>
      <c r="B16" s="288"/>
      <c r="C16" s="72" t="s">
        <v>1779</v>
      </c>
      <c r="D16"/>
    </row>
    <row r="17" spans="1:7" ht="31.5" x14ac:dyDescent="0.5">
      <c r="A17" s="290">
        <f>SUM('Grants Data'!K2:K453)</f>
        <v>6203649.5</v>
      </c>
      <c r="B17" s="290"/>
      <c r="C17" s="238">
        <v>5617471.5</v>
      </c>
      <c r="D17"/>
    </row>
    <row r="18" spans="1:7" ht="13.5" customHeight="1" x14ac:dyDescent="0.5">
      <c r="A18" s="23"/>
      <c r="B18" s="24"/>
      <c r="C18" s="69"/>
    </row>
    <row r="19" spans="1:7" ht="26.25" customHeight="1" x14ac:dyDescent="0.5">
      <c r="A19" s="289" t="s">
        <v>1781</v>
      </c>
      <c r="B19" s="289"/>
      <c r="C19" s="71" t="s">
        <v>1780</v>
      </c>
    </row>
    <row r="20" spans="1:7" ht="35.25" customHeight="1" x14ac:dyDescent="0.5">
      <c r="A20" s="290">
        <f>B6/A17</f>
        <v>13.997316541029896</v>
      </c>
      <c r="B20" s="290"/>
      <c r="C20" s="70">
        <f>B6/C17</f>
        <v>15.45792368703639</v>
      </c>
      <c r="D20" s="8"/>
    </row>
    <row r="21" spans="1:7" x14ac:dyDescent="0.25">
      <c r="E21" s="11"/>
      <c r="F21" s="11"/>
    </row>
    <row r="22" spans="1:7" ht="31.5" x14ac:dyDescent="0.5">
      <c r="A22" s="49" t="s">
        <v>4</v>
      </c>
      <c r="B22" s="23" t="s">
        <v>5</v>
      </c>
      <c r="C22" s="23" t="s">
        <v>6</v>
      </c>
      <c r="D22" s="48" t="s">
        <v>7</v>
      </c>
      <c r="E22" s="36" t="s">
        <v>8</v>
      </c>
      <c r="F22" s="37" t="s">
        <v>9</v>
      </c>
      <c r="G22" s="36" t="s">
        <v>10</v>
      </c>
    </row>
    <row r="23" spans="1:7" ht="18.75" x14ac:dyDescent="0.3">
      <c r="A23" s="28" t="s">
        <v>11</v>
      </c>
      <c r="B23" s="67">
        <f>SUM(Table1[Spring 2020 Students])</f>
        <v>51079</v>
      </c>
      <c r="C23" s="233">
        <f>SUM(Table1[Spring 2019 Students])</f>
        <v>49924</v>
      </c>
      <c r="D23" s="35">
        <f>SUM(Table1[Spring 2018 Students])</f>
        <v>34658.333333333328</v>
      </c>
      <c r="E23" s="35">
        <f>SUM(Table1[Spring 2017 Students])</f>
        <v>23789.666666666664</v>
      </c>
      <c r="F23" s="39">
        <f>SUM(Table1[Spring 2016 Students])</f>
        <v>14873.333333333332</v>
      </c>
      <c r="G23" s="35">
        <f>SUM(Table1[Spring 2015 Students])</f>
        <v>6808.666666666667</v>
      </c>
    </row>
    <row r="24" spans="1:7" ht="18.75" x14ac:dyDescent="0.3">
      <c r="A24" s="28" t="s">
        <v>12</v>
      </c>
      <c r="B24" s="67">
        <f>SUM(Table1[Summer 2020 Students])</f>
        <v>12255</v>
      </c>
      <c r="C24" s="233">
        <f>SUM(Table1[Summer 2019 Students])</f>
        <v>19734</v>
      </c>
      <c r="D24" s="35">
        <f>SUM(Table1[Summer 2018 Students])</f>
        <v>14594</v>
      </c>
      <c r="E24" s="35">
        <f>SUM(Table1[Summer 2017 Students])</f>
        <v>23924.666666666664</v>
      </c>
      <c r="F24" s="39">
        <f>SUM(Table1[Summer 2016 Students])</f>
        <v>16248.333333333332</v>
      </c>
      <c r="G24" s="35">
        <f>SUM(Table1[Summer 2015 Students])</f>
        <v>5802.6666666666661</v>
      </c>
    </row>
    <row r="25" spans="1:7" ht="18.75" x14ac:dyDescent="0.3">
      <c r="A25" s="28" t="s">
        <v>14</v>
      </c>
      <c r="B25" s="67">
        <f>SUM(Table1[Fall 2020 Students])</f>
        <v>42286</v>
      </c>
      <c r="C25" s="233">
        <f>SUM(Table1[Fall 2019 Students])</f>
        <v>46701</v>
      </c>
      <c r="D25" s="35">
        <f>SUM(Table1[Fall 2018 Students])</f>
        <v>45183</v>
      </c>
      <c r="E25" s="35">
        <f>SUM(Table1[Fall 2017 Students])</f>
        <v>32515.999999999993</v>
      </c>
      <c r="F25" s="39">
        <f>SUM(Table1[Fall 2016 Students])</f>
        <v>20797.666666666668</v>
      </c>
      <c r="G25" s="35">
        <f>SUM(Table1[Fall 2015 Students])</f>
        <v>10904.999999999998</v>
      </c>
    </row>
    <row r="26" spans="1:7" ht="18.75" x14ac:dyDescent="0.3">
      <c r="A26" s="41" t="s">
        <v>15</v>
      </c>
      <c r="B26" s="68">
        <f>SUM(B23:B25)</f>
        <v>105620</v>
      </c>
      <c r="C26" s="52">
        <f>SUM(C23:C25)</f>
        <v>116359</v>
      </c>
      <c r="D26" s="44">
        <f>SUM(D23:D25)</f>
        <v>94435.333333333328</v>
      </c>
      <c r="E26" s="44">
        <f>SUM(E23:E25)</f>
        <v>80230.333333333314</v>
      </c>
      <c r="F26" s="45">
        <f t="shared" ref="F26:G26" si="0">SUM(F23:F25)</f>
        <v>51919.333333333328</v>
      </c>
      <c r="G26" s="44">
        <f t="shared" si="0"/>
        <v>23516.333333333328</v>
      </c>
    </row>
    <row r="27" spans="1:7" ht="18.75" x14ac:dyDescent="0.3">
      <c r="A27" s="28"/>
      <c r="B27" s="66"/>
      <c r="C27" s="51"/>
      <c r="D27" s="28"/>
      <c r="E27" s="28"/>
      <c r="F27" s="38"/>
      <c r="G27" s="28"/>
    </row>
    <row r="28" spans="1:7" ht="18.75" x14ac:dyDescent="0.3">
      <c r="A28" s="28" t="s">
        <v>16</v>
      </c>
      <c r="B28" s="29">
        <f>SUM(Table1[Spring 2020 Savings])</f>
        <v>7206614.5699999994</v>
      </c>
      <c r="C28" s="53">
        <f>SUM(Table1[Spring 2019 Savings])</f>
        <v>7133387.4000000013</v>
      </c>
      <c r="D28" s="29">
        <f>SUM(Table1[Spring 2018 Savings])</f>
        <v>6503719.5666666655</v>
      </c>
      <c r="E28" s="29">
        <f>SUM(Table1[Spring 2017 Savings])</f>
        <v>4894815.9333333317</v>
      </c>
      <c r="F28" s="40">
        <f>SUM(Table1[Spring 2016 Savings])</f>
        <v>2784858.8699999996</v>
      </c>
      <c r="G28" s="29">
        <f>SUM(Table1[Spring 2015 Savings])</f>
        <v>1133941.49</v>
      </c>
    </row>
    <row r="29" spans="1:7" ht="18.75" x14ac:dyDescent="0.3">
      <c r="A29" s="28" t="s">
        <v>17</v>
      </c>
      <c r="B29" s="29">
        <f>SUM(Table1[Summer 2020 Savings])</f>
        <v>2045560.9300000002</v>
      </c>
      <c r="C29" s="53">
        <f>SUM(Table1[Summer 2019 Savings])</f>
        <v>2508530.1700000009</v>
      </c>
      <c r="D29" s="29">
        <f>SUM(Table1[Summer 2018 Savings])</f>
        <v>2696066.1599999997</v>
      </c>
      <c r="E29" s="29">
        <f>SUM(Table1[Summer 2017 Savings])</f>
        <v>4719969.5999999987</v>
      </c>
      <c r="F29" s="40">
        <f>SUM(Table1[Summer 2016 Savings])</f>
        <v>2819947.2366666659</v>
      </c>
      <c r="G29" s="29">
        <f>SUM(Table1[Summer 2015 Savings])</f>
        <v>934295.89666666673</v>
      </c>
    </row>
    <row r="30" spans="1:7" ht="18.75" x14ac:dyDescent="0.3">
      <c r="A30" s="28" t="s">
        <v>18</v>
      </c>
      <c r="B30" s="29">
        <f>SUM(Table1[Fall 2020 Savings])</f>
        <v>8153374.9000000032</v>
      </c>
      <c r="C30" s="53">
        <f>SUM(Table1[Fall 2019 Savings])</f>
        <v>7007306.2300000032</v>
      </c>
      <c r="D30" s="29">
        <f>SUM(Table1[Fall 2018 Savings])</f>
        <v>7064688.8000000017</v>
      </c>
      <c r="E30" s="29">
        <f>SUM(Table1[Fall 2017 Savings])</f>
        <v>5951483.6999999993</v>
      </c>
      <c r="F30" s="40">
        <f>SUM(Table1[Fall 2016 Savings])</f>
        <v>4028657.026666665</v>
      </c>
      <c r="G30" s="29">
        <f>SUM(Table1[Fall 2015 Savings])</f>
        <v>1875780.436666667</v>
      </c>
    </row>
    <row r="31" spans="1:7" ht="18.75" x14ac:dyDescent="0.3">
      <c r="A31" s="41" t="s">
        <v>19</v>
      </c>
      <c r="B31" s="42">
        <f>SUM(B28:B30)</f>
        <v>17405550.400000002</v>
      </c>
      <c r="C31" s="54">
        <f>SUM(C28:C30)</f>
        <v>16649223.800000004</v>
      </c>
      <c r="D31" s="42">
        <f>SUM(D28:D30)</f>
        <v>16264474.526666667</v>
      </c>
      <c r="E31" s="42">
        <f>SUM(E28:E30)</f>
        <v>15566269.233333331</v>
      </c>
      <c r="F31" s="43">
        <f t="shared" ref="F31:G31" si="1">SUM(F28:F30)</f>
        <v>9633463.133333331</v>
      </c>
      <c r="G31" s="42">
        <f t="shared" si="1"/>
        <v>3944017.8233333337</v>
      </c>
    </row>
    <row r="32" spans="1:7" ht="18.75" x14ac:dyDescent="0.3">
      <c r="A32" s="41"/>
      <c r="B32" s="42"/>
      <c r="C32" s="42"/>
      <c r="D32" s="43"/>
      <c r="E32" s="42"/>
      <c r="F32" s="9"/>
    </row>
    <row r="33" spans="1:6" ht="31.5" customHeight="1" x14ac:dyDescent="0.5">
      <c r="A33" s="291" t="s">
        <v>2198</v>
      </c>
      <c r="B33" s="291"/>
      <c r="C33" s="42"/>
      <c r="D33" s="43"/>
      <c r="E33" s="42"/>
      <c r="F33" s="9"/>
    </row>
    <row r="34" spans="1:6" ht="21" x14ac:dyDescent="0.35">
      <c r="A34" s="25" t="s">
        <v>1767</v>
      </c>
      <c r="B34" s="26">
        <f>SUMIF(Table1[Check 4 Status], "Continued", Table1[Annual Savings])</f>
        <v>21369777.234000009</v>
      </c>
      <c r="C34" s="9"/>
      <c r="D34" s="20"/>
      <c r="E34" s="9"/>
    </row>
    <row r="35" spans="1:6" ht="28.5" customHeight="1" x14ac:dyDescent="0.35">
      <c r="A35" s="25" t="s">
        <v>1768</v>
      </c>
      <c r="B35" s="34">
        <f>SUMIF(Table1[Check 4 Status], "Continued", Table1[Annual Students])</f>
        <v>132302.13</v>
      </c>
    </row>
    <row r="36" spans="1:6" ht="29.25" customHeight="1" x14ac:dyDescent="0.35">
      <c r="A36" s="25" t="s">
        <v>1770</v>
      </c>
      <c r="B36" s="27">
        <f>'eCore Savings Data'!Y34</f>
        <v>4142342</v>
      </c>
    </row>
    <row r="37" spans="1:6" ht="30.75" customHeight="1" x14ac:dyDescent="0.35">
      <c r="A37" s="25" t="s">
        <v>1769</v>
      </c>
      <c r="B37" s="34">
        <f>'eCore Savings Data'!X34</f>
        <v>36654</v>
      </c>
    </row>
    <row r="38" spans="1:6" ht="45" customHeight="1" x14ac:dyDescent="0.3">
      <c r="A38" s="41"/>
    </row>
    <row r="39" spans="1:6" ht="60" customHeight="1" x14ac:dyDescent="0.45">
      <c r="A39" s="284" t="s">
        <v>20</v>
      </c>
      <c r="B39" s="285"/>
    </row>
    <row r="40" spans="1:6" ht="58.5" customHeight="1" x14ac:dyDescent="0.25">
      <c r="A40" s="282" t="s">
        <v>1771</v>
      </c>
      <c r="B40" s="283"/>
    </row>
    <row r="41" spans="1:6" ht="114.75" customHeight="1" x14ac:dyDescent="0.25">
      <c r="A41" s="282" t="s">
        <v>1776</v>
      </c>
      <c r="B41" s="283"/>
    </row>
    <row r="42" spans="1:6" ht="66" customHeight="1" x14ac:dyDescent="0.25">
      <c r="A42" s="282" t="s">
        <v>1775</v>
      </c>
      <c r="B42" s="283"/>
    </row>
    <row r="43" spans="1:6" ht="66.75" customHeight="1" x14ac:dyDescent="0.25">
      <c r="A43" s="282" t="s">
        <v>1773</v>
      </c>
      <c r="B43" s="283"/>
    </row>
    <row r="44" spans="1:6" ht="61.5" customHeight="1" x14ac:dyDescent="0.25">
      <c r="A44" s="282" t="s">
        <v>1774</v>
      </c>
      <c r="B44" s="283"/>
    </row>
  </sheetData>
  <mergeCells count="16">
    <mergeCell ref="A33:B33"/>
    <mergeCell ref="A20:B20"/>
    <mergeCell ref="A4:B4"/>
    <mergeCell ref="A8:B8"/>
    <mergeCell ref="A12:B12"/>
    <mergeCell ref="A1:B1"/>
    <mergeCell ref="A2:B2"/>
    <mergeCell ref="A16:B16"/>
    <mergeCell ref="A19:B19"/>
    <mergeCell ref="A17:B17"/>
    <mergeCell ref="A43:B43"/>
    <mergeCell ref="A44:B44"/>
    <mergeCell ref="A39:B39"/>
    <mergeCell ref="A40:B40"/>
    <mergeCell ref="A42:B42"/>
    <mergeCell ref="A41:B41"/>
  </mergeCells>
  <phoneticPr fontId="24" type="noConversion"/>
  <pageMargins left="0.7" right="0.7" top="0.75" bottom="0.75" header="0.3" footer="0.3"/>
  <pageSetup orientation="portrait" verticalDpi="0" r:id="rId4"/>
  <drawing r:id="rId5"/>
  <tableParts count="1">
    <tablePart r:id="rId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L454"/>
  <sheetViews>
    <sheetView tabSelected="1" topLeftCell="A428" workbookViewId="0">
      <pane xSplit="1" topLeftCell="J1" activePane="topRight" state="frozen"/>
      <selection pane="topRight" activeCell="Q453" sqref="Q453"/>
    </sheetView>
  </sheetViews>
  <sheetFormatPr defaultColWidth="9.140625" defaultRowHeight="15" x14ac:dyDescent="0.25"/>
  <cols>
    <col min="1" max="1" width="11.28515625" style="143" customWidth="1"/>
    <col min="2" max="2" width="13.140625" style="143" customWidth="1"/>
    <col min="3" max="4" width="17.85546875" style="17" customWidth="1"/>
    <col min="5" max="5" width="10.5703125" style="17" customWidth="1"/>
    <col min="6" max="6" width="12.140625" style="17" customWidth="1"/>
    <col min="7" max="7" width="12.5703125" style="141" customWidth="1"/>
    <col min="8" max="8" width="17.140625" style="17" customWidth="1"/>
    <col min="9" max="9" width="12.140625" style="17" customWidth="1"/>
    <col min="10" max="10" width="66.7109375" style="17" customWidth="1"/>
    <col min="11" max="11" width="13.42578125" style="17" customWidth="1"/>
    <col min="12" max="12" width="19.85546875" style="17" customWidth="1"/>
    <col min="13" max="13" width="15.42578125" style="17" customWidth="1"/>
    <col min="14" max="14" width="22.28515625" style="17" customWidth="1"/>
    <col min="15" max="15" width="39.28515625" style="17" customWidth="1"/>
    <col min="16" max="16" width="9.42578125" style="17" customWidth="1"/>
    <col min="17" max="17" width="13" style="17" customWidth="1"/>
    <col min="18" max="18" width="11" style="17" customWidth="1"/>
    <col min="19" max="21" width="17.85546875" style="17" customWidth="1"/>
    <col min="22" max="22" width="14.28515625" style="17" customWidth="1"/>
    <col min="23" max="23" width="9.140625" style="17" customWidth="1"/>
    <col min="24" max="24" width="19.7109375" style="58" customWidth="1"/>
    <col min="25" max="25" width="12.85546875" style="21" customWidth="1"/>
    <col min="26" max="26" width="10.28515625" style="21" customWidth="1"/>
    <col min="27" max="27" width="10.7109375" style="21" customWidth="1"/>
    <col min="28" max="29" width="17.7109375" style="17" customWidth="1"/>
    <col min="30" max="30" width="17.7109375" style="21" customWidth="1"/>
    <col min="31" max="31" width="17.7109375" style="17" customWidth="1"/>
    <col min="32" max="32" width="12.140625" style="17" customWidth="1"/>
    <col min="33" max="33" width="15.42578125" style="21" customWidth="1"/>
    <col min="34" max="34" width="13.5703125" style="17" customWidth="1"/>
    <col min="35" max="35" width="15.28515625" style="21" customWidth="1"/>
    <col min="36" max="36" width="17.7109375" style="58" customWidth="1"/>
    <col min="37" max="37" width="17.7109375" style="21" customWidth="1"/>
    <col min="38" max="38" width="17.7109375" style="58" customWidth="1"/>
    <col min="39" max="39" width="17.7109375" style="21" customWidth="1"/>
    <col min="40" max="40" width="17.7109375" style="58" customWidth="1"/>
    <col min="41" max="41" width="17.7109375" style="21" customWidth="1"/>
    <col min="42" max="42" width="15.5703125" style="58" customWidth="1"/>
    <col min="43" max="43" width="16.5703125" style="21" customWidth="1"/>
    <col min="44" max="44" width="17.7109375" style="58" customWidth="1"/>
    <col min="45" max="45" width="17.7109375" style="21" customWidth="1"/>
    <col min="46" max="46" width="17.7109375" style="58" customWidth="1"/>
    <col min="47" max="47" width="17.7109375" style="31" customWidth="1"/>
    <col min="48" max="48" width="17.7109375" style="58" customWidth="1"/>
    <col min="49" max="49" width="17.7109375" style="31" customWidth="1"/>
    <col min="50" max="50" width="17.7109375" style="58" customWidth="1"/>
    <col min="51" max="51" width="17.7109375" style="31" customWidth="1"/>
    <col min="52" max="52" width="17.7109375" style="58" customWidth="1"/>
    <col min="53" max="53" width="17.7109375" style="31" customWidth="1"/>
    <col min="54" max="54" width="17.7109375" style="58" customWidth="1"/>
    <col min="55" max="55" width="17.7109375" style="31" customWidth="1"/>
    <col min="56" max="56" width="17.7109375" style="58" customWidth="1"/>
    <col min="57" max="57" width="17.7109375" style="31" customWidth="1"/>
    <col min="58" max="58" width="17.7109375" style="58" customWidth="1"/>
    <col min="59" max="59" width="17.7109375" style="31" customWidth="1"/>
    <col min="60" max="62" width="17.7109375" style="58" customWidth="1"/>
    <col min="63" max="63" width="17.7109375" style="17" customWidth="1"/>
    <col min="64" max="64" width="17" style="31" customWidth="1"/>
    <col min="65" max="65" width="9.140625" style="31"/>
    <col min="66" max="66" width="13.28515625" style="31" customWidth="1"/>
    <col min="67" max="67" width="13.140625" style="31" customWidth="1"/>
    <col min="68" max="68" width="8.7109375" style="111" customWidth="1"/>
    <col min="69" max="69" width="15.28515625" style="58" customWidth="1"/>
    <col min="70" max="70" width="13.140625" style="31" customWidth="1"/>
    <col min="71" max="71" width="15.140625" style="58" customWidth="1"/>
    <col min="72" max="72" width="16.140625" style="21" customWidth="1"/>
    <col min="73" max="73" width="16.140625" style="31" customWidth="1"/>
    <col min="74" max="74" width="13.140625" style="17" customWidth="1"/>
    <col min="75" max="76" width="19.5703125" style="17" customWidth="1"/>
    <col min="77" max="79" width="9.140625" style="21"/>
    <col min="80" max="80" width="14.140625" style="17" customWidth="1"/>
    <col min="81" max="81" width="20" style="58" customWidth="1"/>
    <col min="82" max="83" width="19.5703125" style="17" customWidth="1"/>
    <col min="84" max="84" width="10.7109375" style="21" customWidth="1"/>
    <col min="85" max="85" width="14.5703125" style="17" customWidth="1"/>
    <col min="86" max="86" width="12.85546875" style="21" customWidth="1"/>
    <col min="87" max="87" width="14.28515625" style="21" customWidth="1"/>
    <col min="88" max="88" width="16.140625" style="21" customWidth="1"/>
    <col min="89" max="89" width="16.140625" style="31" customWidth="1"/>
    <col min="90" max="90" width="16.140625" style="21" customWidth="1"/>
    <col min="91" max="91" width="16.140625" style="31" customWidth="1"/>
    <col min="92" max="92" width="16.140625" style="141" customWidth="1"/>
    <col min="93" max="102" width="16.140625" style="31" customWidth="1"/>
    <col min="103" max="103" width="16.140625" style="21" customWidth="1"/>
    <col min="104" max="104" width="16.140625" style="31" customWidth="1"/>
    <col min="105" max="105" width="16.140625" style="21" customWidth="1"/>
    <col min="106" max="112" width="16.140625" style="31" customWidth="1"/>
    <col min="113" max="113" width="17.7109375" style="207" customWidth="1"/>
    <col min="114" max="114" width="17.7109375" style="58" customWidth="1"/>
    <col min="115" max="115" width="17.7109375" style="31" customWidth="1"/>
    <col min="116" max="117" width="17.7109375" style="58" customWidth="1"/>
    <col min="118" max="118" width="17.7109375" style="17" customWidth="1"/>
    <col min="119" max="127" width="9.140625" style="17"/>
    <col min="128" max="128" width="15.7109375" style="17" customWidth="1"/>
    <col min="129" max="132" width="15.28515625" style="17" customWidth="1"/>
    <col min="133" max="133" width="15.28515625" style="21" customWidth="1"/>
    <col min="134" max="134" width="28.42578125" style="58" customWidth="1"/>
    <col min="135" max="136" width="29.140625" style="21" customWidth="1"/>
    <col min="137" max="16384" width="9.140625" style="17"/>
  </cols>
  <sheetData>
    <row r="1" spans="1:136" s="93" customFormat="1" ht="60" x14ac:dyDescent="0.25">
      <c r="A1" s="94" t="s">
        <v>21</v>
      </c>
      <c r="B1" s="94" t="s">
        <v>2010</v>
      </c>
      <c r="C1" s="94" t="s">
        <v>2012</v>
      </c>
      <c r="D1" s="93" t="s">
        <v>22</v>
      </c>
      <c r="E1" s="93" t="s">
        <v>23</v>
      </c>
      <c r="F1" s="93" t="s">
        <v>24</v>
      </c>
      <c r="G1" s="144" t="s">
        <v>25</v>
      </c>
      <c r="H1" s="144" t="s">
        <v>26</v>
      </c>
      <c r="I1" s="93" t="s">
        <v>27</v>
      </c>
      <c r="J1" s="93" t="s">
        <v>28</v>
      </c>
      <c r="K1" s="93" t="s">
        <v>29</v>
      </c>
      <c r="L1" s="93" t="s">
        <v>2085</v>
      </c>
      <c r="M1" s="93" t="s">
        <v>30</v>
      </c>
      <c r="N1" s="93" t="s">
        <v>31</v>
      </c>
      <c r="O1" s="93" t="s">
        <v>32</v>
      </c>
      <c r="P1" s="93" t="s">
        <v>33</v>
      </c>
      <c r="Q1" s="93" t="s">
        <v>34</v>
      </c>
      <c r="R1" s="93" t="s">
        <v>35</v>
      </c>
      <c r="S1" s="93" t="s">
        <v>36</v>
      </c>
      <c r="T1" s="93" t="s">
        <v>37</v>
      </c>
      <c r="U1" s="93" t="s">
        <v>38</v>
      </c>
      <c r="V1" s="93" t="s">
        <v>39</v>
      </c>
      <c r="W1" s="93" t="s">
        <v>40</v>
      </c>
      <c r="X1" s="93" t="s">
        <v>41</v>
      </c>
      <c r="Y1" s="145" t="s">
        <v>42</v>
      </c>
      <c r="Z1" s="146" t="s">
        <v>43</v>
      </c>
      <c r="AA1" s="147" t="s">
        <v>44</v>
      </c>
      <c r="AB1" s="148" t="s">
        <v>45</v>
      </c>
      <c r="AC1" s="148" t="s">
        <v>46</v>
      </c>
      <c r="AD1" s="148" t="s">
        <v>47</v>
      </c>
      <c r="AE1" s="146" t="s">
        <v>48</v>
      </c>
      <c r="AF1" s="93" t="s">
        <v>49</v>
      </c>
      <c r="AG1" s="93" t="s">
        <v>50</v>
      </c>
      <c r="AH1" s="93" t="s">
        <v>51</v>
      </c>
      <c r="AI1" s="93" t="s">
        <v>52</v>
      </c>
      <c r="AJ1" s="148" t="s">
        <v>53</v>
      </c>
      <c r="AK1" s="147" t="s">
        <v>54</v>
      </c>
      <c r="AL1" s="148" t="s">
        <v>55</v>
      </c>
      <c r="AM1" s="147" t="s">
        <v>56</v>
      </c>
      <c r="AN1" s="148" t="s">
        <v>57</v>
      </c>
      <c r="AO1" s="147" t="s">
        <v>58</v>
      </c>
      <c r="AP1" s="148" t="s">
        <v>59</v>
      </c>
      <c r="AQ1" s="147" t="s">
        <v>60</v>
      </c>
      <c r="AR1" s="148" t="s">
        <v>61</v>
      </c>
      <c r="AS1" s="147" t="s">
        <v>62</v>
      </c>
      <c r="AT1" s="148" t="s">
        <v>63</v>
      </c>
      <c r="AU1" s="147" t="s">
        <v>64</v>
      </c>
      <c r="AV1" s="148" t="s">
        <v>65</v>
      </c>
      <c r="AW1" s="147" t="s">
        <v>66</v>
      </c>
      <c r="AX1" s="149" t="s">
        <v>67</v>
      </c>
      <c r="AY1" s="147" t="s">
        <v>68</v>
      </c>
      <c r="AZ1" s="149" t="s">
        <v>69</v>
      </c>
      <c r="BA1" s="147" t="s">
        <v>70</v>
      </c>
      <c r="BB1" s="149" t="s">
        <v>71</v>
      </c>
      <c r="BC1" s="147" t="s">
        <v>72</v>
      </c>
      <c r="BD1" s="149" t="s">
        <v>73</v>
      </c>
      <c r="BE1" s="147" t="s">
        <v>74</v>
      </c>
      <c r="BF1" s="149" t="s">
        <v>75</v>
      </c>
      <c r="BG1" s="147" t="s">
        <v>76</v>
      </c>
      <c r="BH1" s="149" t="s">
        <v>77</v>
      </c>
      <c r="BI1" s="147" t="s">
        <v>78</v>
      </c>
      <c r="BJ1" s="149" t="s">
        <v>79</v>
      </c>
      <c r="BK1" s="147" t="s">
        <v>80</v>
      </c>
      <c r="BL1" s="150" t="s">
        <v>81</v>
      </c>
      <c r="BM1" s="151" t="s">
        <v>82</v>
      </c>
      <c r="BN1" s="151" t="s">
        <v>83</v>
      </c>
      <c r="BO1" s="151" t="s">
        <v>84</v>
      </c>
      <c r="BP1" s="151" t="s">
        <v>85</v>
      </c>
      <c r="BQ1" s="152" t="s">
        <v>86</v>
      </c>
      <c r="BR1" s="152" t="s">
        <v>87</v>
      </c>
      <c r="BS1" s="149" t="s">
        <v>88</v>
      </c>
      <c r="BT1" s="147" t="s">
        <v>89</v>
      </c>
      <c r="BU1" s="149" t="s">
        <v>90</v>
      </c>
      <c r="BV1" s="147" t="s">
        <v>91</v>
      </c>
      <c r="BW1" s="148" t="s">
        <v>92</v>
      </c>
      <c r="BX1" s="147" t="s">
        <v>93</v>
      </c>
      <c r="BY1" s="149" t="s">
        <v>94</v>
      </c>
      <c r="BZ1" s="147" t="s">
        <v>95</v>
      </c>
      <c r="CA1" s="147" t="s">
        <v>96</v>
      </c>
      <c r="CB1" s="153" t="s">
        <v>97</v>
      </c>
      <c r="CC1" s="153" t="s">
        <v>98</v>
      </c>
      <c r="CD1" s="153" t="s">
        <v>99</v>
      </c>
      <c r="CE1" s="150" t="s">
        <v>100</v>
      </c>
      <c r="CF1" s="152" t="s">
        <v>101</v>
      </c>
      <c r="CG1" s="154" t="s">
        <v>102</v>
      </c>
      <c r="CH1" s="154" t="s">
        <v>103</v>
      </c>
      <c r="CI1" s="148" t="s">
        <v>104</v>
      </c>
      <c r="CJ1" s="147" t="s">
        <v>105</v>
      </c>
      <c r="CK1" s="148" t="s">
        <v>106</v>
      </c>
      <c r="CL1" s="147" t="s">
        <v>107</v>
      </c>
      <c r="CM1" s="148" t="s">
        <v>108</v>
      </c>
      <c r="CN1" s="147" t="s">
        <v>109</v>
      </c>
      <c r="CO1" s="148" t="s">
        <v>110</v>
      </c>
      <c r="CP1" s="147" t="s">
        <v>111</v>
      </c>
      <c r="CQ1" s="231" t="s">
        <v>2184</v>
      </c>
      <c r="CR1" s="231" t="s">
        <v>2185</v>
      </c>
      <c r="CS1" s="231" t="s">
        <v>2186</v>
      </c>
      <c r="CT1" s="231" t="s">
        <v>2187</v>
      </c>
      <c r="CU1" s="231" t="s">
        <v>2188</v>
      </c>
      <c r="CV1" s="231" t="s">
        <v>2182</v>
      </c>
      <c r="CW1" s="231" t="s">
        <v>2183</v>
      </c>
      <c r="CX1" s="231" t="s">
        <v>2193</v>
      </c>
      <c r="CY1" s="148" t="s">
        <v>2089</v>
      </c>
      <c r="CZ1" s="147" t="s">
        <v>2090</v>
      </c>
      <c r="DA1" s="148" t="s">
        <v>2190</v>
      </c>
      <c r="DB1" s="147" t="s">
        <v>2189</v>
      </c>
      <c r="DC1" s="147" t="s">
        <v>2191</v>
      </c>
      <c r="DD1" s="147" t="s">
        <v>2192</v>
      </c>
      <c r="DE1" s="147" t="s">
        <v>2194</v>
      </c>
      <c r="DF1" s="147" t="s">
        <v>2195</v>
      </c>
      <c r="DG1" s="155" t="s">
        <v>112</v>
      </c>
      <c r="DH1" s="147" t="s">
        <v>113</v>
      </c>
      <c r="DI1" s="156" t="s">
        <v>114</v>
      </c>
    </row>
    <row r="2" spans="1:136" x14ac:dyDescent="0.25">
      <c r="A2" s="157" t="s">
        <v>115</v>
      </c>
      <c r="B2" s="17" t="s">
        <v>2011</v>
      </c>
      <c r="D2" s="97" t="s">
        <v>116</v>
      </c>
      <c r="E2" s="158">
        <v>41962</v>
      </c>
      <c r="F2" s="158">
        <v>42163</v>
      </c>
      <c r="G2" s="159" t="s">
        <v>117</v>
      </c>
      <c r="H2" s="95" t="s">
        <v>10</v>
      </c>
      <c r="I2" s="226" t="s">
        <v>118</v>
      </c>
      <c r="J2" s="17" t="s">
        <v>119</v>
      </c>
      <c r="K2" s="101">
        <v>10800</v>
      </c>
      <c r="L2" s="101"/>
      <c r="M2" s="101" t="s">
        <v>120</v>
      </c>
      <c r="N2" s="17" t="s">
        <v>121</v>
      </c>
      <c r="O2" s="101" t="s">
        <v>122</v>
      </c>
      <c r="P2" s="101" t="s">
        <v>123</v>
      </c>
      <c r="Q2" s="101" t="s">
        <v>124</v>
      </c>
      <c r="R2" s="101" t="s">
        <v>122</v>
      </c>
      <c r="S2" s="160" t="s">
        <v>36</v>
      </c>
      <c r="T2" s="101" t="s">
        <v>125</v>
      </c>
      <c r="U2" s="160" t="s">
        <v>126</v>
      </c>
      <c r="V2" s="17" t="s">
        <v>127</v>
      </c>
      <c r="W2" s="17" t="s">
        <v>127</v>
      </c>
      <c r="X2" s="17" t="s">
        <v>127</v>
      </c>
      <c r="Y2" s="58">
        <v>37380</v>
      </c>
      <c r="Z2" s="17">
        <v>420</v>
      </c>
      <c r="AA2" s="58">
        <f t="shared" ref="AA2:AA30" si="0">Y2/Z2</f>
        <v>89</v>
      </c>
      <c r="AB2" s="21">
        <f t="shared" ref="AB2:AB46" si="1">Z2/3</f>
        <v>140</v>
      </c>
      <c r="AC2" s="21">
        <f t="shared" ref="AC2:AC46" si="2">Z2/3</f>
        <v>140</v>
      </c>
      <c r="AD2" s="21">
        <f t="shared" ref="AD2:AD46" si="3">Z2/3</f>
        <v>140</v>
      </c>
      <c r="AE2" s="17" t="s">
        <v>128</v>
      </c>
      <c r="AF2" s="17" t="s">
        <v>129</v>
      </c>
      <c r="AG2" s="17"/>
      <c r="AI2" s="17" t="s">
        <v>130</v>
      </c>
      <c r="AJ2" s="21">
        <f>Table1[[#This Row],[Students Per Spring]]</f>
        <v>140</v>
      </c>
      <c r="AK2" s="58">
        <f t="shared" ref="AK2:AK30" si="4">$AA2*AJ2</f>
        <v>12460</v>
      </c>
      <c r="AL2" s="21">
        <f t="shared" ref="AL2:AL30" si="5">AJ2</f>
        <v>140</v>
      </c>
      <c r="AM2" s="58">
        <f t="shared" ref="AM2:AM30" si="6">AK2</f>
        <v>12460</v>
      </c>
      <c r="AN2" s="21">
        <f>IF(Table1[[#This Row],[Sustainability Check 1 (2017-2018) Status]]="Continued", Table1[[#This Row],[Students Per Summer]], 0)</f>
        <v>140</v>
      </c>
      <c r="AO2" s="58">
        <f t="shared" ref="AO2:AO33" si="7">$AA2*AN2</f>
        <v>12460</v>
      </c>
      <c r="AP2" s="21">
        <f>IF(Table1[[#This Row],[Sustainability Check 1 (2017-2018) Status]]="Continued", Table1[[#This Row],[Students Per Fall]], 0)</f>
        <v>140</v>
      </c>
      <c r="AQ2" s="58">
        <f t="shared" ref="AQ2:AQ33" si="8">$AA2*AP2</f>
        <v>12460</v>
      </c>
      <c r="AR2" s="21">
        <f>IF(Table1[[#This Row],[Sustainability Check 1 (2017-2018) Status]]="Continued", Table1[[#This Row],[Students Per Spring]], 0)</f>
        <v>140</v>
      </c>
      <c r="AS2" s="58">
        <f t="shared" ref="AS2:AS33" si="9">$AA2*AR2</f>
        <v>12460</v>
      </c>
      <c r="AT2" s="21">
        <f t="shared" ref="AT2:AU9" si="10">AN2+AP2+AR2</f>
        <v>420</v>
      </c>
      <c r="AU2" s="58">
        <f t="shared" si="10"/>
        <v>37380</v>
      </c>
      <c r="AV2" s="21">
        <f>IF(Table1[[#This Row],[Sustainability Check 1 (2017-2018) Status]]="Continued", Table1[[#This Row],[Students Per Summer]], 0)</f>
        <v>140</v>
      </c>
      <c r="AW2" s="58">
        <f t="shared" ref="AW2:AW9" si="11">$AA2*AV2</f>
        <v>12460</v>
      </c>
      <c r="AX2" s="31">
        <f>IF(Table1[[#This Row],[Sustainability Check 1 (2017-2018) Status]]="Continued", Table1[[#This Row],[Students Per Fall]], 0)</f>
        <v>140</v>
      </c>
      <c r="AY2" s="58">
        <f t="shared" ref="AY2:AY9" si="12">$AA2*AX2</f>
        <v>12460</v>
      </c>
      <c r="AZ2" s="31">
        <f>IF(Table1[[#This Row],[Sustainability Check 1 (2017-2018) Status]]="Continued", Table1[[#This Row],[Students Per Spring]], 0)</f>
        <v>140</v>
      </c>
      <c r="BA2" s="58">
        <f t="shared" ref="BA2:BA9" si="13">$AA2*AZ2</f>
        <v>12460</v>
      </c>
      <c r="BB2" s="31">
        <f t="shared" ref="BB2:BC9" si="14">AV2+AX2+AZ2</f>
        <v>420</v>
      </c>
      <c r="BC2" s="58">
        <f t="shared" si="14"/>
        <v>37380</v>
      </c>
      <c r="BD2" s="31">
        <f>IF(Table1[[#This Row],[Sustainability Check 1 (2017-2018) Status]]="Continued", Table1[[#This Row],[Students Per Summer]], 0)</f>
        <v>140</v>
      </c>
      <c r="BE2" s="58">
        <f t="shared" ref="BE2:BE9" si="15">$AA2*BD2</f>
        <v>12460</v>
      </c>
      <c r="BF2" s="31">
        <f>IF(Table1[[#This Row],[Sustainability Check 1 (2017-2018) Status]]="Continued", Table1[[#This Row],[Students Per Fall]], 0)</f>
        <v>140</v>
      </c>
      <c r="BG2" s="58">
        <f t="shared" ref="BG2:BG9" si="16">$AA2*BF2</f>
        <v>12460</v>
      </c>
      <c r="BH2" s="31">
        <f>IF(Table1[[#This Row],[Sustainability Check 1 (2017-2018) Status]]="Continued", Table1[[#This Row],[Students Per Spring]], 0)</f>
        <v>140</v>
      </c>
      <c r="BI2" s="58">
        <f t="shared" ref="BI2:BI9" si="17">$AA2*BH2</f>
        <v>12460</v>
      </c>
      <c r="BJ2" s="31">
        <f t="shared" ref="BJ2:BK9" si="18">BD2+BF2+BH2</f>
        <v>420</v>
      </c>
      <c r="BK2" s="58">
        <f t="shared" si="18"/>
        <v>37380</v>
      </c>
      <c r="BL2" s="58" t="s">
        <v>130</v>
      </c>
      <c r="BM2" s="31">
        <v>100</v>
      </c>
      <c r="BN2" s="31">
        <v>200</v>
      </c>
      <c r="BO2" s="31">
        <v>200</v>
      </c>
      <c r="BP2" s="31">
        <f>SUM(BM2:BO2)</f>
        <v>500</v>
      </c>
      <c r="BQ2" s="96">
        <v>95.53</v>
      </c>
      <c r="BR2" s="58">
        <f>Table1[[#This Row],[Check 2 Students Total]]*Table1[[#This Row],[Summer 2018 Price Check]]</f>
        <v>47765</v>
      </c>
      <c r="BS2" s="31">
        <f>IF(Table1[[#This Row],[Sustainability Check 2 (2018-2019) Status]]="Continued", Table1[[#This Row],[Check 2 Students Summer]], 0)</f>
        <v>100</v>
      </c>
      <c r="BT2" s="58">
        <f>Table1[[#This Row],[Summer 2018 Price Check]]*BS2</f>
        <v>9553</v>
      </c>
      <c r="BU2" s="31">
        <f>IF(Table1[[#This Row],[Sustainability Check 2 (2018-2019) Status]]="Continued", Table1[[#This Row],[Check 2 Students Fall]], 0)</f>
        <v>200</v>
      </c>
      <c r="BV2" s="58">
        <f>Table1[[#This Row],[Summer 2018 Price Check]]*BU2</f>
        <v>19106</v>
      </c>
      <c r="BW2" s="21">
        <f>IF(Table1[[#This Row],[Sustainability Check 2 (2018-2019) Status]]="Continued", Table1[Check 2 Students Spring], 0)</f>
        <v>200</v>
      </c>
      <c r="BX2" s="58">
        <f>Table1[[#This Row],[Summer 2018 Price Check]]*Table1[[#This Row],[Spring 2019 Students]]</f>
        <v>19106</v>
      </c>
      <c r="BY2" s="31">
        <f t="shared" ref="BY2:BY65" si="19">BS2+BU2+BW2</f>
        <v>500</v>
      </c>
      <c r="BZ2" s="58">
        <f t="shared" ref="BZ2:BZ65" si="20">BT2+BV2+BX2</f>
        <v>47765</v>
      </c>
      <c r="CA2" s="58" t="s">
        <v>130</v>
      </c>
      <c r="CB2" s="21">
        <v>70</v>
      </c>
      <c r="CC2" s="21">
        <v>140</v>
      </c>
      <c r="CD2" s="21">
        <v>140</v>
      </c>
      <c r="CE2" s="21">
        <f t="shared" ref="CE2:CE33" si="21">CB2+CC2+CD2</f>
        <v>350</v>
      </c>
      <c r="CF2" s="58">
        <v>89</v>
      </c>
      <c r="CG2" s="58">
        <f t="shared" ref="CG2:CG65" si="22">(CE2*CF2)</f>
        <v>31150</v>
      </c>
      <c r="CH2" s="17" t="s">
        <v>128</v>
      </c>
      <c r="CI2" s="21">
        <f>IF(Table1[[#This Row],[Check 3 Status]]="Continued", Table1[[#This Row],[Check 3 Students Summer]], 0)</f>
        <v>70</v>
      </c>
      <c r="CJ2" s="58">
        <f>Table1[[#This Row],[Check 3 Per Student Savings]]*CI2</f>
        <v>6230</v>
      </c>
      <c r="CK2" s="21">
        <f>IF(Table1[[#This Row],[Check 3 Status]]="Continued", Table1[[#This Row],[Check 3 Students Fall]], 0)</f>
        <v>140</v>
      </c>
      <c r="CL2" s="58">
        <f>Table1[[#This Row],[Check 3 Per Student Savings]]*CK2</f>
        <v>12460</v>
      </c>
      <c r="CM2" s="21">
        <f>IF(Table1[[#This Row],[Check 3 Status]]="Continued", Table1[[#This Row],[Check 3 Students Spring]], 0)</f>
        <v>140</v>
      </c>
      <c r="CN2" s="58">
        <f>Table1[[#This Row],[Check 3 Per Student Savings]]*CM2</f>
        <v>12460</v>
      </c>
      <c r="CO2" s="21">
        <f t="shared" ref="CO2:CO65" si="23">CI2+CK2+CM2</f>
        <v>350</v>
      </c>
      <c r="CP2" s="58">
        <f t="shared" ref="CP2:CP65" si="24">CJ2+CL2+CN2</f>
        <v>31150</v>
      </c>
      <c r="CQ2" s="58" t="s">
        <v>130</v>
      </c>
      <c r="CR2" s="21">
        <v>70</v>
      </c>
      <c r="CS2" s="21">
        <v>140</v>
      </c>
      <c r="CT2" s="21">
        <v>140</v>
      </c>
      <c r="CU2" s="21">
        <f t="shared" ref="CU2:CU64" si="25">CR2+CS2+CT2</f>
        <v>350</v>
      </c>
      <c r="CV2" s="58">
        <v>89</v>
      </c>
      <c r="CW2" s="58">
        <f t="shared" ref="CW2:CW65" si="26">CU2*CV2</f>
        <v>31150</v>
      </c>
      <c r="CX2" s="58"/>
      <c r="CY2" s="21">
        <f>IF(Table1[[#This Row],[Check 4 Status]]="Continued", Table1[[#This Row],[Check 4 Students Summer]], 0)</f>
        <v>70</v>
      </c>
      <c r="CZ2" s="58">
        <f>Table1[[#This Row],[Check 4 Per Student Savings]]*CY2</f>
        <v>6230</v>
      </c>
      <c r="DA2" s="21">
        <f>IF(Table1[[#This Row],[Check 4 Status]]="Continued", Table1[[#This Row],[Check 4 Students Fall]], 0)</f>
        <v>140</v>
      </c>
      <c r="DB2" s="58">
        <f>Table1[[#This Row],[Check 4 Per Student Savings]]*DA2</f>
        <v>12460</v>
      </c>
      <c r="DC2" s="21">
        <f>IF(Table1[[#This Row],[Check 4 Status]]="Continued", Table1[[#This Row],[Check 4 Students Spring]], 0)</f>
        <v>140</v>
      </c>
      <c r="DD2" s="58">
        <f>Table1[[#This Row],[Check 4 Per Student Savings]]*DC2</f>
        <v>12460</v>
      </c>
      <c r="DE2" s="21">
        <f t="shared" ref="DE2:DE65" si="27">CY2+DA2+DC2</f>
        <v>350</v>
      </c>
      <c r="DF2" s="58">
        <f t="shared" ref="DF2:DF65" si="28">CZ2+DB2+DD2</f>
        <v>31150</v>
      </c>
      <c r="DG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2600</v>
      </c>
      <c r="DH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234665</v>
      </c>
      <c r="DI2" s="58">
        <f>Table1[[#This Row],[Grand Total Savings]]/Table1[[#This Row],[Total Award]]</f>
        <v>21.728240740740741</v>
      </c>
      <c r="DJ2" s="17"/>
      <c r="DK2" s="17"/>
      <c r="DL2" s="17"/>
      <c r="DM2" s="17"/>
      <c r="EC2" s="17"/>
      <c r="ED2" s="17"/>
      <c r="EE2" s="17"/>
      <c r="EF2" s="17"/>
    </row>
    <row r="3" spans="1:136" x14ac:dyDescent="0.25">
      <c r="A3" s="159" t="s">
        <v>131</v>
      </c>
      <c r="B3" s="17" t="s">
        <v>2011</v>
      </c>
      <c r="D3" s="97" t="s">
        <v>116</v>
      </c>
      <c r="E3" s="158">
        <v>42009</v>
      </c>
      <c r="F3" s="158">
        <v>42163</v>
      </c>
      <c r="G3" s="157" t="s">
        <v>117</v>
      </c>
      <c r="H3" s="95" t="s">
        <v>10</v>
      </c>
      <c r="I3" s="226" t="s">
        <v>118</v>
      </c>
      <c r="J3" s="17" t="s">
        <v>132</v>
      </c>
      <c r="K3" s="101">
        <v>10800</v>
      </c>
      <c r="L3" s="101"/>
      <c r="M3" s="101" t="s">
        <v>133</v>
      </c>
      <c r="N3" s="17" t="s">
        <v>134</v>
      </c>
      <c r="O3" s="101" t="s">
        <v>135</v>
      </c>
      <c r="P3" s="101" t="s">
        <v>136</v>
      </c>
      <c r="Q3" s="101" t="s">
        <v>137</v>
      </c>
      <c r="R3" s="101" t="s">
        <v>129</v>
      </c>
      <c r="S3" s="160" t="s">
        <v>36</v>
      </c>
      <c r="T3" s="101" t="s">
        <v>125</v>
      </c>
      <c r="U3" s="160" t="s">
        <v>138</v>
      </c>
      <c r="V3" s="17" t="s">
        <v>139</v>
      </c>
      <c r="W3" s="17" t="s">
        <v>139</v>
      </c>
      <c r="X3" s="17" t="s">
        <v>140</v>
      </c>
      <c r="Y3" s="58">
        <v>30468</v>
      </c>
      <c r="Z3" s="17">
        <v>240</v>
      </c>
      <c r="AA3" s="58">
        <f t="shared" si="0"/>
        <v>126.95</v>
      </c>
      <c r="AB3" s="21">
        <f t="shared" si="1"/>
        <v>80</v>
      </c>
      <c r="AC3" s="21">
        <f t="shared" si="2"/>
        <v>80</v>
      </c>
      <c r="AD3" s="21">
        <f t="shared" si="3"/>
        <v>80</v>
      </c>
      <c r="AE3" s="17" t="s">
        <v>128</v>
      </c>
      <c r="AF3" s="17" t="s">
        <v>129</v>
      </c>
      <c r="AG3" s="17"/>
      <c r="AI3" s="17" t="s">
        <v>141</v>
      </c>
      <c r="AJ3" s="21">
        <f>Table1[[#This Row],[Students Per Spring]]</f>
        <v>80</v>
      </c>
      <c r="AK3" s="58">
        <f t="shared" si="4"/>
        <v>10156</v>
      </c>
      <c r="AL3" s="21">
        <f t="shared" si="5"/>
        <v>80</v>
      </c>
      <c r="AM3" s="58">
        <f t="shared" si="6"/>
        <v>10156</v>
      </c>
      <c r="AN3" s="21">
        <f>IF(Table1[[#This Row],[Sustainability Check 1 (2017-2018) Status]]="Continued", Table1[[#This Row],[Students Per Summer]], 0)</f>
        <v>0</v>
      </c>
      <c r="AO3" s="58">
        <f t="shared" si="7"/>
        <v>0</v>
      </c>
      <c r="AP3" s="21">
        <f>IF(Table1[[#This Row],[Sustainability Check 1 (2017-2018) Status]]="Continued", Table1[[#This Row],[Students Per Fall]], 0)</f>
        <v>0</v>
      </c>
      <c r="AQ3" s="58">
        <f t="shared" si="8"/>
        <v>0</v>
      </c>
      <c r="AR3" s="21">
        <f>IF(Table1[[#This Row],[Sustainability Check 1 (2017-2018) Status]]="Continued", Table1[[#This Row],[Students Per Spring]], 0)</f>
        <v>0</v>
      </c>
      <c r="AS3" s="58">
        <f t="shared" si="9"/>
        <v>0</v>
      </c>
      <c r="AT3" s="21">
        <f t="shared" si="10"/>
        <v>0</v>
      </c>
      <c r="AU3" s="58">
        <f t="shared" si="10"/>
        <v>0</v>
      </c>
      <c r="AV3" s="21">
        <f>IF(Table1[[#This Row],[Sustainability Check 1 (2017-2018) Status]]="Continued", Table1[[#This Row],[Students Per Summer]], 0)</f>
        <v>0</v>
      </c>
      <c r="AW3" s="58">
        <f t="shared" si="11"/>
        <v>0</v>
      </c>
      <c r="AX3" s="31">
        <f>IF(Table1[[#This Row],[Sustainability Check 1 (2017-2018) Status]]="Continued", Table1[[#This Row],[Students Per Fall]], 0)</f>
        <v>0</v>
      </c>
      <c r="AY3" s="58">
        <f t="shared" si="12"/>
        <v>0</v>
      </c>
      <c r="AZ3" s="31">
        <f>IF(Table1[[#This Row],[Sustainability Check 1 (2017-2018) Status]]="Continued", Table1[[#This Row],[Students Per Spring]], 0)</f>
        <v>0</v>
      </c>
      <c r="BA3" s="58">
        <f t="shared" si="13"/>
        <v>0</v>
      </c>
      <c r="BB3" s="31">
        <f t="shared" si="14"/>
        <v>0</v>
      </c>
      <c r="BC3" s="58">
        <f t="shared" si="14"/>
        <v>0</v>
      </c>
      <c r="BD3" s="31">
        <f>IF(Table1[[#This Row],[Sustainability Check 1 (2017-2018) Status]]="Continued", Table1[[#This Row],[Students Per Summer]], 0)</f>
        <v>0</v>
      </c>
      <c r="BE3" s="58">
        <f t="shared" si="15"/>
        <v>0</v>
      </c>
      <c r="BF3" s="31">
        <f>IF(Table1[[#This Row],[Sustainability Check 1 (2017-2018) Status]]="Continued", Table1[[#This Row],[Students Per Fall]], 0)</f>
        <v>0</v>
      </c>
      <c r="BG3" s="58">
        <f t="shared" si="16"/>
        <v>0</v>
      </c>
      <c r="BH3" s="31">
        <f>IF(Table1[[#This Row],[Sustainability Check 1 (2017-2018) Status]]="Continued", Table1[[#This Row],[Students Per Spring]], 0)</f>
        <v>0</v>
      </c>
      <c r="BI3" s="58">
        <f t="shared" si="17"/>
        <v>0</v>
      </c>
      <c r="BJ3" s="31">
        <f t="shared" si="18"/>
        <v>0</v>
      </c>
      <c r="BK3" s="58">
        <f t="shared" si="18"/>
        <v>0</v>
      </c>
      <c r="BL3" s="58" t="s">
        <v>142</v>
      </c>
      <c r="BM3" s="31">
        <v>0</v>
      </c>
      <c r="BN3" s="31">
        <v>0</v>
      </c>
      <c r="BO3" s="31">
        <v>0</v>
      </c>
      <c r="BP3" s="31">
        <f>SUM(BM3:BO3)</f>
        <v>0</v>
      </c>
      <c r="BQ3" s="96">
        <v>133.97999999999999</v>
      </c>
      <c r="BR3" s="58">
        <f>Table1[[#This Row],[Check 2 Students Total]]*Table1[[#This Row],[Summer 2018 Price Check]]</f>
        <v>0</v>
      </c>
      <c r="BS3" s="31">
        <f>IF(Table1[[#This Row],[Sustainability Check 2 (2018-2019) Status]]="Continued", Table1[[#This Row],[Check 2 Students Summer]], 0)</f>
        <v>0</v>
      </c>
      <c r="BT3" s="58">
        <f>Table1[[#This Row],[Summer 2018 Price Check]]*BS3</f>
        <v>0</v>
      </c>
      <c r="BU3" s="31">
        <f>IF(Table1[[#This Row],[Sustainability Check 2 (2018-2019) Status]]="Continued", Table1[[#This Row],[Check 2 Students Fall]], 0)</f>
        <v>0</v>
      </c>
      <c r="BV3" s="58">
        <f>Table1[[#This Row],[Summer 2018 Price Check]]*BU3</f>
        <v>0</v>
      </c>
      <c r="BW3" s="21">
        <f>IF(Table1[[#This Row],[Sustainability Check 2 (2018-2019) Status]]="Continued", Table1[Check 2 Students Spring], 0)</f>
        <v>0</v>
      </c>
      <c r="BX3" s="58">
        <f>Table1[[#This Row],[Summer 2018 Price Check]]*Table1[[#This Row],[Spring 2019 Students]]</f>
        <v>0</v>
      </c>
      <c r="BY3" s="31">
        <f t="shared" si="19"/>
        <v>0</v>
      </c>
      <c r="BZ3" s="58">
        <f t="shared" si="20"/>
        <v>0</v>
      </c>
      <c r="CA3" s="58" t="s">
        <v>142</v>
      </c>
      <c r="CB3" s="21">
        <v>0</v>
      </c>
      <c r="CC3" s="21">
        <v>0</v>
      </c>
      <c r="CD3" s="21">
        <v>0</v>
      </c>
      <c r="CE3" s="21">
        <f t="shared" si="21"/>
        <v>0</v>
      </c>
      <c r="CF3" s="58">
        <v>0</v>
      </c>
      <c r="CG3" s="58">
        <f t="shared" si="22"/>
        <v>0</v>
      </c>
      <c r="CH3" s="17" t="s">
        <v>128</v>
      </c>
      <c r="CI3" s="21">
        <f>IF(Table1[[#This Row],[Check 3 Status]]="Continued", Table1[[#This Row],[Check 3 Students Summer]], 0)</f>
        <v>0</v>
      </c>
      <c r="CJ3" s="58">
        <f>Table1[[#This Row],[Check 3 Per Student Savings]]*CI3</f>
        <v>0</v>
      </c>
      <c r="CK3" s="21">
        <f>IF(Table1[[#This Row],[Check 3 Status]]="Continued", Table1[[#This Row],[Check 3 Students Fall]], 0)</f>
        <v>0</v>
      </c>
      <c r="CL3" s="58">
        <f>Table1[[#This Row],[Check 3 Per Student Savings]]*CK3</f>
        <v>0</v>
      </c>
      <c r="CM3" s="21">
        <f>IF(Table1[[#This Row],[Check 3 Status]]="Continued", Table1[[#This Row],[Check 3 Students Spring]], 0)</f>
        <v>0</v>
      </c>
      <c r="CN3" s="58">
        <f>Table1[[#This Row],[Check 3 Per Student Savings]]*CM3</f>
        <v>0</v>
      </c>
      <c r="CO3" s="21">
        <f t="shared" si="23"/>
        <v>0</v>
      </c>
      <c r="CP3" s="58">
        <f t="shared" si="24"/>
        <v>0</v>
      </c>
      <c r="CQ3" s="58" t="s">
        <v>142</v>
      </c>
      <c r="CR3" s="21">
        <v>0</v>
      </c>
      <c r="CS3" s="21">
        <v>0</v>
      </c>
      <c r="CT3" s="21">
        <v>0</v>
      </c>
      <c r="CU3" s="21">
        <f t="shared" si="25"/>
        <v>0</v>
      </c>
      <c r="CV3" s="58">
        <v>0</v>
      </c>
      <c r="CW3" s="58">
        <f t="shared" si="26"/>
        <v>0</v>
      </c>
      <c r="CX3" s="58"/>
      <c r="CY3" s="21">
        <f>IF(Table1[[#This Row],[Check 4 Status]]="Continued", Table1[[#This Row],[Check 4 Students Summer]], 0)</f>
        <v>0</v>
      </c>
      <c r="CZ3" s="58">
        <f>Table1[[#This Row],[Check 4 Per Student Savings]]*CY3</f>
        <v>0</v>
      </c>
      <c r="DA3" s="21">
        <f>IF(Table1[[#This Row],[Check 4 Status]]="Continued", Table1[[#This Row],[Check 4 Students Fall]], 0)</f>
        <v>0</v>
      </c>
      <c r="DB3" s="58">
        <f>Table1[[#This Row],[Check 4 Per Student Savings]]*DA3</f>
        <v>0</v>
      </c>
      <c r="DC3" s="21">
        <f>IF(Table1[[#This Row],[Check 4 Status]]="Continued", Table1[[#This Row],[Check 4 Students Spring]], 0)</f>
        <v>0</v>
      </c>
      <c r="DD3" s="58">
        <f>Table1[[#This Row],[Check 4 Per Student Savings]]*DC3</f>
        <v>0</v>
      </c>
      <c r="DE3" s="58">
        <f t="shared" si="27"/>
        <v>0</v>
      </c>
      <c r="DF3" s="58">
        <f t="shared" si="28"/>
        <v>0</v>
      </c>
      <c r="DG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80</v>
      </c>
      <c r="DH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10156</v>
      </c>
      <c r="DI3" s="58">
        <f>Table1[[#This Row],[Grand Total Savings]]/Table1[[#This Row],[Total Award]]</f>
        <v>0.94037037037037041</v>
      </c>
      <c r="DJ3" s="17"/>
      <c r="DK3" s="17"/>
      <c r="DL3" s="17"/>
      <c r="DM3" s="17"/>
      <c r="EC3" s="17"/>
      <c r="ED3" s="17"/>
      <c r="EE3" s="17"/>
      <c r="EF3" s="17"/>
    </row>
    <row r="4" spans="1:136" x14ac:dyDescent="0.25">
      <c r="A4" s="159" t="s">
        <v>143</v>
      </c>
      <c r="B4" s="17" t="s">
        <v>2011</v>
      </c>
      <c r="D4" s="97" t="s">
        <v>116</v>
      </c>
      <c r="E4" s="158">
        <v>41962</v>
      </c>
      <c r="F4" s="158">
        <v>42163</v>
      </c>
      <c r="G4" s="157" t="s">
        <v>117</v>
      </c>
      <c r="H4" s="95" t="s">
        <v>10</v>
      </c>
      <c r="I4" s="226" t="s">
        <v>118</v>
      </c>
      <c r="J4" s="17" t="s">
        <v>132</v>
      </c>
      <c r="K4" s="101">
        <v>10800</v>
      </c>
      <c r="L4" s="101"/>
      <c r="M4" s="101" t="s">
        <v>144</v>
      </c>
      <c r="N4" s="17" t="s">
        <v>145</v>
      </c>
      <c r="O4" s="101" t="s">
        <v>146</v>
      </c>
      <c r="P4" s="101" t="s">
        <v>147</v>
      </c>
      <c r="Q4" s="101" t="s">
        <v>148</v>
      </c>
      <c r="R4" s="101" t="s">
        <v>146</v>
      </c>
      <c r="S4" s="160" t="s">
        <v>36</v>
      </c>
      <c r="T4" s="17" t="s">
        <v>129</v>
      </c>
      <c r="U4" s="160" t="s">
        <v>149</v>
      </c>
      <c r="V4" s="17" t="s">
        <v>150</v>
      </c>
      <c r="W4" s="17" t="s">
        <v>127</v>
      </c>
      <c r="X4" s="17" t="s">
        <v>139</v>
      </c>
      <c r="Y4" s="58">
        <v>178200</v>
      </c>
      <c r="Z4" s="17">
        <v>815</v>
      </c>
      <c r="AA4" s="58">
        <f t="shared" si="0"/>
        <v>218.65030674846625</v>
      </c>
      <c r="AB4" s="21">
        <f t="shared" si="1"/>
        <v>271.66666666666669</v>
      </c>
      <c r="AC4" s="21">
        <f t="shared" si="2"/>
        <v>271.66666666666669</v>
      </c>
      <c r="AD4" s="21">
        <f t="shared" si="3"/>
        <v>271.66666666666669</v>
      </c>
      <c r="AE4" s="17" t="s">
        <v>128</v>
      </c>
      <c r="AF4" s="17" t="s">
        <v>129</v>
      </c>
      <c r="AG4" s="17"/>
      <c r="AI4" s="161" t="s">
        <v>130</v>
      </c>
      <c r="AJ4" s="21">
        <f>Table1[[#This Row],[Students Per Spring]]</f>
        <v>271.66666666666669</v>
      </c>
      <c r="AK4" s="58">
        <f t="shared" si="4"/>
        <v>59400</v>
      </c>
      <c r="AL4" s="21">
        <f t="shared" si="5"/>
        <v>271.66666666666669</v>
      </c>
      <c r="AM4" s="58">
        <f t="shared" si="6"/>
        <v>59400</v>
      </c>
      <c r="AN4" s="21">
        <f>IF(Table1[[#This Row],[Sustainability Check 1 (2017-2018) Status]]="Continued", Table1[[#This Row],[Students Per Summer]], 0)</f>
        <v>271.66666666666669</v>
      </c>
      <c r="AO4" s="58">
        <f t="shared" si="7"/>
        <v>59400</v>
      </c>
      <c r="AP4" s="21">
        <f>IF(Table1[[#This Row],[Sustainability Check 1 (2017-2018) Status]]="Continued", Table1[[#This Row],[Students Per Fall]], 0)</f>
        <v>271.66666666666669</v>
      </c>
      <c r="AQ4" s="58">
        <f t="shared" si="8"/>
        <v>59400</v>
      </c>
      <c r="AR4" s="21">
        <f>IF(Table1[[#This Row],[Sustainability Check 1 (2017-2018) Status]]="Continued", Table1[[#This Row],[Students Per Spring]], 0)</f>
        <v>271.66666666666669</v>
      </c>
      <c r="AS4" s="58">
        <f t="shared" si="9"/>
        <v>59400</v>
      </c>
      <c r="AT4" s="21">
        <f t="shared" si="10"/>
        <v>815</v>
      </c>
      <c r="AU4" s="58">
        <f t="shared" si="10"/>
        <v>178200</v>
      </c>
      <c r="AV4" s="21">
        <f>IF(Table1[[#This Row],[Sustainability Check 1 (2017-2018) Status]]="Continued", Table1[[#This Row],[Students Per Summer]], 0)</f>
        <v>271.66666666666669</v>
      </c>
      <c r="AW4" s="58">
        <f t="shared" si="11"/>
        <v>59400</v>
      </c>
      <c r="AX4" s="31">
        <f>IF(Table1[[#This Row],[Sustainability Check 1 (2017-2018) Status]]="Continued", Table1[[#This Row],[Students Per Fall]], 0)</f>
        <v>271.66666666666669</v>
      </c>
      <c r="AY4" s="58">
        <f t="shared" si="12"/>
        <v>59400</v>
      </c>
      <c r="AZ4" s="31">
        <f>IF(Table1[[#This Row],[Sustainability Check 1 (2017-2018) Status]]="Continued", Table1[[#This Row],[Students Per Spring]], 0)</f>
        <v>271.66666666666669</v>
      </c>
      <c r="BA4" s="58">
        <f t="shared" si="13"/>
        <v>59400</v>
      </c>
      <c r="BB4" s="31">
        <f t="shared" si="14"/>
        <v>815</v>
      </c>
      <c r="BC4" s="58">
        <f t="shared" si="14"/>
        <v>178200</v>
      </c>
      <c r="BD4" s="31">
        <f>IF(Table1[[#This Row],[Sustainability Check 1 (2017-2018) Status]]="Continued", Table1[[#This Row],[Students Per Summer]], 0)</f>
        <v>271.66666666666669</v>
      </c>
      <c r="BE4" s="58">
        <f t="shared" si="15"/>
        <v>59400</v>
      </c>
      <c r="BF4" s="31">
        <f>IF(Table1[[#This Row],[Sustainability Check 1 (2017-2018) Status]]="Continued", Table1[[#This Row],[Students Per Fall]], 0)</f>
        <v>271.66666666666669</v>
      </c>
      <c r="BG4" s="58">
        <f t="shared" si="16"/>
        <v>59400</v>
      </c>
      <c r="BH4" s="31">
        <f>IF(Table1[[#This Row],[Sustainability Check 1 (2017-2018) Status]]="Continued", Table1[[#This Row],[Students Per Spring]], 0)</f>
        <v>271.66666666666669</v>
      </c>
      <c r="BI4" s="58">
        <f t="shared" si="17"/>
        <v>59400</v>
      </c>
      <c r="BJ4" s="31">
        <f t="shared" si="18"/>
        <v>815</v>
      </c>
      <c r="BK4" s="58">
        <f t="shared" si="18"/>
        <v>178200</v>
      </c>
      <c r="BL4" s="58" t="s">
        <v>142</v>
      </c>
      <c r="BM4" s="31">
        <v>0</v>
      </c>
      <c r="BN4" s="31">
        <v>0</v>
      </c>
      <c r="BO4" s="31">
        <v>0</v>
      </c>
      <c r="BP4" s="31">
        <v>0</v>
      </c>
      <c r="BQ4" s="96">
        <v>364.95</v>
      </c>
      <c r="BR4" s="58">
        <f>Table1[[#This Row],[Check 2 Students Total]]*Table1[[#This Row],[Summer 2018 Price Check]]</f>
        <v>0</v>
      </c>
      <c r="BS4" s="31">
        <f>IF(Table1[[#This Row],[Sustainability Check 2 (2018-2019) Status]]="Continued", Table1[[#This Row],[Check 2 Students Summer]], 0)</f>
        <v>0</v>
      </c>
      <c r="BT4" s="58">
        <f>Table1[[#This Row],[Summer 2018 Price Check]]*BS4</f>
        <v>0</v>
      </c>
      <c r="BU4" s="31">
        <f>IF(Table1[[#This Row],[Sustainability Check 2 (2018-2019) Status]]="Continued", Table1[[#This Row],[Check 2 Students Fall]], 0)</f>
        <v>0</v>
      </c>
      <c r="BV4" s="58">
        <f>Table1[[#This Row],[Summer 2018 Price Check]]*BU4</f>
        <v>0</v>
      </c>
      <c r="BW4" s="21">
        <f>IF(Table1[[#This Row],[Sustainability Check 2 (2018-2019) Status]]="Continued", Table1[Check 2 Students Spring], 0)</f>
        <v>0</v>
      </c>
      <c r="BX4" s="58">
        <f>Table1[[#This Row],[Summer 2018 Price Check]]*Table1[[#This Row],[Spring 2019 Students]]</f>
        <v>0</v>
      </c>
      <c r="BY4" s="31">
        <f t="shared" si="19"/>
        <v>0</v>
      </c>
      <c r="BZ4" s="58">
        <f t="shared" si="20"/>
        <v>0</v>
      </c>
      <c r="CA4" s="58" t="s">
        <v>142</v>
      </c>
      <c r="CB4" s="21">
        <v>0</v>
      </c>
      <c r="CC4" s="21">
        <v>0</v>
      </c>
      <c r="CD4" s="21">
        <v>0</v>
      </c>
      <c r="CE4" s="21">
        <f t="shared" si="21"/>
        <v>0</v>
      </c>
      <c r="CF4" s="58">
        <v>0</v>
      </c>
      <c r="CG4" s="58">
        <f t="shared" si="22"/>
        <v>0</v>
      </c>
      <c r="CH4" s="17" t="s">
        <v>128</v>
      </c>
      <c r="CI4" s="21">
        <f>IF(Table1[[#This Row],[Check 3 Status]]="Continued", Table1[[#This Row],[Check 3 Students Summer]], 0)</f>
        <v>0</v>
      </c>
      <c r="CJ4" s="58">
        <f>Table1[[#This Row],[Check 3 Per Student Savings]]*CI4</f>
        <v>0</v>
      </c>
      <c r="CK4" s="21">
        <f>IF(Table1[[#This Row],[Check 3 Status]]="Continued", Table1[[#This Row],[Check 3 Students Fall]], 0)</f>
        <v>0</v>
      </c>
      <c r="CL4" s="58">
        <f>Table1[[#This Row],[Check 3 Per Student Savings]]*CK4</f>
        <v>0</v>
      </c>
      <c r="CM4" s="21">
        <f>IF(Table1[[#This Row],[Check 3 Status]]="Continued", Table1[[#This Row],[Check 3 Students Spring]], 0)</f>
        <v>0</v>
      </c>
      <c r="CN4" s="58">
        <f>Table1[[#This Row],[Check 3 Per Student Savings]]*CM4</f>
        <v>0</v>
      </c>
      <c r="CO4" s="21">
        <f t="shared" si="23"/>
        <v>0</v>
      </c>
      <c r="CP4" s="58">
        <f t="shared" si="24"/>
        <v>0</v>
      </c>
      <c r="CQ4" s="58" t="s">
        <v>142</v>
      </c>
      <c r="CR4" s="21">
        <v>0</v>
      </c>
      <c r="CS4" s="21">
        <v>0</v>
      </c>
      <c r="CT4" s="21">
        <v>0</v>
      </c>
      <c r="CU4" s="21">
        <f t="shared" si="25"/>
        <v>0</v>
      </c>
      <c r="CV4" s="58">
        <v>0</v>
      </c>
      <c r="CW4" s="58">
        <f t="shared" si="26"/>
        <v>0</v>
      </c>
      <c r="CX4" s="58"/>
      <c r="CY4" s="21">
        <f>IF(Table1[[#This Row],[Check 4 Status]]="Continued", Table1[[#This Row],[Check 4 Students Summer]], 0)</f>
        <v>0</v>
      </c>
      <c r="CZ4" s="58">
        <f>Table1[[#This Row],[Check 4 Per Student Savings]]*CY4</f>
        <v>0</v>
      </c>
      <c r="DA4" s="21">
        <f>IF(Table1[[#This Row],[Check 4 Status]]="Continued", Table1[[#This Row],[Check 4 Students Fall]], 0)</f>
        <v>0</v>
      </c>
      <c r="DB4" s="58">
        <f>Table1[[#This Row],[Check 4 Per Student Savings]]*DA4</f>
        <v>0</v>
      </c>
      <c r="DC4" s="21">
        <f>IF(Table1[[#This Row],[Check 4 Status]]="Continued", Table1[[#This Row],[Check 4 Students Spring]], 0)</f>
        <v>0</v>
      </c>
      <c r="DD4" s="58">
        <f>Table1[[#This Row],[Check 4 Per Student Savings]]*DC4</f>
        <v>0</v>
      </c>
      <c r="DE4" s="58">
        <f t="shared" si="27"/>
        <v>0</v>
      </c>
      <c r="DF4" s="58">
        <f t="shared" si="28"/>
        <v>0</v>
      </c>
      <c r="DG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2716.666666666667</v>
      </c>
      <c r="DH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594000</v>
      </c>
      <c r="DI4" s="58">
        <f>Table1[[#This Row],[Grand Total Savings]]/Table1[[#This Row],[Total Award]]</f>
        <v>55</v>
      </c>
      <c r="DJ4" s="17"/>
      <c r="DK4" s="17"/>
      <c r="DL4" s="17"/>
      <c r="DM4" s="17"/>
      <c r="EC4" s="17"/>
      <c r="ED4" s="17"/>
      <c r="EE4" s="17"/>
      <c r="EF4" s="17"/>
    </row>
    <row r="5" spans="1:136" x14ac:dyDescent="0.25">
      <c r="A5" s="157" t="s">
        <v>151</v>
      </c>
      <c r="B5" s="17" t="s">
        <v>2011</v>
      </c>
      <c r="D5" s="97" t="s">
        <v>116</v>
      </c>
      <c r="E5" s="158">
        <v>41962</v>
      </c>
      <c r="F5" s="158">
        <v>42163</v>
      </c>
      <c r="G5" s="159" t="s">
        <v>117</v>
      </c>
      <c r="H5" s="95" t="s">
        <v>10</v>
      </c>
      <c r="I5" s="226" t="s">
        <v>118</v>
      </c>
      <c r="J5" s="17" t="s">
        <v>119</v>
      </c>
      <c r="K5" s="101">
        <v>10800</v>
      </c>
      <c r="L5" s="101"/>
      <c r="M5" s="101" t="s">
        <v>152</v>
      </c>
      <c r="N5" s="17" t="s">
        <v>153</v>
      </c>
      <c r="O5" s="101" t="s">
        <v>154</v>
      </c>
      <c r="P5" s="101" t="s">
        <v>155</v>
      </c>
      <c r="Q5" s="101" t="s">
        <v>156</v>
      </c>
      <c r="R5" s="101" t="s">
        <v>129</v>
      </c>
      <c r="S5" s="101" t="s">
        <v>129</v>
      </c>
      <c r="T5" s="17" t="s">
        <v>129</v>
      </c>
      <c r="U5" s="101" t="s">
        <v>157</v>
      </c>
      <c r="V5" s="17" t="s">
        <v>150</v>
      </c>
      <c r="W5" s="17" t="s">
        <v>150</v>
      </c>
      <c r="X5" s="17" t="s">
        <v>150</v>
      </c>
      <c r="Y5" s="58">
        <v>52920</v>
      </c>
      <c r="Z5" s="17">
        <v>270</v>
      </c>
      <c r="AA5" s="58">
        <f t="shared" si="0"/>
        <v>196</v>
      </c>
      <c r="AB5" s="21">
        <f t="shared" si="1"/>
        <v>90</v>
      </c>
      <c r="AC5" s="21">
        <f t="shared" si="2"/>
        <v>90</v>
      </c>
      <c r="AD5" s="21">
        <f t="shared" si="3"/>
        <v>90</v>
      </c>
      <c r="AE5" s="17" t="s">
        <v>128</v>
      </c>
      <c r="AF5" s="17" t="s">
        <v>129</v>
      </c>
      <c r="AG5" s="17"/>
      <c r="AI5" s="17" t="s">
        <v>130</v>
      </c>
      <c r="AJ5" s="21">
        <f>Table1[[#This Row],[Students Per Spring]]</f>
        <v>90</v>
      </c>
      <c r="AK5" s="58">
        <f t="shared" si="4"/>
        <v>17640</v>
      </c>
      <c r="AL5" s="21">
        <f t="shared" si="5"/>
        <v>90</v>
      </c>
      <c r="AM5" s="58">
        <f t="shared" si="6"/>
        <v>17640</v>
      </c>
      <c r="AN5" s="21">
        <f>IF(Table1[[#This Row],[Sustainability Check 1 (2017-2018) Status]]="Continued", Table1[[#This Row],[Students Per Summer]], 0)</f>
        <v>90</v>
      </c>
      <c r="AO5" s="58">
        <f t="shared" si="7"/>
        <v>17640</v>
      </c>
      <c r="AP5" s="21">
        <f>IF(Table1[[#This Row],[Sustainability Check 1 (2017-2018) Status]]="Continued", Table1[[#This Row],[Students Per Fall]], 0)</f>
        <v>90</v>
      </c>
      <c r="AQ5" s="58">
        <f t="shared" si="8"/>
        <v>17640</v>
      </c>
      <c r="AR5" s="21">
        <f>IF(Table1[[#This Row],[Sustainability Check 1 (2017-2018) Status]]="Continued", Table1[[#This Row],[Students Per Spring]], 0)</f>
        <v>90</v>
      </c>
      <c r="AS5" s="58">
        <f t="shared" si="9"/>
        <v>17640</v>
      </c>
      <c r="AT5" s="21">
        <f t="shared" si="10"/>
        <v>270</v>
      </c>
      <c r="AU5" s="58">
        <f t="shared" si="10"/>
        <v>52920</v>
      </c>
      <c r="AV5" s="21">
        <f>IF(Table1[[#This Row],[Sustainability Check 1 (2017-2018) Status]]="Continued", Table1[[#This Row],[Students Per Summer]], 0)</f>
        <v>90</v>
      </c>
      <c r="AW5" s="58">
        <f t="shared" si="11"/>
        <v>17640</v>
      </c>
      <c r="AX5" s="31">
        <f>IF(Table1[[#This Row],[Sustainability Check 1 (2017-2018) Status]]="Continued", Table1[[#This Row],[Students Per Fall]], 0)</f>
        <v>90</v>
      </c>
      <c r="AY5" s="58">
        <f t="shared" si="12"/>
        <v>17640</v>
      </c>
      <c r="AZ5" s="31">
        <f>IF(Table1[[#This Row],[Sustainability Check 1 (2017-2018) Status]]="Continued", Table1[[#This Row],[Students Per Spring]], 0)</f>
        <v>90</v>
      </c>
      <c r="BA5" s="58">
        <f t="shared" si="13"/>
        <v>17640</v>
      </c>
      <c r="BB5" s="31">
        <f t="shared" si="14"/>
        <v>270</v>
      </c>
      <c r="BC5" s="58">
        <f t="shared" si="14"/>
        <v>52920</v>
      </c>
      <c r="BD5" s="31">
        <f>IF(Table1[[#This Row],[Sustainability Check 1 (2017-2018) Status]]="Continued", Table1[[#This Row],[Students Per Summer]], 0)</f>
        <v>90</v>
      </c>
      <c r="BE5" s="58">
        <f t="shared" si="15"/>
        <v>17640</v>
      </c>
      <c r="BF5" s="31">
        <f>IF(Table1[[#This Row],[Sustainability Check 1 (2017-2018) Status]]="Continued", Table1[[#This Row],[Students Per Fall]], 0)</f>
        <v>90</v>
      </c>
      <c r="BG5" s="58">
        <f t="shared" si="16"/>
        <v>17640</v>
      </c>
      <c r="BH5" s="31">
        <f>IF(Table1[[#This Row],[Sustainability Check 1 (2017-2018) Status]]="Continued", Table1[[#This Row],[Students Per Spring]], 0)</f>
        <v>90</v>
      </c>
      <c r="BI5" s="58">
        <f t="shared" si="17"/>
        <v>17640</v>
      </c>
      <c r="BJ5" s="31">
        <f t="shared" si="18"/>
        <v>270</v>
      </c>
      <c r="BK5" s="58">
        <f t="shared" si="18"/>
        <v>52920</v>
      </c>
      <c r="BL5" s="58" t="s">
        <v>130</v>
      </c>
      <c r="BM5" s="31">
        <v>90</v>
      </c>
      <c r="BN5" s="31">
        <v>90</v>
      </c>
      <c r="BO5" s="31">
        <v>90</v>
      </c>
      <c r="BP5" s="31">
        <f>SUM(BM5:BO5)</f>
        <v>270</v>
      </c>
      <c r="BQ5" s="96">
        <v>193.33</v>
      </c>
      <c r="BR5" s="58">
        <f>Table1[[#This Row],[Check 2 Students Total]]*Table1[[#This Row],[Summer 2018 Price Check]]</f>
        <v>52199.100000000006</v>
      </c>
      <c r="BS5" s="31">
        <f>IF(Table1[[#This Row],[Sustainability Check 2 (2018-2019) Status]]="Continued", Table1[[#This Row],[Check 2 Students Summer]], 0)</f>
        <v>90</v>
      </c>
      <c r="BT5" s="58">
        <f>Table1[[#This Row],[Summer 2018 Price Check]]*BS5</f>
        <v>17399.7</v>
      </c>
      <c r="BU5" s="31">
        <f>IF(Table1[[#This Row],[Sustainability Check 2 (2018-2019) Status]]="Continued", Table1[[#This Row],[Check 2 Students Fall]], 0)</f>
        <v>90</v>
      </c>
      <c r="BV5" s="58">
        <f>Table1[[#This Row],[Summer 2018 Price Check]]*BU5</f>
        <v>17399.7</v>
      </c>
      <c r="BW5" s="21">
        <f>IF(Table1[[#This Row],[Sustainability Check 2 (2018-2019) Status]]="Continued", Table1[Check 2 Students Spring], 0)</f>
        <v>90</v>
      </c>
      <c r="BX5" s="58">
        <f>Table1[[#This Row],[Summer 2018 Price Check]]*Table1[[#This Row],[Spring 2019 Students]]</f>
        <v>17399.7</v>
      </c>
      <c r="BY5" s="31">
        <f t="shared" si="19"/>
        <v>270</v>
      </c>
      <c r="BZ5" s="58">
        <f t="shared" si="20"/>
        <v>52199.100000000006</v>
      </c>
      <c r="CA5" s="58" t="s">
        <v>1777</v>
      </c>
      <c r="CB5" s="21"/>
      <c r="CC5" s="21"/>
      <c r="CD5" s="21"/>
      <c r="CE5" s="21">
        <f t="shared" si="21"/>
        <v>0</v>
      </c>
      <c r="CF5" s="58"/>
      <c r="CG5" s="58">
        <f t="shared" si="22"/>
        <v>0</v>
      </c>
      <c r="CH5" s="17" t="s">
        <v>128</v>
      </c>
      <c r="CI5" s="21">
        <f>IF(Table1[[#This Row],[Check 3 Status]]="Continued", Table1[[#This Row],[Check 3 Students Summer]], 0)</f>
        <v>0</v>
      </c>
      <c r="CJ5" s="58">
        <f>Table1[[#This Row],[Check 3 Per Student Savings]]*CI5</f>
        <v>0</v>
      </c>
      <c r="CK5" s="21">
        <f>IF(Table1[[#This Row],[Check 3 Status]]="Continued", Table1[[#This Row],[Check 3 Students Fall]], 0)</f>
        <v>0</v>
      </c>
      <c r="CL5" s="58">
        <f>Table1[[#This Row],[Check 3 Per Student Savings]]*CK5</f>
        <v>0</v>
      </c>
      <c r="CM5" s="21">
        <f>IF(Table1[[#This Row],[Check 3 Status]]="Continued", Table1[[#This Row],[Check 3 Students Spring]], 0)</f>
        <v>0</v>
      </c>
      <c r="CN5" s="58">
        <f>Table1[[#This Row],[Check 3 Per Student Savings]]*CM5</f>
        <v>0</v>
      </c>
      <c r="CO5" s="21">
        <f t="shared" si="23"/>
        <v>0</v>
      </c>
      <c r="CP5" s="58">
        <f t="shared" si="24"/>
        <v>0</v>
      </c>
      <c r="CQ5" s="58" t="s">
        <v>1777</v>
      </c>
      <c r="CR5" s="21"/>
      <c r="CS5" s="21"/>
      <c r="CT5" s="21"/>
      <c r="CU5" s="21">
        <f t="shared" si="25"/>
        <v>0</v>
      </c>
      <c r="CV5" s="58">
        <v>0</v>
      </c>
      <c r="CW5" s="58">
        <f t="shared" si="26"/>
        <v>0</v>
      </c>
      <c r="CX5" s="58"/>
      <c r="CY5" s="21">
        <f>IF(Table1[[#This Row],[Check 4 Status]]="Continued", Table1[[#This Row],[Check 4 Students Summer]], 0)</f>
        <v>0</v>
      </c>
      <c r="CZ5" s="58">
        <f>Table1[[#This Row],[Check 4 Per Student Savings]]*CY5</f>
        <v>0</v>
      </c>
      <c r="DA5" s="21">
        <f>IF(Table1[[#This Row],[Check 4 Status]]="Continued", Table1[[#This Row],[Check 4 Students Fall]], 0)</f>
        <v>0</v>
      </c>
      <c r="DB5" s="58">
        <f>Table1[[#This Row],[Check 4 Per Student Savings]]*DA5</f>
        <v>0</v>
      </c>
      <c r="DC5" s="21">
        <f>IF(Table1[[#This Row],[Check 4 Status]]="Continued", Table1[[#This Row],[Check 4 Students Spring]], 0)</f>
        <v>0</v>
      </c>
      <c r="DD5" s="58">
        <f>Table1[[#This Row],[Check 4 Per Student Savings]]*DC5</f>
        <v>0</v>
      </c>
      <c r="DE5" s="58">
        <f t="shared" si="27"/>
        <v>0</v>
      </c>
      <c r="DF5" s="58">
        <f t="shared" si="28"/>
        <v>0</v>
      </c>
      <c r="DG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1170</v>
      </c>
      <c r="DH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228599.1</v>
      </c>
      <c r="DI5" s="58">
        <f>Table1[[#This Row],[Grand Total Savings]]/Table1[[#This Row],[Total Award]]</f>
        <v>21.166583333333335</v>
      </c>
      <c r="DJ5" s="17"/>
      <c r="DK5" s="17"/>
      <c r="DL5" s="17"/>
      <c r="DM5" s="17"/>
      <c r="EC5" s="17"/>
      <c r="ED5" s="17"/>
      <c r="EE5" s="17"/>
      <c r="EF5" s="17"/>
    </row>
    <row r="6" spans="1:136" x14ac:dyDescent="0.25">
      <c r="A6" s="159" t="s">
        <v>158</v>
      </c>
      <c r="B6" s="17" t="s">
        <v>2011</v>
      </c>
      <c r="D6" s="97" t="s">
        <v>116</v>
      </c>
      <c r="E6" s="158">
        <v>41962</v>
      </c>
      <c r="F6" s="158">
        <v>42163</v>
      </c>
      <c r="G6" s="159" t="s">
        <v>117</v>
      </c>
      <c r="H6" s="95" t="s">
        <v>10</v>
      </c>
      <c r="I6" s="226" t="s">
        <v>118</v>
      </c>
      <c r="J6" s="17" t="s">
        <v>159</v>
      </c>
      <c r="K6" s="101">
        <v>10800</v>
      </c>
      <c r="L6" s="101"/>
      <c r="M6" s="101" t="s">
        <v>160</v>
      </c>
      <c r="N6" s="17" t="s">
        <v>161</v>
      </c>
      <c r="O6" s="101" t="s">
        <v>162</v>
      </c>
      <c r="P6" s="101" t="s">
        <v>163</v>
      </c>
      <c r="Q6" s="101" t="s">
        <v>156</v>
      </c>
      <c r="R6" s="101" t="s">
        <v>129</v>
      </c>
      <c r="S6" s="160" t="s">
        <v>36</v>
      </c>
      <c r="T6" s="17" t="s">
        <v>129</v>
      </c>
      <c r="U6" s="101" t="s">
        <v>164</v>
      </c>
      <c r="V6" s="17" t="s">
        <v>150</v>
      </c>
      <c r="W6" s="17" t="s">
        <v>127</v>
      </c>
      <c r="X6" s="17" t="s">
        <v>127</v>
      </c>
      <c r="Y6" s="58">
        <v>54072</v>
      </c>
      <c r="Z6" s="17">
        <v>360</v>
      </c>
      <c r="AA6" s="58">
        <f t="shared" si="0"/>
        <v>150.19999999999999</v>
      </c>
      <c r="AB6" s="21">
        <f t="shared" si="1"/>
        <v>120</v>
      </c>
      <c r="AC6" s="21">
        <f t="shared" si="2"/>
        <v>120</v>
      </c>
      <c r="AD6" s="21">
        <f t="shared" si="3"/>
        <v>120</v>
      </c>
      <c r="AE6" s="17" t="s">
        <v>128</v>
      </c>
      <c r="AF6" s="17" t="s">
        <v>129</v>
      </c>
      <c r="AG6" s="17"/>
      <c r="AI6" s="17" t="s">
        <v>141</v>
      </c>
      <c r="AJ6" s="21">
        <f>Table1[[#This Row],[Students Per Spring]]</f>
        <v>120</v>
      </c>
      <c r="AK6" s="58">
        <f t="shared" si="4"/>
        <v>18024</v>
      </c>
      <c r="AL6" s="21">
        <f t="shared" si="5"/>
        <v>120</v>
      </c>
      <c r="AM6" s="58">
        <f t="shared" si="6"/>
        <v>18024</v>
      </c>
      <c r="AN6" s="21">
        <f>IF(Table1[[#This Row],[Sustainability Check 1 (2017-2018) Status]]="Continued", Table1[[#This Row],[Students Per Summer]], 0)</f>
        <v>0</v>
      </c>
      <c r="AO6" s="58">
        <f t="shared" si="7"/>
        <v>0</v>
      </c>
      <c r="AP6" s="21">
        <f>IF(Table1[[#This Row],[Sustainability Check 1 (2017-2018) Status]]="Continued", Table1[[#This Row],[Students Per Fall]], 0)</f>
        <v>0</v>
      </c>
      <c r="AQ6" s="58">
        <f t="shared" si="8"/>
        <v>0</v>
      </c>
      <c r="AR6" s="21">
        <f>IF(Table1[[#This Row],[Sustainability Check 1 (2017-2018) Status]]="Continued", Table1[[#This Row],[Students Per Spring]], 0)</f>
        <v>0</v>
      </c>
      <c r="AS6" s="58">
        <f t="shared" si="9"/>
        <v>0</v>
      </c>
      <c r="AT6" s="21">
        <f t="shared" si="10"/>
        <v>0</v>
      </c>
      <c r="AU6" s="58">
        <f t="shared" si="10"/>
        <v>0</v>
      </c>
      <c r="AV6" s="21">
        <f>IF(Table1[[#This Row],[Sustainability Check 1 (2017-2018) Status]]="Continued", Table1[[#This Row],[Students Per Summer]], 0)</f>
        <v>0</v>
      </c>
      <c r="AW6" s="58">
        <f t="shared" si="11"/>
        <v>0</v>
      </c>
      <c r="AX6" s="31">
        <f>IF(Table1[[#This Row],[Sustainability Check 1 (2017-2018) Status]]="Continued", Table1[[#This Row],[Students Per Fall]], 0)</f>
        <v>0</v>
      </c>
      <c r="AY6" s="58">
        <f t="shared" si="12"/>
        <v>0</v>
      </c>
      <c r="AZ6" s="31">
        <f>IF(Table1[[#This Row],[Sustainability Check 1 (2017-2018) Status]]="Continued", Table1[[#This Row],[Students Per Spring]], 0)</f>
        <v>0</v>
      </c>
      <c r="BA6" s="58">
        <f t="shared" si="13"/>
        <v>0</v>
      </c>
      <c r="BB6" s="31">
        <f t="shared" si="14"/>
        <v>0</v>
      </c>
      <c r="BC6" s="58">
        <f t="shared" si="14"/>
        <v>0</v>
      </c>
      <c r="BD6" s="31">
        <f>IF(Table1[[#This Row],[Sustainability Check 1 (2017-2018) Status]]="Continued", Table1[[#This Row],[Students Per Summer]], 0)</f>
        <v>0</v>
      </c>
      <c r="BE6" s="58">
        <f t="shared" si="15"/>
        <v>0</v>
      </c>
      <c r="BF6" s="31">
        <f>IF(Table1[[#This Row],[Sustainability Check 1 (2017-2018) Status]]="Continued", Table1[[#This Row],[Students Per Fall]], 0)</f>
        <v>0</v>
      </c>
      <c r="BG6" s="58">
        <f t="shared" si="16"/>
        <v>0</v>
      </c>
      <c r="BH6" s="31">
        <f>IF(Table1[[#This Row],[Sustainability Check 1 (2017-2018) Status]]="Continued", Table1[[#This Row],[Students Per Spring]], 0)</f>
        <v>0</v>
      </c>
      <c r="BI6" s="58">
        <f t="shared" si="17"/>
        <v>0</v>
      </c>
      <c r="BJ6" s="31">
        <f t="shared" si="18"/>
        <v>0</v>
      </c>
      <c r="BK6" s="58">
        <f t="shared" si="18"/>
        <v>0</v>
      </c>
      <c r="BL6" s="58" t="s">
        <v>142</v>
      </c>
      <c r="BM6" s="31">
        <v>0</v>
      </c>
      <c r="BN6" s="31">
        <v>0</v>
      </c>
      <c r="BO6" s="31">
        <v>0</v>
      </c>
      <c r="BP6" s="31">
        <f>SUM(BM6:BO6)</f>
        <v>0</v>
      </c>
      <c r="BQ6" s="96">
        <v>102.67</v>
      </c>
      <c r="BR6" s="58">
        <f>Table1[[#This Row],[Check 2 Students Total]]*Table1[[#This Row],[Summer 2018 Price Check]]</f>
        <v>0</v>
      </c>
      <c r="BS6" s="31">
        <f>IF(Table1[[#This Row],[Sustainability Check 2 (2018-2019) Status]]="Continued", Table1[[#This Row],[Check 2 Students Summer]], 0)</f>
        <v>0</v>
      </c>
      <c r="BT6" s="58">
        <f>Table1[[#This Row],[Summer 2018 Price Check]]*BS6</f>
        <v>0</v>
      </c>
      <c r="BU6" s="31">
        <f>IF(Table1[[#This Row],[Sustainability Check 2 (2018-2019) Status]]="Continued", Table1[[#This Row],[Check 2 Students Fall]], 0)</f>
        <v>0</v>
      </c>
      <c r="BV6" s="58">
        <f>Table1[[#This Row],[Summer 2018 Price Check]]*BU6</f>
        <v>0</v>
      </c>
      <c r="BW6" s="21">
        <f>IF(Table1[[#This Row],[Sustainability Check 2 (2018-2019) Status]]="Continued", Table1[Check 2 Students Spring], 0)</f>
        <v>0</v>
      </c>
      <c r="BX6" s="58">
        <f>Table1[[#This Row],[Summer 2018 Price Check]]*Table1[[#This Row],[Spring 2019 Students]]</f>
        <v>0</v>
      </c>
      <c r="BY6" s="31">
        <f t="shared" si="19"/>
        <v>0</v>
      </c>
      <c r="BZ6" s="58">
        <f t="shared" si="20"/>
        <v>0</v>
      </c>
      <c r="CA6" s="58" t="s">
        <v>142</v>
      </c>
      <c r="CB6" s="21">
        <v>0</v>
      </c>
      <c r="CC6" s="21">
        <v>0</v>
      </c>
      <c r="CD6" s="21">
        <v>0</v>
      </c>
      <c r="CE6" s="21">
        <f t="shared" si="21"/>
        <v>0</v>
      </c>
      <c r="CF6" s="58">
        <v>0</v>
      </c>
      <c r="CG6" s="58">
        <f t="shared" si="22"/>
        <v>0</v>
      </c>
      <c r="CH6" s="17" t="s">
        <v>128</v>
      </c>
      <c r="CI6" s="21">
        <f>IF(Table1[[#This Row],[Check 3 Status]]="Continued", Table1[[#This Row],[Check 3 Students Summer]], 0)</f>
        <v>0</v>
      </c>
      <c r="CJ6" s="58">
        <f>Table1[[#This Row],[Check 3 Per Student Savings]]*CI6</f>
        <v>0</v>
      </c>
      <c r="CK6" s="21">
        <f>IF(Table1[[#This Row],[Check 3 Status]]="Continued", Table1[[#This Row],[Check 3 Students Fall]], 0)</f>
        <v>0</v>
      </c>
      <c r="CL6" s="58">
        <f>Table1[[#This Row],[Check 3 Per Student Savings]]*CK6</f>
        <v>0</v>
      </c>
      <c r="CM6" s="21">
        <f>IF(Table1[[#This Row],[Check 3 Status]]="Continued", Table1[[#This Row],[Check 3 Students Spring]], 0)</f>
        <v>0</v>
      </c>
      <c r="CN6" s="58">
        <f>Table1[[#This Row],[Check 3 Per Student Savings]]*CM6</f>
        <v>0</v>
      </c>
      <c r="CO6" s="21">
        <f t="shared" si="23"/>
        <v>0</v>
      </c>
      <c r="CP6" s="58">
        <f t="shared" si="24"/>
        <v>0</v>
      </c>
      <c r="CQ6" s="58" t="s">
        <v>142</v>
      </c>
      <c r="CR6" s="21">
        <v>0</v>
      </c>
      <c r="CS6" s="21">
        <v>0</v>
      </c>
      <c r="CT6" s="21">
        <v>0</v>
      </c>
      <c r="CU6" s="21">
        <f t="shared" si="25"/>
        <v>0</v>
      </c>
      <c r="CV6" s="58">
        <v>0</v>
      </c>
      <c r="CW6" s="58">
        <f t="shared" si="26"/>
        <v>0</v>
      </c>
      <c r="CX6" s="58"/>
      <c r="CY6" s="21">
        <f>IF(Table1[[#This Row],[Check 4 Status]]="Continued", Table1[[#This Row],[Check 4 Students Summer]], 0)</f>
        <v>0</v>
      </c>
      <c r="CZ6" s="58">
        <f>Table1[[#This Row],[Check 4 Per Student Savings]]*CY6</f>
        <v>0</v>
      </c>
      <c r="DA6" s="21">
        <f>IF(Table1[[#This Row],[Check 4 Status]]="Continued", Table1[[#This Row],[Check 4 Students Fall]], 0)</f>
        <v>0</v>
      </c>
      <c r="DB6" s="58">
        <f>Table1[[#This Row],[Check 4 Per Student Savings]]*DA6</f>
        <v>0</v>
      </c>
      <c r="DC6" s="21">
        <f>IF(Table1[[#This Row],[Check 4 Status]]="Continued", Table1[[#This Row],[Check 4 Students Spring]], 0)</f>
        <v>0</v>
      </c>
      <c r="DD6" s="58">
        <f>Table1[[#This Row],[Check 4 Per Student Savings]]*DC6</f>
        <v>0</v>
      </c>
      <c r="DE6" s="58">
        <f t="shared" si="27"/>
        <v>0</v>
      </c>
      <c r="DF6" s="58">
        <f t="shared" si="28"/>
        <v>0</v>
      </c>
      <c r="DG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120</v>
      </c>
      <c r="DH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18024</v>
      </c>
      <c r="DI6" s="58">
        <f>Table1[[#This Row],[Grand Total Savings]]/Table1[[#This Row],[Total Award]]</f>
        <v>1.6688888888888889</v>
      </c>
      <c r="DJ6" s="17"/>
      <c r="DK6" s="17"/>
      <c r="DL6" s="17"/>
      <c r="DM6" s="17"/>
      <c r="EC6" s="17"/>
      <c r="ED6" s="17"/>
      <c r="EE6" s="17"/>
      <c r="EF6" s="17"/>
    </row>
    <row r="7" spans="1:136" x14ac:dyDescent="0.25">
      <c r="A7" s="159" t="s">
        <v>165</v>
      </c>
      <c r="B7" s="17" t="s">
        <v>2011</v>
      </c>
      <c r="D7" s="97" t="s">
        <v>116</v>
      </c>
      <c r="E7" s="158">
        <v>41962</v>
      </c>
      <c r="F7" s="158">
        <v>42163</v>
      </c>
      <c r="G7" s="159" t="s">
        <v>117</v>
      </c>
      <c r="H7" s="95" t="s">
        <v>10</v>
      </c>
      <c r="I7" s="226" t="s">
        <v>118</v>
      </c>
      <c r="J7" s="17" t="s">
        <v>166</v>
      </c>
      <c r="K7" s="101">
        <v>10800</v>
      </c>
      <c r="L7" s="101"/>
      <c r="M7" s="101" t="s">
        <v>167</v>
      </c>
      <c r="N7" s="17" t="s">
        <v>168</v>
      </c>
      <c r="O7" s="101" t="s">
        <v>169</v>
      </c>
      <c r="P7" s="101" t="s">
        <v>170</v>
      </c>
      <c r="Q7" s="101" t="s">
        <v>156</v>
      </c>
      <c r="R7" s="101" t="s">
        <v>129</v>
      </c>
      <c r="S7" s="160" t="s">
        <v>36</v>
      </c>
      <c r="T7" s="17" t="s">
        <v>129</v>
      </c>
      <c r="U7" s="101" t="s">
        <v>164</v>
      </c>
      <c r="V7" s="17" t="s">
        <v>150</v>
      </c>
      <c r="W7" s="17" t="s">
        <v>150</v>
      </c>
      <c r="X7" s="17" t="s">
        <v>140</v>
      </c>
      <c r="Y7" s="58">
        <v>30000</v>
      </c>
      <c r="Z7" s="17">
        <v>120</v>
      </c>
      <c r="AA7" s="58">
        <f t="shared" si="0"/>
        <v>250</v>
      </c>
      <c r="AB7" s="21">
        <f t="shared" si="1"/>
        <v>40</v>
      </c>
      <c r="AC7" s="21">
        <f t="shared" si="2"/>
        <v>40</v>
      </c>
      <c r="AD7" s="21">
        <f t="shared" si="3"/>
        <v>40</v>
      </c>
      <c r="AE7" s="17" t="s">
        <v>128</v>
      </c>
      <c r="AF7" s="17" t="s">
        <v>129</v>
      </c>
      <c r="AG7" s="17"/>
      <c r="AI7" s="17" t="s">
        <v>130</v>
      </c>
      <c r="AJ7" s="21">
        <f>Table1[[#This Row],[Students Per Spring]]</f>
        <v>40</v>
      </c>
      <c r="AK7" s="58">
        <f t="shared" si="4"/>
        <v>10000</v>
      </c>
      <c r="AL7" s="21">
        <f t="shared" si="5"/>
        <v>40</v>
      </c>
      <c r="AM7" s="58">
        <f t="shared" si="6"/>
        <v>10000</v>
      </c>
      <c r="AN7" s="21">
        <f>IF(Table1[[#This Row],[Sustainability Check 1 (2017-2018) Status]]="Continued", Table1[[#This Row],[Students Per Summer]], 0)</f>
        <v>40</v>
      </c>
      <c r="AO7" s="58">
        <f t="shared" si="7"/>
        <v>10000</v>
      </c>
      <c r="AP7" s="21">
        <f>IF(Table1[[#This Row],[Sustainability Check 1 (2017-2018) Status]]="Continued", Table1[[#This Row],[Students Per Fall]], 0)</f>
        <v>40</v>
      </c>
      <c r="AQ7" s="58">
        <f t="shared" si="8"/>
        <v>10000</v>
      </c>
      <c r="AR7" s="21">
        <f>IF(Table1[[#This Row],[Sustainability Check 1 (2017-2018) Status]]="Continued", Table1[[#This Row],[Students Per Spring]], 0)</f>
        <v>40</v>
      </c>
      <c r="AS7" s="58">
        <f t="shared" si="9"/>
        <v>10000</v>
      </c>
      <c r="AT7" s="21">
        <f t="shared" si="10"/>
        <v>120</v>
      </c>
      <c r="AU7" s="58">
        <f t="shared" si="10"/>
        <v>30000</v>
      </c>
      <c r="AV7" s="21">
        <f>IF(Table1[[#This Row],[Sustainability Check 1 (2017-2018) Status]]="Continued", Table1[[#This Row],[Students Per Summer]], 0)</f>
        <v>40</v>
      </c>
      <c r="AW7" s="58">
        <f t="shared" si="11"/>
        <v>10000</v>
      </c>
      <c r="AX7" s="31">
        <f>IF(Table1[[#This Row],[Sustainability Check 1 (2017-2018) Status]]="Continued", Table1[[#This Row],[Students Per Fall]], 0)</f>
        <v>40</v>
      </c>
      <c r="AY7" s="58">
        <f t="shared" si="12"/>
        <v>10000</v>
      </c>
      <c r="AZ7" s="31">
        <f>IF(Table1[[#This Row],[Sustainability Check 1 (2017-2018) Status]]="Continued", Table1[[#This Row],[Students Per Spring]], 0)</f>
        <v>40</v>
      </c>
      <c r="BA7" s="58">
        <f t="shared" si="13"/>
        <v>10000</v>
      </c>
      <c r="BB7" s="31">
        <f t="shared" si="14"/>
        <v>120</v>
      </c>
      <c r="BC7" s="58">
        <f t="shared" si="14"/>
        <v>30000</v>
      </c>
      <c r="BD7" s="31">
        <f>IF(Table1[[#This Row],[Sustainability Check 1 (2017-2018) Status]]="Continued", Table1[[#This Row],[Students Per Summer]], 0)</f>
        <v>40</v>
      </c>
      <c r="BE7" s="58">
        <f t="shared" si="15"/>
        <v>10000</v>
      </c>
      <c r="BF7" s="31">
        <f>IF(Table1[[#This Row],[Sustainability Check 1 (2017-2018) Status]]="Continued", Table1[[#This Row],[Students Per Fall]], 0)</f>
        <v>40</v>
      </c>
      <c r="BG7" s="58">
        <f t="shared" si="16"/>
        <v>10000</v>
      </c>
      <c r="BH7" s="31">
        <f>IF(Table1[[#This Row],[Sustainability Check 1 (2017-2018) Status]]="Continued", Table1[[#This Row],[Students Per Spring]], 0)</f>
        <v>40</v>
      </c>
      <c r="BI7" s="58">
        <f t="shared" si="17"/>
        <v>10000</v>
      </c>
      <c r="BJ7" s="31">
        <f t="shared" si="18"/>
        <v>120</v>
      </c>
      <c r="BK7" s="58">
        <f t="shared" si="18"/>
        <v>30000</v>
      </c>
      <c r="BL7" s="58" t="s">
        <v>130</v>
      </c>
      <c r="BM7" s="31">
        <v>30</v>
      </c>
      <c r="BN7" s="31">
        <v>60</v>
      </c>
      <c r="BO7" s="31">
        <v>60</v>
      </c>
      <c r="BP7" s="31">
        <f>SUM(BM7:BO7)</f>
        <v>150</v>
      </c>
      <c r="BQ7" s="96">
        <v>108.33</v>
      </c>
      <c r="BR7" s="58">
        <f>Table1[[#This Row],[Check 2 Students Total]]*Table1[[#This Row],[Summer 2018 Price Check]]</f>
        <v>16249.5</v>
      </c>
      <c r="BS7" s="31">
        <f>IF(Table1[[#This Row],[Sustainability Check 2 (2018-2019) Status]]="Continued", Table1[[#This Row],[Check 2 Students Summer]], 0)</f>
        <v>30</v>
      </c>
      <c r="BT7" s="58">
        <f>Table1[[#This Row],[Summer 2018 Price Check]]*BS7</f>
        <v>3249.9</v>
      </c>
      <c r="BU7" s="31">
        <f>IF(Table1[[#This Row],[Sustainability Check 2 (2018-2019) Status]]="Continued", Table1[[#This Row],[Check 2 Students Fall]], 0)</f>
        <v>60</v>
      </c>
      <c r="BV7" s="58">
        <f>Table1[[#This Row],[Summer 2018 Price Check]]*BU7</f>
        <v>6499.8</v>
      </c>
      <c r="BW7" s="21">
        <f>IF(Table1[[#This Row],[Sustainability Check 2 (2018-2019) Status]]="Continued", Table1[Check 2 Students Spring], 0)</f>
        <v>60</v>
      </c>
      <c r="BX7" s="58">
        <f>Table1[[#This Row],[Summer 2018 Price Check]]*Table1[[#This Row],[Spring 2019 Students]]</f>
        <v>6499.8</v>
      </c>
      <c r="BY7" s="31">
        <f t="shared" si="19"/>
        <v>150</v>
      </c>
      <c r="BZ7" s="58">
        <f t="shared" si="20"/>
        <v>16249.5</v>
      </c>
      <c r="CA7" s="58" t="s">
        <v>130</v>
      </c>
      <c r="CB7" s="21">
        <v>40</v>
      </c>
      <c r="CC7" s="21">
        <v>50</v>
      </c>
      <c r="CD7" s="21">
        <v>50</v>
      </c>
      <c r="CE7" s="21">
        <f t="shared" si="21"/>
        <v>140</v>
      </c>
      <c r="CF7" s="58">
        <v>85</v>
      </c>
      <c r="CG7" s="58">
        <f t="shared" si="22"/>
        <v>11900</v>
      </c>
      <c r="CH7" s="17" t="s">
        <v>128</v>
      </c>
      <c r="CI7" s="21">
        <f>IF(Table1[[#This Row],[Check 3 Status]]="Continued", Table1[[#This Row],[Check 3 Students Summer]], 0)</f>
        <v>40</v>
      </c>
      <c r="CJ7" s="58">
        <f>Table1[[#This Row],[Check 3 Per Student Savings]]*CI7</f>
        <v>3400</v>
      </c>
      <c r="CK7" s="21">
        <f>IF(Table1[[#This Row],[Check 3 Status]]="Continued", Table1[[#This Row],[Check 3 Students Fall]], 0)</f>
        <v>50</v>
      </c>
      <c r="CL7" s="58">
        <f>Table1[[#This Row],[Check 3 Per Student Savings]]*CK7</f>
        <v>4250</v>
      </c>
      <c r="CM7" s="21">
        <f>IF(Table1[[#This Row],[Check 3 Status]]="Continued", Table1[[#This Row],[Check 3 Students Spring]], 0)</f>
        <v>50</v>
      </c>
      <c r="CN7" s="58">
        <f>Table1[[#This Row],[Check 3 Per Student Savings]]*CM7</f>
        <v>4250</v>
      </c>
      <c r="CO7" s="21">
        <f t="shared" si="23"/>
        <v>140</v>
      </c>
      <c r="CP7" s="58">
        <f t="shared" si="24"/>
        <v>11900</v>
      </c>
      <c r="CQ7" s="58" t="s">
        <v>130</v>
      </c>
      <c r="CR7" s="21">
        <v>40</v>
      </c>
      <c r="CS7" s="21">
        <v>50</v>
      </c>
      <c r="CT7" s="21">
        <v>50</v>
      </c>
      <c r="CU7" s="21">
        <f t="shared" si="25"/>
        <v>140</v>
      </c>
      <c r="CV7" s="58">
        <v>85</v>
      </c>
      <c r="CW7" s="58">
        <f t="shared" si="26"/>
        <v>11900</v>
      </c>
      <c r="CX7" s="58"/>
      <c r="CY7" s="21">
        <f>IF(Table1[[#This Row],[Check 4 Status]]="Continued", Table1[[#This Row],[Check 4 Students Summer]], 0)</f>
        <v>40</v>
      </c>
      <c r="CZ7" s="58">
        <f>Table1[[#This Row],[Check 4 Per Student Savings]]*CY7</f>
        <v>3400</v>
      </c>
      <c r="DA7" s="21">
        <f>IF(Table1[[#This Row],[Check 4 Status]]="Continued", Table1[[#This Row],[Check 4 Students Fall]], 0)</f>
        <v>50</v>
      </c>
      <c r="DB7" s="58">
        <f>Table1[[#This Row],[Check 4 Per Student Savings]]*DA7</f>
        <v>4250</v>
      </c>
      <c r="DC7" s="21">
        <f>IF(Table1[[#This Row],[Check 4 Status]]="Continued", Table1[[#This Row],[Check 4 Students Spring]], 0)</f>
        <v>50</v>
      </c>
      <c r="DD7" s="58">
        <f>Table1[[#This Row],[Check 4 Per Student Savings]]*DC7</f>
        <v>4250</v>
      </c>
      <c r="DE7" s="58">
        <f t="shared" si="27"/>
        <v>140</v>
      </c>
      <c r="DF7" s="58">
        <f t="shared" si="28"/>
        <v>11900</v>
      </c>
      <c r="DG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830</v>
      </c>
      <c r="DH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140049.5</v>
      </c>
      <c r="DI7" s="58">
        <f>Table1[[#This Row],[Grand Total Savings]]/Table1[[#This Row],[Total Award]]</f>
        <v>12.967546296296296</v>
      </c>
      <c r="DJ7" s="17"/>
      <c r="DK7" s="17"/>
      <c r="DL7" s="17"/>
      <c r="DM7" s="17"/>
      <c r="EC7" s="17"/>
      <c r="ED7" s="17"/>
      <c r="EE7" s="17"/>
      <c r="EF7" s="17"/>
    </row>
    <row r="8" spans="1:136" x14ac:dyDescent="0.25">
      <c r="A8" s="159" t="s">
        <v>171</v>
      </c>
      <c r="B8" s="17" t="s">
        <v>2011</v>
      </c>
      <c r="D8" s="97" t="s">
        <v>116</v>
      </c>
      <c r="E8" s="158">
        <v>41962</v>
      </c>
      <c r="F8" s="158">
        <v>42163</v>
      </c>
      <c r="G8" s="159" t="s">
        <v>117</v>
      </c>
      <c r="H8" s="95" t="s">
        <v>10</v>
      </c>
      <c r="I8" s="226" t="s">
        <v>118</v>
      </c>
      <c r="J8" s="17" t="s">
        <v>172</v>
      </c>
      <c r="K8" s="101">
        <v>10800</v>
      </c>
      <c r="L8" s="101"/>
      <c r="M8" s="101" t="s">
        <v>173</v>
      </c>
      <c r="N8" s="17" t="s">
        <v>174</v>
      </c>
      <c r="O8" s="101" t="s">
        <v>175</v>
      </c>
      <c r="P8" s="101" t="s">
        <v>176</v>
      </c>
      <c r="Q8" s="101" t="s">
        <v>177</v>
      </c>
      <c r="R8" s="101" t="s">
        <v>129</v>
      </c>
      <c r="S8" s="160" t="s">
        <v>36</v>
      </c>
      <c r="T8" s="17" t="s">
        <v>129</v>
      </c>
      <c r="U8" s="101" t="s">
        <v>157</v>
      </c>
      <c r="V8" s="17" t="s">
        <v>150</v>
      </c>
      <c r="W8" s="17" t="s">
        <v>127</v>
      </c>
      <c r="X8" s="17" t="s">
        <v>127</v>
      </c>
      <c r="Y8" s="58">
        <v>205275</v>
      </c>
      <c r="Z8" s="31">
        <v>1050</v>
      </c>
      <c r="AA8" s="58">
        <f t="shared" si="0"/>
        <v>195.5</v>
      </c>
      <c r="AB8" s="21">
        <f t="shared" si="1"/>
        <v>350</v>
      </c>
      <c r="AC8" s="21">
        <f t="shared" si="2"/>
        <v>350</v>
      </c>
      <c r="AD8" s="21">
        <f t="shared" si="3"/>
        <v>350</v>
      </c>
      <c r="AE8" s="17" t="s">
        <v>128</v>
      </c>
      <c r="AF8" s="17" t="s">
        <v>129</v>
      </c>
      <c r="AG8" s="17"/>
      <c r="AI8" s="17" t="s">
        <v>141</v>
      </c>
      <c r="AJ8" s="21">
        <f>Table1[[#This Row],[Students Per Spring]]</f>
        <v>350</v>
      </c>
      <c r="AK8" s="58">
        <f t="shared" si="4"/>
        <v>68425</v>
      </c>
      <c r="AL8" s="21">
        <f t="shared" si="5"/>
        <v>350</v>
      </c>
      <c r="AM8" s="58">
        <f t="shared" si="6"/>
        <v>68425</v>
      </c>
      <c r="AN8" s="21">
        <f>IF(Table1[[#This Row],[Sustainability Check 1 (2017-2018) Status]]="Continued", Table1[[#This Row],[Students Per Summer]], 0)</f>
        <v>0</v>
      </c>
      <c r="AO8" s="58">
        <f t="shared" si="7"/>
        <v>0</v>
      </c>
      <c r="AP8" s="21">
        <f>IF(Table1[[#This Row],[Sustainability Check 1 (2017-2018) Status]]="Continued", Table1[[#This Row],[Students Per Fall]], 0)</f>
        <v>0</v>
      </c>
      <c r="AQ8" s="58">
        <f t="shared" si="8"/>
        <v>0</v>
      </c>
      <c r="AR8" s="21">
        <f>IF(Table1[[#This Row],[Sustainability Check 1 (2017-2018) Status]]="Continued", Table1[[#This Row],[Students Per Spring]], 0)</f>
        <v>0</v>
      </c>
      <c r="AS8" s="58">
        <f t="shared" si="9"/>
        <v>0</v>
      </c>
      <c r="AT8" s="21">
        <f t="shared" si="10"/>
        <v>0</v>
      </c>
      <c r="AU8" s="58">
        <f t="shared" si="10"/>
        <v>0</v>
      </c>
      <c r="AV8" s="21">
        <f>IF(Table1[[#This Row],[Sustainability Check 1 (2017-2018) Status]]="Continued", Table1[[#This Row],[Students Per Summer]], 0)</f>
        <v>0</v>
      </c>
      <c r="AW8" s="58">
        <f t="shared" si="11"/>
        <v>0</v>
      </c>
      <c r="AX8" s="31">
        <f>IF(Table1[[#This Row],[Sustainability Check 1 (2017-2018) Status]]="Continued", Table1[[#This Row],[Students Per Fall]], 0)</f>
        <v>0</v>
      </c>
      <c r="AY8" s="58">
        <f t="shared" si="12"/>
        <v>0</v>
      </c>
      <c r="AZ8" s="31">
        <f>IF(Table1[[#This Row],[Sustainability Check 1 (2017-2018) Status]]="Continued", Table1[[#This Row],[Students Per Spring]], 0)</f>
        <v>0</v>
      </c>
      <c r="BA8" s="58">
        <f t="shared" si="13"/>
        <v>0</v>
      </c>
      <c r="BB8" s="31">
        <f t="shared" si="14"/>
        <v>0</v>
      </c>
      <c r="BC8" s="58">
        <f t="shared" si="14"/>
        <v>0</v>
      </c>
      <c r="BD8" s="31">
        <f>IF(Table1[[#This Row],[Sustainability Check 1 (2017-2018) Status]]="Continued", Table1[[#This Row],[Students Per Summer]], 0)</f>
        <v>0</v>
      </c>
      <c r="BE8" s="58">
        <f t="shared" si="15"/>
        <v>0</v>
      </c>
      <c r="BF8" s="31">
        <f>IF(Table1[[#This Row],[Sustainability Check 1 (2017-2018) Status]]="Continued", Table1[[#This Row],[Students Per Fall]], 0)</f>
        <v>0</v>
      </c>
      <c r="BG8" s="58">
        <f t="shared" si="16"/>
        <v>0</v>
      </c>
      <c r="BH8" s="31">
        <f>IF(Table1[[#This Row],[Sustainability Check 1 (2017-2018) Status]]="Continued", Table1[[#This Row],[Students Per Spring]], 0)</f>
        <v>0</v>
      </c>
      <c r="BI8" s="58">
        <f t="shared" si="17"/>
        <v>0</v>
      </c>
      <c r="BJ8" s="31">
        <f t="shared" si="18"/>
        <v>0</v>
      </c>
      <c r="BK8" s="58">
        <f t="shared" si="18"/>
        <v>0</v>
      </c>
      <c r="BL8" s="58" t="s">
        <v>142</v>
      </c>
      <c r="BM8" s="31">
        <v>0</v>
      </c>
      <c r="BN8" s="31">
        <v>0</v>
      </c>
      <c r="BO8" s="31">
        <v>0</v>
      </c>
      <c r="BP8" s="31">
        <f>SUM(BM8:BO8)</f>
        <v>0</v>
      </c>
      <c r="BQ8" s="96">
        <v>189.95</v>
      </c>
      <c r="BR8" s="58">
        <f>Table1[[#This Row],[Check 2 Students Total]]*Table1[[#This Row],[Summer 2018 Price Check]]</f>
        <v>0</v>
      </c>
      <c r="BS8" s="31">
        <f>IF(Table1[[#This Row],[Sustainability Check 2 (2018-2019) Status]]="Continued", Table1[[#This Row],[Check 2 Students Summer]], 0)</f>
        <v>0</v>
      </c>
      <c r="BT8" s="58">
        <f>Table1[[#This Row],[Summer 2018 Price Check]]*BS8</f>
        <v>0</v>
      </c>
      <c r="BU8" s="31">
        <f>IF(Table1[[#This Row],[Sustainability Check 2 (2018-2019) Status]]="Continued", Table1[[#This Row],[Check 2 Students Fall]], 0)</f>
        <v>0</v>
      </c>
      <c r="BV8" s="58">
        <f>Table1[[#This Row],[Summer 2018 Price Check]]*BU8</f>
        <v>0</v>
      </c>
      <c r="BW8" s="21">
        <f>IF(Table1[[#This Row],[Sustainability Check 2 (2018-2019) Status]]="Continued", Table1[Check 2 Students Spring], 0)</f>
        <v>0</v>
      </c>
      <c r="BX8" s="58">
        <f>Table1[[#This Row],[Summer 2018 Price Check]]*Table1[[#This Row],[Spring 2019 Students]]</f>
        <v>0</v>
      </c>
      <c r="BY8" s="31">
        <f t="shared" si="19"/>
        <v>0</v>
      </c>
      <c r="BZ8" s="58">
        <f t="shared" si="20"/>
        <v>0</v>
      </c>
      <c r="CA8" s="58" t="s">
        <v>142</v>
      </c>
      <c r="CB8" s="21">
        <v>0</v>
      </c>
      <c r="CC8" s="21">
        <v>0</v>
      </c>
      <c r="CD8" s="21">
        <v>0</v>
      </c>
      <c r="CE8" s="21">
        <f t="shared" si="21"/>
        <v>0</v>
      </c>
      <c r="CF8" s="58">
        <v>0</v>
      </c>
      <c r="CG8" s="58">
        <f t="shared" si="22"/>
        <v>0</v>
      </c>
      <c r="CH8" s="17" t="s">
        <v>128</v>
      </c>
      <c r="CI8" s="21">
        <f>IF(Table1[[#This Row],[Check 3 Status]]="Continued", Table1[[#This Row],[Check 3 Students Summer]], 0)</f>
        <v>0</v>
      </c>
      <c r="CJ8" s="58">
        <f>Table1[[#This Row],[Check 3 Per Student Savings]]*CI8</f>
        <v>0</v>
      </c>
      <c r="CK8" s="21">
        <f>IF(Table1[[#This Row],[Check 3 Status]]="Continued", Table1[[#This Row],[Check 3 Students Fall]], 0)</f>
        <v>0</v>
      </c>
      <c r="CL8" s="58">
        <f>Table1[[#This Row],[Check 3 Per Student Savings]]*CK8</f>
        <v>0</v>
      </c>
      <c r="CM8" s="21">
        <f>IF(Table1[[#This Row],[Check 3 Status]]="Continued", Table1[[#This Row],[Check 3 Students Spring]], 0)</f>
        <v>0</v>
      </c>
      <c r="CN8" s="58">
        <f>Table1[[#This Row],[Check 3 Per Student Savings]]*CM8</f>
        <v>0</v>
      </c>
      <c r="CO8" s="21">
        <f t="shared" si="23"/>
        <v>0</v>
      </c>
      <c r="CP8" s="58">
        <f t="shared" si="24"/>
        <v>0</v>
      </c>
      <c r="CQ8" s="58" t="s">
        <v>142</v>
      </c>
      <c r="CR8" s="21">
        <v>0</v>
      </c>
      <c r="CS8" s="21">
        <v>0</v>
      </c>
      <c r="CT8" s="21">
        <v>0</v>
      </c>
      <c r="CU8" s="21">
        <f t="shared" si="25"/>
        <v>0</v>
      </c>
      <c r="CV8" s="58">
        <v>0</v>
      </c>
      <c r="CW8" s="58">
        <f t="shared" si="26"/>
        <v>0</v>
      </c>
      <c r="CX8" s="58"/>
      <c r="CY8" s="21">
        <f>IF(Table1[[#This Row],[Check 4 Status]]="Continued", Table1[[#This Row],[Check 4 Students Summer]], 0)</f>
        <v>0</v>
      </c>
      <c r="CZ8" s="58">
        <f>Table1[[#This Row],[Check 4 Per Student Savings]]*CY8</f>
        <v>0</v>
      </c>
      <c r="DA8" s="21">
        <f>IF(Table1[[#This Row],[Check 4 Status]]="Continued", Table1[[#This Row],[Check 4 Students Fall]], 0)</f>
        <v>0</v>
      </c>
      <c r="DB8" s="58">
        <f>Table1[[#This Row],[Check 4 Per Student Savings]]*DA8</f>
        <v>0</v>
      </c>
      <c r="DC8" s="21">
        <f>IF(Table1[[#This Row],[Check 4 Status]]="Continued", Table1[[#This Row],[Check 4 Students Spring]], 0)</f>
        <v>0</v>
      </c>
      <c r="DD8" s="58">
        <f>Table1[[#This Row],[Check 4 Per Student Savings]]*DC8</f>
        <v>0</v>
      </c>
      <c r="DE8" s="58">
        <f t="shared" si="27"/>
        <v>0</v>
      </c>
      <c r="DF8" s="58">
        <f t="shared" si="28"/>
        <v>0</v>
      </c>
      <c r="DG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350</v>
      </c>
      <c r="DH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68425</v>
      </c>
      <c r="DI8" s="58">
        <f>Table1[[#This Row],[Grand Total Savings]]/Table1[[#This Row],[Total Award]]</f>
        <v>6.3356481481481479</v>
      </c>
      <c r="DJ8" s="17"/>
      <c r="DK8" s="17"/>
      <c r="DL8" s="17"/>
      <c r="DM8" s="17"/>
      <c r="EC8" s="17"/>
      <c r="ED8" s="17"/>
      <c r="EE8" s="17"/>
      <c r="EF8" s="17"/>
    </row>
    <row r="9" spans="1:136" x14ac:dyDescent="0.25">
      <c r="A9" s="159" t="s">
        <v>178</v>
      </c>
      <c r="B9" s="17" t="s">
        <v>2011</v>
      </c>
      <c r="D9" s="97" t="s">
        <v>116</v>
      </c>
      <c r="E9" s="158">
        <v>41962</v>
      </c>
      <c r="F9" s="158">
        <v>42163</v>
      </c>
      <c r="G9" s="159" t="s">
        <v>117</v>
      </c>
      <c r="H9" s="95" t="s">
        <v>10</v>
      </c>
      <c r="I9" s="226" t="s">
        <v>118</v>
      </c>
      <c r="J9" s="17" t="s">
        <v>179</v>
      </c>
      <c r="K9" s="101">
        <v>10800</v>
      </c>
      <c r="L9" s="101"/>
      <c r="M9" s="101" t="s">
        <v>180</v>
      </c>
      <c r="N9" s="17" t="s">
        <v>181</v>
      </c>
      <c r="O9" s="101" t="s">
        <v>182</v>
      </c>
      <c r="P9" s="101" t="s">
        <v>183</v>
      </c>
      <c r="Q9" s="101" t="s">
        <v>184</v>
      </c>
      <c r="R9" s="101" t="s">
        <v>185</v>
      </c>
      <c r="S9" s="160" t="s">
        <v>36</v>
      </c>
      <c r="T9" s="17" t="s">
        <v>129</v>
      </c>
      <c r="U9" s="160" t="s">
        <v>186</v>
      </c>
      <c r="V9" s="17" t="s">
        <v>150</v>
      </c>
      <c r="W9" s="17" t="s">
        <v>127</v>
      </c>
      <c r="X9" s="17" t="s">
        <v>150</v>
      </c>
      <c r="Y9" s="58">
        <v>72301</v>
      </c>
      <c r="Z9" s="17">
        <v>560</v>
      </c>
      <c r="AA9" s="58">
        <f t="shared" si="0"/>
        <v>129.10892857142858</v>
      </c>
      <c r="AB9" s="21">
        <f t="shared" si="1"/>
        <v>186.66666666666666</v>
      </c>
      <c r="AC9" s="21">
        <f t="shared" si="2"/>
        <v>186.66666666666666</v>
      </c>
      <c r="AD9" s="21">
        <f t="shared" si="3"/>
        <v>186.66666666666666</v>
      </c>
      <c r="AE9" s="17" t="s">
        <v>128</v>
      </c>
      <c r="AF9" s="17" t="s">
        <v>129</v>
      </c>
      <c r="AG9" s="17"/>
      <c r="AI9" s="17" t="s">
        <v>130</v>
      </c>
      <c r="AJ9" s="21">
        <f>Table1[[#This Row],[Students Per Spring]]</f>
        <v>186.66666666666666</v>
      </c>
      <c r="AK9" s="58">
        <f t="shared" si="4"/>
        <v>24100.333333333332</v>
      </c>
      <c r="AL9" s="21">
        <f t="shared" si="5"/>
        <v>186.66666666666666</v>
      </c>
      <c r="AM9" s="58">
        <f t="shared" si="6"/>
        <v>24100.333333333332</v>
      </c>
      <c r="AN9" s="21">
        <f>IF(Table1[[#This Row],[Sustainability Check 1 (2017-2018) Status]]="Continued", Table1[[#This Row],[Students Per Summer]], 0)</f>
        <v>186.66666666666666</v>
      </c>
      <c r="AO9" s="58">
        <f t="shared" si="7"/>
        <v>24100.333333333332</v>
      </c>
      <c r="AP9" s="21">
        <f>IF(Table1[[#This Row],[Sustainability Check 1 (2017-2018) Status]]="Continued", Table1[[#This Row],[Students Per Fall]], 0)</f>
        <v>186.66666666666666</v>
      </c>
      <c r="AQ9" s="58">
        <f t="shared" si="8"/>
        <v>24100.333333333332</v>
      </c>
      <c r="AR9" s="21">
        <f>IF(Table1[[#This Row],[Sustainability Check 1 (2017-2018) Status]]="Continued", Table1[[#This Row],[Students Per Spring]], 0)</f>
        <v>186.66666666666666</v>
      </c>
      <c r="AS9" s="58">
        <f t="shared" si="9"/>
        <v>24100.333333333332</v>
      </c>
      <c r="AT9" s="21">
        <f t="shared" si="10"/>
        <v>560</v>
      </c>
      <c r="AU9" s="58">
        <f t="shared" si="10"/>
        <v>72301</v>
      </c>
      <c r="AV9" s="21">
        <f>IF(Table1[[#This Row],[Sustainability Check 1 (2017-2018) Status]]="Continued", Table1[[#This Row],[Students Per Summer]], 0)</f>
        <v>186.66666666666666</v>
      </c>
      <c r="AW9" s="58">
        <f t="shared" si="11"/>
        <v>24100.333333333332</v>
      </c>
      <c r="AX9" s="31">
        <f>IF(Table1[[#This Row],[Sustainability Check 1 (2017-2018) Status]]="Continued", Table1[[#This Row],[Students Per Fall]], 0)</f>
        <v>186.66666666666666</v>
      </c>
      <c r="AY9" s="58">
        <f t="shared" si="12"/>
        <v>24100.333333333332</v>
      </c>
      <c r="AZ9" s="31">
        <f>IF(Table1[[#This Row],[Sustainability Check 1 (2017-2018) Status]]="Continued", Table1[[#This Row],[Students Per Spring]], 0)</f>
        <v>186.66666666666666</v>
      </c>
      <c r="BA9" s="58">
        <f t="shared" si="13"/>
        <v>24100.333333333332</v>
      </c>
      <c r="BB9" s="31">
        <f t="shared" si="14"/>
        <v>560</v>
      </c>
      <c r="BC9" s="58">
        <f t="shared" si="14"/>
        <v>72301</v>
      </c>
      <c r="BD9" s="31">
        <f>IF(Table1[[#This Row],[Sustainability Check 1 (2017-2018) Status]]="Continued", Table1[[#This Row],[Students Per Summer]], 0)</f>
        <v>186.66666666666666</v>
      </c>
      <c r="BE9" s="58">
        <f t="shared" si="15"/>
        <v>24100.333333333332</v>
      </c>
      <c r="BF9" s="31">
        <f>IF(Table1[[#This Row],[Sustainability Check 1 (2017-2018) Status]]="Continued", Table1[[#This Row],[Students Per Fall]], 0)</f>
        <v>186.66666666666666</v>
      </c>
      <c r="BG9" s="58">
        <f t="shared" si="16"/>
        <v>24100.333333333332</v>
      </c>
      <c r="BH9" s="31">
        <f>IF(Table1[[#This Row],[Sustainability Check 1 (2017-2018) Status]]="Continued", Table1[[#This Row],[Students Per Spring]], 0)</f>
        <v>186.66666666666666</v>
      </c>
      <c r="BI9" s="58">
        <f t="shared" si="17"/>
        <v>24100.333333333332</v>
      </c>
      <c r="BJ9" s="31">
        <f t="shared" si="18"/>
        <v>560</v>
      </c>
      <c r="BK9" s="58">
        <f t="shared" si="18"/>
        <v>72301</v>
      </c>
      <c r="BL9" s="58" t="s">
        <v>130</v>
      </c>
      <c r="BM9" s="31">
        <v>40</v>
      </c>
      <c r="BN9" s="31">
        <v>80</v>
      </c>
      <c r="BO9" s="31">
        <v>80</v>
      </c>
      <c r="BP9" s="31">
        <f>SUM(BM9:BO9)</f>
        <v>200</v>
      </c>
      <c r="BQ9" s="96">
        <v>181.95</v>
      </c>
      <c r="BR9" s="58">
        <f>Table1[[#This Row],[Check 2 Students Total]]*Table1[[#This Row],[Summer 2018 Price Check]]</f>
        <v>36390</v>
      </c>
      <c r="BS9" s="31">
        <f>IF(Table1[[#This Row],[Sustainability Check 2 (2018-2019) Status]]="Continued", Table1[[#This Row],[Check 2 Students Summer]], 0)</f>
        <v>40</v>
      </c>
      <c r="BT9" s="58">
        <f>Table1[[#This Row],[Summer 2018 Price Check]]*BS9</f>
        <v>7278</v>
      </c>
      <c r="BU9" s="31">
        <f>IF(Table1[[#This Row],[Sustainability Check 2 (2018-2019) Status]]="Continued", Table1[[#This Row],[Check 2 Students Fall]], 0)</f>
        <v>80</v>
      </c>
      <c r="BV9" s="58">
        <f>Table1[[#This Row],[Summer 2018 Price Check]]*BU9</f>
        <v>14556</v>
      </c>
      <c r="BW9" s="21">
        <f>IF(Table1[[#This Row],[Sustainability Check 2 (2018-2019) Status]]="Continued", Table1[Check 2 Students Spring], 0)</f>
        <v>80</v>
      </c>
      <c r="BX9" s="58">
        <f>Table1[[#This Row],[Summer 2018 Price Check]]*Table1[[#This Row],[Spring 2019 Students]]</f>
        <v>14556</v>
      </c>
      <c r="BY9" s="31">
        <f t="shared" si="19"/>
        <v>200</v>
      </c>
      <c r="BZ9" s="58">
        <f t="shared" si="20"/>
        <v>36390</v>
      </c>
      <c r="CA9" s="58" t="s">
        <v>130</v>
      </c>
      <c r="CB9" s="21">
        <v>38</v>
      </c>
      <c r="CC9" s="21">
        <v>82</v>
      </c>
      <c r="CD9" s="21">
        <v>80</v>
      </c>
      <c r="CE9" s="21">
        <f t="shared" si="21"/>
        <v>200</v>
      </c>
      <c r="CF9" s="58">
        <v>150</v>
      </c>
      <c r="CG9" s="58">
        <f t="shared" si="22"/>
        <v>30000</v>
      </c>
      <c r="CH9" s="17" t="s">
        <v>128</v>
      </c>
      <c r="CI9" s="21">
        <f>IF(Table1[[#This Row],[Check 3 Status]]="Continued", Table1[[#This Row],[Check 3 Students Summer]], 0)</f>
        <v>38</v>
      </c>
      <c r="CJ9" s="58">
        <f>Table1[[#This Row],[Check 3 Per Student Savings]]*CI9</f>
        <v>5700</v>
      </c>
      <c r="CK9" s="21">
        <f>IF(Table1[[#This Row],[Check 3 Status]]="Continued", Table1[[#This Row],[Check 3 Students Fall]], 0)</f>
        <v>82</v>
      </c>
      <c r="CL9" s="58">
        <f>Table1[[#This Row],[Check 3 Per Student Savings]]*CK9</f>
        <v>12300</v>
      </c>
      <c r="CM9" s="21">
        <f>IF(Table1[[#This Row],[Check 3 Status]]="Continued", Table1[[#This Row],[Check 3 Students Spring]], 0)</f>
        <v>80</v>
      </c>
      <c r="CN9" s="58">
        <f>Table1[[#This Row],[Check 3 Per Student Savings]]*CM9</f>
        <v>12000</v>
      </c>
      <c r="CO9" s="21">
        <f t="shared" si="23"/>
        <v>200</v>
      </c>
      <c r="CP9" s="58">
        <f t="shared" si="24"/>
        <v>30000</v>
      </c>
      <c r="CQ9" s="58" t="s">
        <v>130</v>
      </c>
      <c r="CR9" s="21">
        <v>38</v>
      </c>
      <c r="CS9" s="21">
        <v>82</v>
      </c>
      <c r="CT9" s="21">
        <v>80</v>
      </c>
      <c r="CU9" s="21">
        <f t="shared" si="25"/>
        <v>200</v>
      </c>
      <c r="CV9" s="58">
        <v>150</v>
      </c>
      <c r="CW9" s="58">
        <f t="shared" si="26"/>
        <v>30000</v>
      </c>
      <c r="CX9" s="58"/>
      <c r="CY9" s="21">
        <f>IF(Table1[[#This Row],[Check 4 Status]]="Continued", Table1[[#This Row],[Check 4 Students Summer]], 0)</f>
        <v>38</v>
      </c>
      <c r="CZ9" s="58">
        <f>Table1[[#This Row],[Check 4 Per Student Savings]]*CY9</f>
        <v>5700</v>
      </c>
      <c r="DA9" s="21">
        <f>IF(Table1[[#This Row],[Check 4 Status]]="Continued", Table1[[#This Row],[Check 4 Students Fall]], 0)</f>
        <v>82</v>
      </c>
      <c r="DB9" s="58">
        <f>Table1[[#This Row],[Check 4 Per Student Savings]]*DA9</f>
        <v>12300</v>
      </c>
      <c r="DC9" s="21">
        <f>IF(Table1[[#This Row],[Check 4 Status]]="Continued", Table1[[#This Row],[Check 4 Students Spring]], 0)</f>
        <v>80</v>
      </c>
      <c r="DD9" s="58">
        <f>Table1[[#This Row],[Check 4 Per Student Savings]]*DC9</f>
        <v>12000</v>
      </c>
      <c r="DE9" s="58">
        <f t="shared" si="27"/>
        <v>200</v>
      </c>
      <c r="DF9" s="58">
        <f t="shared" si="28"/>
        <v>30000</v>
      </c>
      <c r="DG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2466.6666666666665</v>
      </c>
      <c r="DH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337393.33333333331</v>
      </c>
      <c r="DI9" s="58">
        <f>Table1[[#This Row],[Grand Total Savings]]/Table1[[#This Row],[Total Award]]</f>
        <v>31.240123456790123</v>
      </c>
      <c r="DJ9" s="17"/>
      <c r="DK9" s="17"/>
      <c r="DL9" s="17"/>
      <c r="DM9" s="17"/>
      <c r="EC9" s="17"/>
      <c r="ED9" s="17"/>
      <c r="EE9" s="17"/>
      <c r="EF9" s="17"/>
    </row>
    <row r="10" spans="1:136" x14ac:dyDescent="0.25">
      <c r="A10" s="159" t="s">
        <v>187</v>
      </c>
      <c r="B10" s="17" t="s">
        <v>2011</v>
      </c>
      <c r="D10" s="97" t="s">
        <v>116</v>
      </c>
      <c r="E10" s="158">
        <v>41701</v>
      </c>
      <c r="F10" s="158">
        <v>42163</v>
      </c>
      <c r="G10" s="159" t="s">
        <v>117</v>
      </c>
      <c r="H10" s="95" t="s">
        <v>10</v>
      </c>
      <c r="I10" s="226" t="s">
        <v>118</v>
      </c>
      <c r="J10" s="17" t="s">
        <v>179</v>
      </c>
      <c r="K10" s="101">
        <v>10800</v>
      </c>
      <c r="L10" s="101"/>
      <c r="M10" s="101" t="s">
        <v>188</v>
      </c>
      <c r="N10" s="17" t="s">
        <v>189</v>
      </c>
      <c r="O10" s="101" t="s">
        <v>190</v>
      </c>
      <c r="P10" s="101" t="s">
        <v>191</v>
      </c>
      <c r="Q10" s="101" t="s">
        <v>192</v>
      </c>
      <c r="R10" s="101" t="s">
        <v>129</v>
      </c>
      <c r="S10" s="101" t="s">
        <v>129</v>
      </c>
      <c r="T10" s="17" t="s">
        <v>125</v>
      </c>
      <c r="U10" s="160" t="s">
        <v>193</v>
      </c>
      <c r="V10" s="17" t="s">
        <v>150</v>
      </c>
      <c r="W10" s="17" t="s">
        <v>127</v>
      </c>
      <c r="X10" s="17" t="s">
        <v>127</v>
      </c>
      <c r="Y10" s="58">
        <v>124875</v>
      </c>
      <c r="Z10" s="31">
        <v>900</v>
      </c>
      <c r="AA10" s="58">
        <f t="shared" si="0"/>
        <v>138.75</v>
      </c>
      <c r="AB10" s="21">
        <f t="shared" si="1"/>
        <v>300</v>
      </c>
      <c r="AC10" s="21">
        <f t="shared" si="2"/>
        <v>300</v>
      </c>
      <c r="AD10" s="21">
        <f t="shared" si="3"/>
        <v>300</v>
      </c>
      <c r="AE10" s="17" t="s">
        <v>128</v>
      </c>
      <c r="AF10" s="17" t="s">
        <v>125</v>
      </c>
      <c r="AG10" s="17">
        <v>180</v>
      </c>
      <c r="AH10" s="17" t="s">
        <v>194</v>
      </c>
      <c r="AI10" s="17" t="s">
        <v>130</v>
      </c>
      <c r="AJ10" s="21">
        <f>Table1[[#This Row],[Students Per Spring]]</f>
        <v>300</v>
      </c>
      <c r="AK10" s="58">
        <f t="shared" si="4"/>
        <v>41625</v>
      </c>
      <c r="AL10" s="21">
        <f t="shared" si="5"/>
        <v>300</v>
      </c>
      <c r="AM10" s="58">
        <f t="shared" si="6"/>
        <v>41625</v>
      </c>
      <c r="AN10" s="21">
        <f>IF(Table1[[#This Row],[Sustainability Check 1 (2017-2018) Status]]="Continued", Table1[[#This Row],[Students Per Summer]], 0)</f>
        <v>300</v>
      </c>
      <c r="AO10" s="58">
        <f t="shared" si="7"/>
        <v>41625</v>
      </c>
      <c r="AP10" s="21">
        <f>IF(Table1[[#This Row],[Sustainability Check 1 (2017-2018) Status]]="Continued", Table1[[#This Row],[Students Per Fall]], 0)</f>
        <v>300</v>
      </c>
      <c r="AQ10" s="58">
        <f t="shared" si="8"/>
        <v>41625</v>
      </c>
      <c r="AR10" s="21">
        <v>0</v>
      </c>
      <c r="AS10" s="58">
        <f t="shared" si="9"/>
        <v>0</v>
      </c>
      <c r="AT10" s="21">
        <v>0</v>
      </c>
      <c r="AU10" s="58">
        <f t="shared" ref="AU10:AU41" si="29">AO10+AQ10+AS10</f>
        <v>83250</v>
      </c>
      <c r="AV10" s="21">
        <v>0</v>
      </c>
      <c r="AW10" s="58">
        <v>0</v>
      </c>
      <c r="AX10" s="31">
        <v>0</v>
      </c>
      <c r="AY10" s="58">
        <v>0</v>
      </c>
      <c r="AZ10" s="31">
        <v>0</v>
      </c>
      <c r="BA10" s="58">
        <v>0</v>
      </c>
      <c r="BB10" s="31">
        <v>0</v>
      </c>
      <c r="BC10" s="58">
        <v>0</v>
      </c>
      <c r="BD10" s="31">
        <v>0</v>
      </c>
      <c r="BE10" s="58">
        <v>0</v>
      </c>
      <c r="BF10" s="31">
        <v>0</v>
      </c>
      <c r="BG10" s="58">
        <v>0</v>
      </c>
      <c r="BH10" s="31">
        <v>0</v>
      </c>
      <c r="BI10" s="58">
        <v>0</v>
      </c>
      <c r="BJ10" s="31">
        <v>0</v>
      </c>
      <c r="BK10" s="58">
        <v>0</v>
      </c>
      <c r="BL10" s="99" t="s">
        <v>1783</v>
      </c>
      <c r="BM10" s="98">
        <v>0</v>
      </c>
      <c r="BN10" s="98">
        <v>0</v>
      </c>
      <c r="BO10" s="98">
        <v>0</v>
      </c>
      <c r="BP10" s="98">
        <v>0</v>
      </c>
      <c r="BQ10" s="96">
        <v>193.74</v>
      </c>
      <c r="BR10" s="58">
        <f>Table1[[#This Row],[Check 2 Students Total]]*Table1[[#This Row],[Summer 2018 Price Check]]</f>
        <v>0</v>
      </c>
      <c r="BS10" s="31">
        <f>IF(Table1[[#This Row],[Sustainability Check 2 (2018-2019) Status]]="Continued", Table1[[#This Row],[Check 2 Students Summer]], 0)</f>
        <v>0</v>
      </c>
      <c r="BT10" s="58">
        <f>Table1[[#This Row],[Summer 2018 Price Check]]*BS10</f>
        <v>0</v>
      </c>
      <c r="BU10" s="31">
        <f>IF(Table1[[#This Row],[Sustainability Check 2 (2018-2019) Status]]="Continued", Table1[[#This Row],[Check 2 Students Fall]], 0)</f>
        <v>0</v>
      </c>
      <c r="BV10" s="58">
        <f>Table1[[#This Row],[Summer 2018 Price Check]]*BU10</f>
        <v>0</v>
      </c>
      <c r="BW10" s="21">
        <f>IF(Table1[[#This Row],[Sustainability Check 2 (2018-2019) Status]]="Continued", Table1[Check 2 Students Spring], 0)</f>
        <v>0</v>
      </c>
      <c r="BX10" s="58">
        <f>Table1[[#This Row],[Summer 2018 Price Check]]*Table1[[#This Row],[Spring 2019 Students]]</f>
        <v>0</v>
      </c>
      <c r="BY10" s="31">
        <f t="shared" si="19"/>
        <v>0</v>
      </c>
      <c r="BZ10" s="58">
        <f t="shared" si="20"/>
        <v>0</v>
      </c>
      <c r="CA10" s="99" t="s">
        <v>1783</v>
      </c>
      <c r="CB10" s="21">
        <v>0</v>
      </c>
      <c r="CC10" s="21">
        <v>0</v>
      </c>
      <c r="CD10" s="21">
        <v>0</v>
      </c>
      <c r="CE10" s="21">
        <f t="shared" si="21"/>
        <v>0</v>
      </c>
      <c r="CF10" s="58">
        <v>0</v>
      </c>
      <c r="CG10" s="58">
        <f t="shared" si="22"/>
        <v>0</v>
      </c>
      <c r="CH10" s="17" t="s">
        <v>128</v>
      </c>
      <c r="CI10" s="21">
        <f>IF(Table1[[#This Row],[Check 3 Status]]="Continued", Table1[[#This Row],[Check 3 Students Summer]], 0)</f>
        <v>0</v>
      </c>
      <c r="CJ10" s="58">
        <f>Table1[[#This Row],[Check 3 Per Student Savings]]*CI10</f>
        <v>0</v>
      </c>
      <c r="CK10" s="21">
        <f>IF(Table1[[#This Row],[Check 3 Status]]="Continued", Table1[[#This Row],[Check 3 Students Fall]], 0)</f>
        <v>0</v>
      </c>
      <c r="CL10" s="58">
        <f>Table1[[#This Row],[Check 3 Per Student Savings]]*CK10</f>
        <v>0</v>
      </c>
      <c r="CM10" s="21">
        <f>IF(Table1[[#This Row],[Check 3 Status]]="Continued", Table1[[#This Row],[Check 3 Students Spring]], 0)</f>
        <v>0</v>
      </c>
      <c r="CN10" s="58">
        <f>Table1[[#This Row],[Check 3 Per Student Savings]]*CM10</f>
        <v>0</v>
      </c>
      <c r="CO10" s="21">
        <f t="shared" si="23"/>
        <v>0</v>
      </c>
      <c r="CP10" s="58">
        <f t="shared" si="24"/>
        <v>0</v>
      </c>
      <c r="CQ10" s="58" t="s">
        <v>1783</v>
      </c>
      <c r="CR10" s="21">
        <v>0</v>
      </c>
      <c r="CS10" s="21">
        <v>0</v>
      </c>
      <c r="CT10" s="21">
        <v>0</v>
      </c>
      <c r="CU10" s="21">
        <f t="shared" si="25"/>
        <v>0</v>
      </c>
      <c r="CV10" s="58">
        <v>0</v>
      </c>
      <c r="CW10" s="58">
        <f t="shared" si="26"/>
        <v>0</v>
      </c>
      <c r="CX10" s="58"/>
      <c r="CY10" s="21">
        <f>IF(Table1[[#This Row],[Check 4 Status]]="Continued", Table1[[#This Row],[Check 4 Students Summer]], 0)</f>
        <v>0</v>
      </c>
      <c r="CZ10" s="58">
        <f>Table1[[#This Row],[Check 4 Per Student Savings]]*CY10</f>
        <v>0</v>
      </c>
      <c r="DA10" s="21">
        <f>IF(Table1[[#This Row],[Check 4 Status]]="Continued", Table1[[#This Row],[Check 4 Students Fall]], 0)</f>
        <v>0</v>
      </c>
      <c r="DB10" s="58">
        <f>Table1[[#This Row],[Check 4 Per Student Savings]]*DA10</f>
        <v>0</v>
      </c>
      <c r="DC10" s="21">
        <f>IF(Table1[[#This Row],[Check 4 Status]]="Continued", Table1[[#This Row],[Check 4 Students Spring]], 0)</f>
        <v>0</v>
      </c>
      <c r="DD10" s="58">
        <f>Table1[[#This Row],[Check 4 Per Student Savings]]*DC10</f>
        <v>0</v>
      </c>
      <c r="DE10" s="58">
        <f t="shared" si="27"/>
        <v>0</v>
      </c>
      <c r="DF10" s="58">
        <f t="shared" si="28"/>
        <v>0</v>
      </c>
      <c r="DG1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300</v>
      </c>
      <c r="DH1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124875</v>
      </c>
      <c r="DI10" s="58">
        <f>Table1[[#This Row],[Grand Total Savings]]/Table1[[#This Row],[Total Award]]</f>
        <v>11.5625</v>
      </c>
      <c r="DJ10" s="17"/>
      <c r="DK10" s="17"/>
      <c r="DL10" s="17"/>
      <c r="DM10" s="17"/>
      <c r="EC10" s="17"/>
      <c r="ED10" s="17"/>
      <c r="EE10" s="17"/>
      <c r="EF10" s="17"/>
    </row>
    <row r="11" spans="1:136" x14ac:dyDescent="0.25">
      <c r="A11" s="159" t="s">
        <v>195</v>
      </c>
      <c r="B11" s="17" t="s">
        <v>2011</v>
      </c>
      <c r="D11" s="97" t="s">
        <v>116</v>
      </c>
      <c r="E11" s="158">
        <v>42066</v>
      </c>
      <c r="F11" s="158">
        <v>42163</v>
      </c>
      <c r="G11" s="159" t="s">
        <v>117</v>
      </c>
      <c r="H11" s="95" t="s">
        <v>10</v>
      </c>
      <c r="I11" s="226" t="s">
        <v>118</v>
      </c>
      <c r="J11" s="17" t="s">
        <v>179</v>
      </c>
      <c r="K11" s="101">
        <v>10800</v>
      </c>
      <c r="L11" s="101"/>
      <c r="M11" s="101" t="s">
        <v>196</v>
      </c>
      <c r="N11" s="17" t="s">
        <v>197</v>
      </c>
      <c r="O11" s="101" t="s">
        <v>198</v>
      </c>
      <c r="P11" s="101" t="s">
        <v>199</v>
      </c>
      <c r="Q11" s="101" t="s">
        <v>156</v>
      </c>
      <c r="R11" s="101" t="s">
        <v>129</v>
      </c>
      <c r="S11" s="160" t="s">
        <v>36</v>
      </c>
      <c r="T11" s="17" t="s">
        <v>129</v>
      </c>
      <c r="U11" s="101" t="s">
        <v>157</v>
      </c>
      <c r="V11" s="17" t="s">
        <v>150</v>
      </c>
      <c r="W11" s="17" t="s">
        <v>127</v>
      </c>
      <c r="X11" s="17" t="s">
        <v>127</v>
      </c>
      <c r="Y11" s="58">
        <v>5544</v>
      </c>
      <c r="Z11" s="17">
        <v>56</v>
      </c>
      <c r="AA11" s="58">
        <f t="shared" si="0"/>
        <v>99</v>
      </c>
      <c r="AB11" s="21">
        <f t="shared" si="1"/>
        <v>18.666666666666668</v>
      </c>
      <c r="AC11" s="21">
        <f t="shared" si="2"/>
        <v>18.666666666666668</v>
      </c>
      <c r="AD11" s="21">
        <f t="shared" si="3"/>
        <v>18.666666666666668</v>
      </c>
      <c r="AE11" s="17" t="s">
        <v>128</v>
      </c>
      <c r="AF11" s="17" t="s">
        <v>129</v>
      </c>
      <c r="AG11" s="17"/>
      <c r="AI11" s="17" t="s">
        <v>130</v>
      </c>
      <c r="AJ11" s="21">
        <f>Table1[[#This Row],[Students Per Spring]]</f>
        <v>18.666666666666668</v>
      </c>
      <c r="AK11" s="58">
        <f t="shared" si="4"/>
        <v>1848.0000000000002</v>
      </c>
      <c r="AL11" s="21">
        <f t="shared" si="5"/>
        <v>18.666666666666668</v>
      </c>
      <c r="AM11" s="58">
        <f t="shared" si="6"/>
        <v>1848.0000000000002</v>
      </c>
      <c r="AN11" s="21">
        <f>IF(Table1[[#This Row],[Sustainability Check 1 (2017-2018) Status]]="Continued", Table1[[#This Row],[Students Per Summer]], 0)</f>
        <v>18.666666666666668</v>
      </c>
      <c r="AO11" s="58">
        <f t="shared" si="7"/>
        <v>1848.0000000000002</v>
      </c>
      <c r="AP11" s="21">
        <f>IF(Table1[[#This Row],[Sustainability Check 1 (2017-2018) Status]]="Continued", Table1[[#This Row],[Students Per Fall]], 0)</f>
        <v>18.666666666666668</v>
      </c>
      <c r="AQ11" s="58">
        <f t="shared" si="8"/>
        <v>1848.0000000000002</v>
      </c>
      <c r="AR11" s="21">
        <f>IF(Table1[[#This Row],[Sustainability Check 1 (2017-2018) Status]]="Continued", Table1[[#This Row],[Students Per Spring]], 0)</f>
        <v>18.666666666666668</v>
      </c>
      <c r="AS11" s="58">
        <f t="shared" si="9"/>
        <v>1848.0000000000002</v>
      </c>
      <c r="AT11" s="21">
        <f>AN11+AP11+AR11</f>
        <v>56</v>
      </c>
      <c r="AU11" s="58">
        <f t="shared" si="29"/>
        <v>5544.0000000000009</v>
      </c>
      <c r="AV11" s="21">
        <f>IF(Table1[[#This Row],[Sustainability Check 1 (2017-2018) Status]]="Continued", Table1[[#This Row],[Students Per Summer]], 0)</f>
        <v>18.666666666666668</v>
      </c>
      <c r="AW11" s="58">
        <f>$AA11*AV11</f>
        <v>1848.0000000000002</v>
      </c>
      <c r="AX11" s="31">
        <f>IF(Table1[[#This Row],[Sustainability Check 1 (2017-2018) Status]]="Continued", Table1[[#This Row],[Students Per Fall]], 0)</f>
        <v>18.666666666666668</v>
      </c>
      <c r="AY11" s="58">
        <f>$AA11*AX11</f>
        <v>1848.0000000000002</v>
      </c>
      <c r="AZ11" s="31">
        <f>IF(Table1[[#This Row],[Sustainability Check 1 (2017-2018) Status]]="Continued", Table1[[#This Row],[Students Per Spring]], 0)</f>
        <v>18.666666666666668</v>
      </c>
      <c r="BA11" s="58">
        <f>$AA11*AZ11</f>
        <v>1848.0000000000002</v>
      </c>
      <c r="BB11" s="31">
        <f>AV11+AX11+AZ11</f>
        <v>56</v>
      </c>
      <c r="BC11" s="58">
        <f>AW11+AY11+BA11</f>
        <v>5544.0000000000009</v>
      </c>
      <c r="BD11" s="31">
        <f>IF(Table1[[#This Row],[Sustainability Check 1 (2017-2018) Status]]="Continued", Table1[[#This Row],[Students Per Summer]], 0)</f>
        <v>18.666666666666668</v>
      </c>
      <c r="BE11" s="58">
        <f>$AA11*BD11</f>
        <v>1848.0000000000002</v>
      </c>
      <c r="BF11" s="31">
        <f>IF(Table1[[#This Row],[Sustainability Check 1 (2017-2018) Status]]="Continued", Table1[[#This Row],[Students Per Fall]], 0)</f>
        <v>18.666666666666668</v>
      </c>
      <c r="BG11" s="58">
        <f>$AA11*BF11</f>
        <v>1848.0000000000002</v>
      </c>
      <c r="BH11" s="31">
        <f>IF(Table1[[#This Row],[Sustainability Check 1 (2017-2018) Status]]="Continued", Table1[[#This Row],[Students Per Spring]], 0)</f>
        <v>18.666666666666668</v>
      </c>
      <c r="BI11" s="58">
        <f>$AA11*BH11</f>
        <v>1848.0000000000002</v>
      </c>
      <c r="BJ11" s="31">
        <f>BD11+BF11+BH11</f>
        <v>56</v>
      </c>
      <c r="BK11" s="58">
        <f>BE11+BG11+BI11</f>
        <v>5544.0000000000009</v>
      </c>
      <c r="BL11" s="58" t="s">
        <v>142</v>
      </c>
      <c r="BM11" s="31">
        <v>0</v>
      </c>
      <c r="BN11" s="31">
        <v>0</v>
      </c>
      <c r="BO11" s="31">
        <v>0</v>
      </c>
      <c r="BP11" s="31">
        <f t="shared" ref="BP11:BP27" si="30">SUM(BM11:BO11)</f>
        <v>0</v>
      </c>
      <c r="BQ11" s="96">
        <v>104.5</v>
      </c>
      <c r="BR11" s="58">
        <f>Table1[[#This Row],[Check 2 Students Total]]*Table1[[#This Row],[Summer 2018 Price Check]]</f>
        <v>0</v>
      </c>
      <c r="BS11" s="31">
        <f>IF(Table1[[#This Row],[Sustainability Check 2 (2018-2019) Status]]="Continued", Table1[[#This Row],[Check 2 Students Summer]], 0)</f>
        <v>0</v>
      </c>
      <c r="BT11" s="58">
        <f>Table1[[#This Row],[Summer 2018 Price Check]]*BS11</f>
        <v>0</v>
      </c>
      <c r="BU11" s="31">
        <f>IF(Table1[[#This Row],[Sustainability Check 2 (2018-2019) Status]]="Continued", Table1[[#This Row],[Check 2 Students Fall]], 0)</f>
        <v>0</v>
      </c>
      <c r="BV11" s="58">
        <f>Table1[[#This Row],[Summer 2018 Price Check]]*BU11</f>
        <v>0</v>
      </c>
      <c r="BW11" s="21">
        <f>IF(Table1[[#This Row],[Sustainability Check 2 (2018-2019) Status]]="Continued", Table1[Check 2 Students Spring], 0)</f>
        <v>0</v>
      </c>
      <c r="BX11" s="58">
        <f>Table1[[#This Row],[Summer 2018 Price Check]]*Table1[[#This Row],[Spring 2019 Students]]</f>
        <v>0</v>
      </c>
      <c r="BY11" s="31">
        <f t="shared" si="19"/>
        <v>0</v>
      </c>
      <c r="BZ11" s="58">
        <f t="shared" si="20"/>
        <v>0</v>
      </c>
      <c r="CA11" s="58" t="s">
        <v>142</v>
      </c>
      <c r="CB11" s="21">
        <v>0</v>
      </c>
      <c r="CC11" s="21">
        <v>0</v>
      </c>
      <c r="CD11" s="21">
        <v>0</v>
      </c>
      <c r="CE11" s="21">
        <f t="shared" si="21"/>
        <v>0</v>
      </c>
      <c r="CF11" s="58">
        <v>0</v>
      </c>
      <c r="CG11" s="58">
        <f t="shared" si="22"/>
        <v>0</v>
      </c>
      <c r="CH11" s="17" t="s">
        <v>128</v>
      </c>
      <c r="CI11" s="21">
        <f>IF(Table1[[#This Row],[Check 3 Status]]="Continued", Table1[[#This Row],[Check 3 Students Summer]], 0)</f>
        <v>0</v>
      </c>
      <c r="CJ11" s="58">
        <f>Table1[[#This Row],[Check 3 Per Student Savings]]*CI11</f>
        <v>0</v>
      </c>
      <c r="CK11" s="21">
        <f>IF(Table1[[#This Row],[Check 3 Status]]="Continued", Table1[[#This Row],[Check 3 Students Fall]], 0)</f>
        <v>0</v>
      </c>
      <c r="CL11" s="58">
        <f>Table1[[#This Row],[Check 3 Per Student Savings]]*CK11</f>
        <v>0</v>
      </c>
      <c r="CM11" s="21">
        <f>IF(Table1[[#This Row],[Check 3 Status]]="Continued", Table1[[#This Row],[Check 3 Students Spring]], 0)</f>
        <v>0</v>
      </c>
      <c r="CN11" s="58">
        <f>Table1[[#This Row],[Check 3 Per Student Savings]]*CM11</f>
        <v>0</v>
      </c>
      <c r="CO11" s="21">
        <f t="shared" si="23"/>
        <v>0</v>
      </c>
      <c r="CP11" s="58">
        <f t="shared" si="24"/>
        <v>0</v>
      </c>
      <c r="CQ11" s="58" t="s">
        <v>142</v>
      </c>
      <c r="CR11" s="21">
        <v>0</v>
      </c>
      <c r="CS11" s="21">
        <v>0</v>
      </c>
      <c r="CT11" s="21">
        <v>0</v>
      </c>
      <c r="CU11" s="21">
        <f t="shared" si="25"/>
        <v>0</v>
      </c>
      <c r="CV11" s="58">
        <v>0</v>
      </c>
      <c r="CW11" s="58">
        <f t="shared" si="26"/>
        <v>0</v>
      </c>
      <c r="CX11" s="58"/>
      <c r="CY11" s="21">
        <f>IF(Table1[[#This Row],[Check 4 Status]]="Continued", Table1[[#This Row],[Check 4 Students Summer]], 0)</f>
        <v>0</v>
      </c>
      <c r="CZ11" s="58">
        <f>Table1[[#This Row],[Check 4 Per Student Savings]]*CY11</f>
        <v>0</v>
      </c>
      <c r="DA11" s="21">
        <f>IF(Table1[[#This Row],[Check 4 Status]]="Continued", Table1[[#This Row],[Check 4 Students Fall]], 0)</f>
        <v>0</v>
      </c>
      <c r="DB11" s="58">
        <f>Table1[[#This Row],[Check 4 Per Student Savings]]*DA11</f>
        <v>0</v>
      </c>
      <c r="DC11" s="21">
        <f>IF(Table1[[#This Row],[Check 4 Status]]="Continued", Table1[[#This Row],[Check 4 Students Spring]], 0)</f>
        <v>0</v>
      </c>
      <c r="DD11" s="58">
        <f>Table1[[#This Row],[Check 4 Per Student Savings]]*DC11</f>
        <v>0</v>
      </c>
      <c r="DE11" s="58">
        <f t="shared" si="27"/>
        <v>0</v>
      </c>
      <c r="DF11" s="58">
        <f t="shared" si="28"/>
        <v>0</v>
      </c>
      <c r="DG1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186.66666666666669</v>
      </c>
      <c r="DH1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18480.000000000004</v>
      </c>
      <c r="DI11" s="58">
        <f>Table1[[#This Row],[Grand Total Savings]]/Table1[[#This Row],[Total Award]]</f>
        <v>1.7111111111111115</v>
      </c>
      <c r="DJ11" s="17"/>
      <c r="DK11" s="17"/>
      <c r="DL11" s="17"/>
      <c r="DM11" s="17"/>
      <c r="EC11" s="17"/>
      <c r="ED11" s="17"/>
      <c r="EE11" s="17"/>
      <c r="EF11" s="17"/>
    </row>
    <row r="12" spans="1:136" x14ac:dyDescent="0.25">
      <c r="A12" s="159" t="s">
        <v>200</v>
      </c>
      <c r="B12" s="17" t="s">
        <v>2011</v>
      </c>
      <c r="D12" s="97" t="s">
        <v>116</v>
      </c>
      <c r="E12" s="158">
        <v>41962</v>
      </c>
      <c r="F12" s="158">
        <v>42163</v>
      </c>
      <c r="G12" s="159" t="s">
        <v>117</v>
      </c>
      <c r="H12" s="95" t="s">
        <v>10</v>
      </c>
      <c r="I12" s="226" t="s">
        <v>118</v>
      </c>
      <c r="J12" s="17" t="s">
        <v>201</v>
      </c>
      <c r="K12" s="101">
        <v>10800</v>
      </c>
      <c r="L12" s="101"/>
      <c r="M12" s="101" t="s">
        <v>202</v>
      </c>
      <c r="N12" s="17" t="s">
        <v>203</v>
      </c>
      <c r="O12" s="101" t="s">
        <v>204</v>
      </c>
      <c r="P12" s="101" t="s">
        <v>205</v>
      </c>
      <c r="Q12" s="101" t="s">
        <v>206</v>
      </c>
      <c r="R12" s="101" t="s">
        <v>204</v>
      </c>
      <c r="S12" s="101" t="s">
        <v>129</v>
      </c>
      <c r="T12" s="17" t="s">
        <v>129</v>
      </c>
      <c r="U12" s="160" t="s">
        <v>207</v>
      </c>
      <c r="V12" s="17" t="s">
        <v>127</v>
      </c>
      <c r="W12" s="17" t="s">
        <v>127</v>
      </c>
      <c r="X12" s="17" t="s">
        <v>127</v>
      </c>
      <c r="Y12" s="58">
        <v>44000</v>
      </c>
      <c r="Z12" s="17">
        <v>440</v>
      </c>
      <c r="AA12" s="58">
        <f t="shared" si="0"/>
        <v>100</v>
      </c>
      <c r="AB12" s="21">
        <f t="shared" si="1"/>
        <v>146.66666666666666</v>
      </c>
      <c r="AC12" s="21">
        <f t="shared" si="2"/>
        <v>146.66666666666666</v>
      </c>
      <c r="AD12" s="21">
        <f t="shared" si="3"/>
        <v>146.66666666666666</v>
      </c>
      <c r="AE12" s="17" t="s">
        <v>128</v>
      </c>
      <c r="AF12" s="17" t="s">
        <v>125</v>
      </c>
      <c r="AG12" s="17">
        <v>102</v>
      </c>
      <c r="AH12" s="17" t="s">
        <v>208</v>
      </c>
      <c r="AI12" s="17" t="s">
        <v>130</v>
      </c>
      <c r="AJ12" s="21">
        <f>Table1[[#This Row],[Students Per Spring]]</f>
        <v>146.66666666666666</v>
      </c>
      <c r="AK12" s="58">
        <f t="shared" si="4"/>
        <v>14666.666666666666</v>
      </c>
      <c r="AL12" s="21">
        <f t="shared" si="5"/>
        <v>146.66666666666666</v>
      </c>
      <c r="AM12" s="58">
        <f t="shared" si="6"/>
        <v>14666.666666666666</v>
      </c>
      <c r="AN12" s="21">
        <f>IF(Table1[[#This Row],[Sustainability Check 1 (2017-2018) Status]]="Continued", Table1[[#This Row],[Students Per Summer]], 0)</f>
        <v>146.66666666666666</v>
      </c>
      <c r="AO12" s="58">
        <f t="shared" si="7"/>
        <v>14666.666666666666</v>
      </c>
      <c r="AP12" s="21">
        <v>0</v>
      </c>
      <c r="AQ12" s="58">
        <f t="shared" si="8"/>
        <v>0</v>
      </c>
      <c r="AR12" s="21">
        <v>0</v>
      </c>
      <c r="AS12" s="58">
        <f t="shared" si="9"/>
        <v>0</v>
      </c>
      <c r="AT12" s="21">
        <v>0</v>
      </c>
      <c r="AU12" s="58">
        <f t="shared" si="29"/>
        <v>14666.666666666666</v>
      </c>
      <c r="AV12" s="21">
        <v>0</v>
      </c>
      <c r="AW12" s="58">
        <v>0</v>
      </c>
      <c r="AX12" s="31">
        <v>0</v>
      </c>
      <c r="AY12" s="58">
        <v>0</v>
      </c>
      <c r="AZ12" s="31">
        <v>0</v>
      </c>
      <c r="BA12" s="58">
        <v>0</v>
      </c>
      <c r="BB12" s="31">
        <v>0</v>
      </c>
      <c r="BC12" s="58">
        <v>0</v>
      </c>
      <c r="BD12" s="31">
        <v>0</v>
      </c>
      <c r="BE12" s="58">
        <v>0</v>
      </c>
      <c r="BF12" s="31">
        <v>0</v>
      </c>
      <c r="BG12" s="58">
        <v>0</v>
      </c>
      <c r="BH12" s="31">
        <v>0</v>
      </c>
      <c r="BI12" s="58">
        <v>0</v>
      </c>
      <c r="BJ12" s="31">
        <v>0</v>
      </c>
      <c r="BK12" s="58">
        <v>0</v>
      </c>
      <c r="BL12" s="99" t="s">
        <v>1783</v>
      </c>
      <c r="BM12" s="98">
        <v>0</v>
      </c>
      <c r="BN12" s="98">
        <v>0</v>
      </c>
      <c r="BO12" s="98">
        <v>0</v>
      </c>
      <c r="BP12" s="98">
        <f t="shared" si="30"/>
        <v>0</v>
      </c>
      <c r="BQ12" s="96">
        <v>115.99</v>
      </c>
      <c r="BR12" s="58">
        <f>Table1[[#This Row],[Check 2 Students Total]]*Table1[[#This Row],[Summer 2018 Price Check]]</f>
        <v>0</v>
      </c>
      <c r="BS12" s="31">
        <f>IF(Table1[[#This Row],[Sustainability Check 2 (2018-2019) Status]]="Continued", Table1[[#This Row],[Check 2 Students Summer]], 0)</f>
        <v>0</v>
      </c>
      <c r="BT12" s="58">
        <f>Table1[[#This Row],[Summer 2018 Price Check]]*BS12</f>
        <v>0</v>
      </c>
      <c r="BU12" s="31">
        <f>IF(Table1[[#This Row],[Sustainability Check 2 (2018-2019) Status]]="Continued", Table1[[#This Row],[Check 2 Students Fall]], 0)</f>
        <v>0</v>
      </c>
      <c r="BV12" s="58">
        <f>Table1[[#This Row],[Summer 2018 Price Check]]*BU12</f>
        <v>0</v>
      </c>
      <c r="BW12" s="21">
        <f>IF(Table1[[#This Row],[Sustainability Check 2 (2018-2019) Status]]="Continued", Table1[Check 2 Students Spring], 0)</f>
        <v>0</v>
      </c>
      <c r="BX12" s="58">
        <f>Table1[[#This Row],[Summer 2018 Price Check]]*Table1[[#This Row],[Spring 2019 Students]]</f>
        <v>0</v>
      </c>
      <c r="BY12" s="31">
        <f t="shared" si="19"/>
        <v>0</v>
      </c>
      <c r="BZ12" s="58">
        <f t="shared" si="20"/>
        <v>0</v>
      </c>
      <c r="CA12" s="99" t="s">
        <v>1783</v>
      </c>
      <c r="CB12" s="21">
        <v>0</v>
      </c>
      <c r="CC12" s="21">
        <v>0</v>
      </c>
      <c r="CD12" s="21">
        <v>0</v>
      </c>
      <c r="CE12" s="21">
        <f t="shared" si="21"/>
        <v>0</v>
      </c>
      <c r="CF12" s="58">
        <v>0</v>
      </c>
      <c r="CG12" s="58">
        <f t="shared" si="22"/>
        <v>0</v>
      </c>
      <c r="CH12" s="17" t="s">
        <v>128</v>
      </c>
      <c r="CI12" s="21">
        <f>IF(Table1[[#This Row],[Check 3 Status]]="Continued", Table1[[#This Row],[Check 3 Students Summer]], 0)</f>
        <v>0</v>
      </c>
      <c r="CJ12" s="58">
        <f>Table1[[#This Row],[Check 3 Per Student Savings]]*CI12</f>
        <v>0</v>
      </c>
      <c r="CK12" s="21">
        <f>IF(Table1[[#This Row],[Check 3 Status]]="Continued", Table1[[#This Row],[Check 3 Students Fall]], 0)</f>
        <v>0</v>
      </c>
      <c r="CL12" s="58">
        <f>Table1[[#This Row],[Check 3 Per Student Savings]]*CK12</f>
        <v>0</v>
      </c>
      <c r="CM12" s="21">
        <f>IF(Table1[[#This Row],[Check 3 Status]]="Continued", Table1[[#This Row],[Check 3 Students Spring]], 0)</f>
        <v>0</v>
      </c>
      <c r="CN12" s="58">
        <f>Table1[[#This Row],[Check 3 Per Student Savings]]*CM12</f>
        <v>0</v>
      </c>
      <c r="CO12" s="21">
        <f t="shared" si="23"/>
        <v>0</v>
      </c>
      <c r="CP12" s="58">
        <f t="shared" si="24"/>
        <v>0</v>
      </c>
      <c r="CQ12" s="58" t="s">
        <v>1783</v>
      </c>
      <c r="CR12" s="21">
        <v>0</v>
      </c>
      <c r="CS12" s="21">
        <v>0</v>
      </c>
      <c r="CT12" s="21">
        <v>0</v>
      </c>
      <c r="CU12" s="21">
        <f t="shared" si="25"/>
        <v>0</v>
      </c>
      <c r="CV12" s="58">
        <v>0</v>
      </c>
      <c r="CW12" s="58">
        <f t="shared" si="26"/>
        <v>0</v>
      </c>
      <c r="CX12" s="58"/>
      <c r="CY12" s="21">
        <f>IF(Table1[[#This Row],[Check 4 Status]]="Continued", Table1[[#This Row],[Check 4 Students Summer]], 0)</f>
        <v>0</v>
      </c>
      <c r="CZ12" s="58">
        <f>Table1[[#This Row],[Check 4 Per Student Savings]]*CY12</f>
        <v>0</v>
      </c>
      <c r="DA12" s="21">
        <f>IF(Table1[[#This Row],[Check 4 Status]]="Continued", Table1[[#This Row],[Check 4 Students Fall]], 0)</f>
        <v>0</v>
      </c>
      <c r="DB12" s="58">
        <f>Table1[[#This Row],[Check 4 Per Student Savings]]*DA12</f>
        <v>0</v>
      </c>
      <c r="DC12" s="21">
        <f>IF(Table1[[#This Row],[Check 4 Status]]="Continued", Table1[[#This Row],[Check 4 Students Spring]], 0)</f>
        <v>0</v>
      </c>
      <c r="DD12" s="58">
        <f>Table1[[#This Row],[Check 4 Per Student Savings]]*DC12</f>
        <v>0</v>
      </c>
      <c r="DE12" s="58">
        <f t="shared" si="27"/>
        <v>0</v>
      </c>
      <c r="DF12" s="58">
        <f t="shared" si="28"/>
        <v>0</v>
      </c>
      <c r="DG1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146.66666666666666</v>
      </c>
      <c r="DH1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29333.333333333332</v>
      </c>
      <c r="DI12" s="58">
        <f>Table1[[#This Row],[Grand Total Savings]]/Table1[[#This Row],[Total Award]]</f>
        <v>2.7160493827160495</v>
      </c>
      <c r="DJ12" s="17"/>
      <c r="DK12" s="17"/>
      <c r="DL12" s="17"/>
      <c r="DM12" s="17"/>
      <c r="EC12" s="17"/>
      <c r="ED12" s="17"/>
      <c r="EE12" s="17"/>
      <c r="EF12" s="17"/>
    </row>
    <row r="13" spans="1:136" x14ac:dyDescent="0.25">
      <c r="A13" s="159" t="s">
        <v>209</v>
      </c>
      <c r="B13" s="17" t="s">
        <v>2011</v>
      </c>
      <c r="D13" s="97" t="s">
        <v>116</v>
      </c>
      <c r="E13" s="158">
        <v>41962</v>
      </c>
      <c r="F13" s="158">
        <v>42163</v>
      </c>
      <c r="G13" s="159" t="s">
        <v>117</v>
      </c>
      <c r="H13" s="95" t="s">
        <v>10</v>
      </c>
      <c r="I13" s="226" t="s">
        <v>118</v>
      </c>
      <c r="J13" s="17" t="s">
        <v>210</v>
      </c>
      <c r="K13" s="101">
        <v>10800</v>
      </c>
      <c r="L13" s="101"/>
      <c r="M13" s="101" t="s">
        <v>211</v>
      </c>
      <c r="N13" s="17" t="s">
        <v>212</v>
      </c>
      <c r="O13" s="101" t="s">
        <v>213</v>
      </c>
      <c r="P13" s="101" t="s">
        <v>214</v>
      </c>
      <c r="Q13" s="101" t="s">
        <v>148</v>
      </c>
      <c r="R13" s="101" t="s">
        <v>215</v>
      </c>
      <c r="S13" s="160" t="s">
        <v>36</v>
      </c>
      <c r="T13" s="17" t="s">
        <v>129</v>
      </c>
      <c r="U13" s="160" t="s">
        <v>216</v>
      </c>
      <c r="V13" s="17" t="s">
        <v>150</v>
      </c>
      <c r="W13" s="17" t="s">
        <v>127</v>
      </c>
      <c r="X13" s="17" t="s">
        <v>127</v>
      </c>
      <c r="Y13" s="58">
        <v>87025</v>
      </c>
      <c r="Z13" s="31">
        <v>521</v>
      </c>
      <c r="AA13" s="58">
        <f t="shared" si="0"/>
        <v>167.03454894433781</v>
      </c>
      <c r="AB13" s="21">
        <f t="shared" si="1"/>
        <v>173.66666666666666</v>
      </c>
      <c r="AC13" s="21">
        <f t="shared" si="2"/>
        <v>173.66666666666666</v>
      </c>
      <c r="AD13" s="21">
        <f t="shared" si="3"/>
        <v>173.66666666666666</v>
      </c>
      <c r="AE13" s="17" t="s">
        <v>128</v>
      </c>
      <c r="AF13" s="17" t="s">
        <v>129</v>
      </c>
      <c r="AG13" s="17"/>
      <c r="AI13" s="17" t="s">
        <v>130</v>
      </c>
      <c r="AJ13" s="21">
        <f>Table1[[#This Row],[Students Per Spring]]</f>
        <v>173.66666666666666</v>
      </c>
      <c r="AK13" s="58">
        <f t="shared" si="4"/>
        <v>29008.333333333332</v>
      </c>
      <c r="AL13" s="21">
        <f t="shared" si="5"/>
        <v>173.66666666666666</v>
      </c>
      <c r="AM13" s="58">
        <f t="shared" si="6"/>
        <v>29008.333333333332</v>
      </c>
      <c r="AN13" s="21">
        <f>IF(Table1[[#This Row],[Sustainability Check 1 (2017-2018) Status]]="Continued", Table1[[#This Row],[Students Per Summer]], 0)</f>
        <v>173.66666666666666</v>
      </c>
      <c r="AO13" s="58">
        <f t="shared" si="7"/>
        <v>29008.333333333332</v>
      </c>
      <c r="AP13" s="21">
        <f>IF(Table1[[#This Row],[Sustainability Check 1 (2017-2018) Status]]="Continued", Table1[[#This Row],[Students Per Fall]], 0)</f>
        <v>173.66666666666666</v>
      </c>
      <c r="AQ13" s="58">
        <f t="shared" si="8"/>
        <v>29008.333333333332</v>
      </c>
      <c r="AR13" s="21">
        <f>IF(Table1[[#This Row],[Sustainability Check 1 (2017-2018) Status]]="Continued", Table1[[#This Row],[Students Per Spring]], 0)</f>
        <v>173.66666666666666</v>
      </c>
      <c r="AS13" s="58">
        <f t="shared" si="9"/>
        <v>29008.333333333332</v>
      </c>
      <c r="AT13" s="21">
        <f t="shared" ref="AT13:AT18" si="31">AN13+AP13+AR13</f>
        <v>521</v>
      </c>
      <c r="AU13" s="58">
        <f t="shared" si="29"/>
        <v>87025</v>
      </c>
      <c r="AV13" s="21">
        <f>IF(Table1[[#This Row],[Sustainability Check 1 (2017-2018) Status]]="Continued", Table1[[#This Row],[Students Per Summer]], 0)</f>
        <v>173.66666666666666</v>
      </c>
      <c r="AW13" s="58">
        <f t="shared" ref="AW13:AW18" si="32">$AA13*AV13</f>
        <v>29008.333333333332</v>
      </c>
      <c r="AX13" s="31">
        <f>IF(Table1[[#This Row],[Sustainability Check 1 (2017-2018) Status]]="Continued", Table1[[#This Row],[Students Per Fall]], 0)</f>
        <v>173.66666666666666</v>
      </c>
      <c r="AY13" s="58">
        <f t="shared" ref="AY13:AY18" si="33">$AA13*AX13</f>
        <v>29008.333333333332</v>
      </c>
      <c r="AZ13" s="31">
        <f>IF(Table1[[#This Row],[Sustainability Check 1 (2017-2018) Status]]="Continued", Table1[[#This Row],[Students Per Spring]], 0)</f>
        <v>173.66666666666666</v>
      </c>
      <c r="BA13" s="58">
        <f t="shared" ref="BA13:BA18" si="34">$AA13*AZ13</f>
        <v>29008.333333333332</v>
      </c>
      <c r="BB13" s="31">
        <f t="shared" ref="BB13:BC18" si="35">AV13+AX13+AZ13</f>
        <v>521</v>
      </c>
      <c r="BC13" s="58">
        <f t="shared" si="35"/>
        <v>87025</v>
      </c>
      <c r="BD13" s="31">
        <f>IF(Table1[[#This Row],[Sustainability Check 1 (2017-2018) Status]]="Continued", Table1[[#This Row],[Students Per Summer]], 0)</f>
        <v>173.66666666666666</v>
      </c>
      <c r="BE13" s="58">
        <f t="shared" ref="BE13:BE18" si="36">$AA13*BD13</f>
        <v>29008.333333333332</v>
      </c>
      <c r="BF13" s="31">
        <f>IF(Table1[[#This Row],[Sustainability Check 1 (2017-2018) Status]]="Continued", Table1[[#This Row],[Students Per Fall]], 0)</f>
        <v>173.66666666666666</v>
      </c>
      <c r="BG13" s="58">
        <f t="shared" ref="BG13:BG18" si="37">$AA13*BF13</f>
        <v>29008.333333333332</v>
      </c>
      <c r="BH13" s="31">
        <f>IF(Table1[[#This Row],[Sustainability Check 1 (2017-2018) Status]]="Continued", Table1[[#This Row],[Students Per Spring]], 0)</f>
        <v>173.66666666666666</v>
      </c>
      <c r="BI13" s="58">
        <f t="shared" ref="BI13:BI18" si="38">$AA13*BH13</f>
        <v>29008.333333333332</v>
      </c>
      <c r="BJ13" s="31">
        <f t="shared" ref="BJ13:BK18" si="39">BD13+BF13+BH13</f>
        <v>521</v>
      </c>
      <c r="BK13" s="58">
        <f t="shared" si="39"/>
        <v>87025</v>
      </c>
      <c r="BL13" s="58" t="s">
        <v>130</v>
      </c>
      <c r="BM13" s="31">
        <v>50</v>
      </c>
      <c r="BN13" s="31">
        <v>200</v>
      </c>
      <c r="BO13" s="31">
        <v>180</v>
      </c>
      <c r="BP13" s="31">
        <f t="shared" si="30"/>
        <v>430</v>
      </c>
      <c r="BQ13" s="96">
        <v>288.68</v>
      </c>
      <c r="BR13" s="58">
        <f>Table1[[#This Row],[Check 2 Students Total]]*Table1[[#This Row],[Summer 2018 Price Check]]</f>
        <v>124132.40000000001</v>
      </c>
      <c r="BS13" s="31">
        <f>IF(Table1[[#This Row],[Sustainability Check 2 (2018-2019) Status]]="Continued", Table1[[#This Row],[Check 2 Students Summer]], 0)</f>
        <v>50</v>
      </c>
      <c r="BT13" s="58">
        <f>Table1[[#This Row],[Summer 2018 Price Check]]*BS13</f>
        <v>14434</v>
      </c>
      <c r="BU13" s="31">
        <f>IF(Table1[[#This Row],[Sustainability Check 2 (2018-2019) Status]]="Continued", Table1[[#This Row],[Check 2 Students Fall]], 0)</f>
        <v>200</v>
      </c>
      <c r="BV13" s="58">
        <f>Table1[[#This Row],[Summer 2018 Price Check]]*BU13</f>
        <v>57736</v>
      </c>
      <c r="BW13" s="21">
        <f>IF(Table1[[#This Row],[Sustainability Check 2 (2018-2019) Status]]="Continued", Table1[Check 2 Students Spring], 0)</f>
        <v>180</v>
      </c>
      <c r="BX13" s="58">
        <f>Table1[[#This Row],[Summer 2018 Price Check]]*Table1[[#This Row],[Spring 2019 Students]]</f>
        <v>51962.400000000001</v>
      </c>
      <c r="BY13" s="31">
        <f t="shared" si="19"/>
        <v>430</v>
      </c>
      <c r="BZ13" s="58">
        <f t="shared" si="20"/>
        <v>124132.4</v>
      </c>
      <c r="CA13" s="58" t="s">
        <v>130</v>
      </c>
      <c r="CB13" s="21">
        <v>50</v>
      </c>
      <c r="CC13" s="21">
        <v>200</v>
      </c>
      <c r="CD13" s="21">
        <v>180</v>
      </c>
      <c r="CE13" s="21">
        <f t="shared" si="21"/>
        <v>430</v>
      </c>
      <c r="CF13" s="58">
        <v>225</v>
      </c>
      <c r="CG13" s="58">
        <f t="shared" si="22"/>
        <v>96750</v>
      </c>
      <c r="CH13" s="17" t="s">
        <v>128</v>
      </c>
      <c r="CI13" s="21">
        <f>IF(Table1[[#This Row],[Check 3 Status]]="Continued", Table1[[#This Row],[Check 3 Students Summer]], 0)</f>
        <v>50</v>
      </c>
      <c r="CJ13" s="58">
        <f>Table1[[#This Row],[Check 3 Per Student Savings]]*CI13</f>
        <v>11250</v>
      </c>
      <c r="CK13" s="21">
        <f>IF(Table1[[#This Row],[Check 3 Status]]="Continued", Table1[[#This Row],[Check 3 Students Fall]], 0)</f>
        <v>200</v>
      </c>
      <c r="CL13" s="58">
        <f>Table1[[#This Row],[Check 3 Per Student Savings]]*CK13</f>
        <v>45000</v>
      </c>
      <c r="CM13" s="21">
        <f>IF(Table1[[#This Row],[Check 3 Status]]="Continued", Table1[[#This Row],[Check 3 Students Spring]], 0)</f>
        <v>180</v>
      </c>
      <c r="CN13" s="58">
        <f>Table1[[#This Row],[Check 3 Per Student Savings]]*CM13</f>
        <v>40500</v>
      </c>
      <c r="CO13" s="21">
        <f t="shared" si="23"/>
        <v>430</v>
      </c>
      <c r="CP13" s="58">
        <f t="shared" si="24"/>
        <v>96750</v>
      </c>
      <c r="CQ13" s="58" t="s">
        <v>1777</v>
      </c>
      <c r="CR13" s="21">
        <v>50</v>
      </c>
      <c r="CS13" s="21">
        <v>200</v>
      </c>
      <c r="CT13" s="21">
        <v>180</v>
      </c>
      <c r="CU13" s="21">
        <v>0</v>
      </c>
      <c r="CV13" s="58">
        <v>0</v>
      </c>
      <c r="CW13" s="58">
        <f t="shared" si="26"/>
        <v>0</v>
      </c>
      <c r="CX13" s="58"/>
      <c r="CY13" s="21">
        <f>IF(Table1[[#This Row],[Check 4 Status]]="Continued", Table1[[#This Row],[Check 4 Students Summer]], 0)</f>
        <v>0</v>
      </c>
      <c r="CZ13" s="58">
        <f>Table1[[#This Row],[Check 4 Per Student Savings]]*CY13</f>
        <v>0</v>
      </c>
      <c r="DA13" s="21">
        <f>IF(Table1[[#This Row],[Check 4 Status]]="Continued", Table1[[#This Row],[Check 4 Students Fall]], 0)</f>
        <v>0</v>
      </c>
      <c r="DB13" s="58">
        <f>Table1[[#This Row],[Check 4 Per Student Savings]]*DA13</f>
        <v>0</v>
      </c>
      <c r="DC13" s="21">
        <f>IF(Table1[[#This Row],[Check 4 Status]]="Continued", Table1[[#This Row],[Check 4 Students Spring]], 0)</f>
        <v>0</v>
      </c>
      <c r="DD13" s="58">
        <f>Table1[[#This Row],[Check 4 Per Student Savings]]*DC13</f>
        <v>0</v>
      </c>
      <c r="DE13" s="58">
        <f t="shared" si="27"/>
        <v>0</v>
      </c>
      <c r="DF13" s="58">
        <f t="shared" si="28"/>
        <v>0</v>
      </c>
      <c r="DG1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2596.6666666666665</v>
      </c>
      <c r="DH1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510965.73333333328</v>
      </c>
      <c r="DI13" s="58">
        <f>Table1[[#This Row],[Grand Total Savings]]/Table1[[#This Row],[Total Award]]</f>
        <v>47.311641975308639</v>
      </c>
      <c r="DJ13" s="17"/>
      <c r="DK13" s="17"/>
      <c r="DL13" s="17"/>
      <c r="DM13" s="17"/>
      <c r="EC13" s="17"/>
      <c r="ED13" s="17"/>
      <c r="EE13" s="17"/>
      <c r="EF13" s="17"/>
    </row>
    <row r="14" spans="1:136" x14ac:dyDescent="0.25">
      <c r="A14" s="159" t="s">
        <v>217</v>
      </c>
      <c r="B14" s="17" t="s">
        <v>2011</v>
      </c>
      <c r="D14" s="97" t="s">
        <v>116</v>
      </c>
      <c r="E14" s="158">
        <v>42032</v>
      </c>
      <c r="F14" s="158">
        <v>42163</v>
      </c>
      <c r="G14" s="159" t="s">
        <v>117</v>
      </c>
      <c r="H14" s="95" t="s">
        <v>10</v>
      </c>
      <c r="I14" s="226" t="s">
        <v>118</v>
      </c>
      <c r="J14" s="17" t="s">
        <v>218</v>
      </c>
      <c r="K14" s="101">
        <v>10800</v>
      </c>
      <c r="L14" s="101"/>
      <c r="M14" s="101" t="s">
        <v>219</v>
      </c>
      <c r="N14" s="17" t="s">
        <v>220</v>
      </c>
      <c r="O14" s="101" t="s">
        <v>221</v>
      </c>
      <c r="P14" s="101" t="s">
        <v>222</v>
      </c>
      <c r="Q14" s="101" t="s">
        <v>223</v>
      </c>
      <c r="R14" s="101" t="s">
        <v>129</v>
      </c>
      <c r="S14" s="160" t="s">
        <v>36</v>
      </c>
      <c r="T14" s="17" t="s">
        <v>129</v>
      </c>
      <c r="U14" s="101" t="s">
        <v>157</v>
      </c>
      <c r="V14" s="17" t="s">
        <v>150</v>
      </c>
      <c r="W14" s="17" t="s">
        <v>127</v>
      </c>
      <c r="X14" s="17" t="s">
        <v>140</v>
      </c>
      <c r="Y14" s="58">
        <v>15360</v>
      </c>
      <c r="Z14" s="17">
        <v>80</v>
      </c>
      <c r="AA14" s="58">
        <f t="shared" si="0"/>
        <v>192</v>
      </c>
      <c r="AB14" s="21">
        <f t="shared" si="1"/>
        <v>26.666666666666668</v>
      </c>
      <c r="AC14" s="21">
        <f t="shared" si="2"/>
        <v>26.666666666666668</v>
      </c>
      <c r="AD14" s="21">
        <f t="shared" si="3"/>
        <v>26.666666666666668</v>
      </c>
      <c r="AE14" s="17" t="s">
        <v>128</v>
      </c>
      <c r="AF14" s="17" t="s">
        <v>129</v>
      </c>
      <c r="AG14" s="17"/>
      <c r="AI14" s="17" t="s">
        <v>130</v>
      </c>
      <c r="AJ14" s="21">
        <f>Table1[[#This Row],[Students Per Spring]]</f>
        <v>26.666666666666668</v>
      </c>
      <c r="AK14" s="58">
        <f t="shared" si="4"/>
        <v>5120</v>
      </c>
      <c r="AL14" s="21">
        <f t="shared" si="5"/>
        <v>26.666666666666668</v>
      </c>
      <c r="AM14" s="58">
        <f t="shared" si="6"/>
        <v>5120</v>
      </c>
      <c r="AN14" s="21">
        <f>IF(Table1[[#This Row],[Sustainability Check 1 (2017-2018) Status]]="Continued", Table1[[#This Row],[Students Per Summer]], 0)</f>
        <v>26.666666666666668</v>
      </c>
      <c r="AO14" s="58">
        <f t="shared" si="7"/>
        <v>5120</v>
      </c>
      <c r="AP14" s="21">
        <f>IF(Table1[[#This Row],[Sustainability Check 1 (2017-2018) Status]]="Continued", Table1[[#This Row],[Students Per Fall]], 0)</f>
        <v>26.666666666666668</v>
      </c>
      <c r="AQ14" s="58">
        <f t="shared" si="8"/>
        <v>5120</v>
      </c>
      <c r="AR14" s="21">
        <f>IF(Table1[[#This Row],[Sustainability Check 1 (2017-2018) Status]]="Continued", Table1[[#This Row],[Students Per Spring]], 0)</f>
        <v>26.666666666666668</v>
      </c>
      <c r="AS14" s="58">
        <f t="shared" si="9"/>
        <v>5120</v>
      </c>
      <c r="AT14" s="21">
        <f t="shared" si="31"/>
        <v>80</v>
      </c>
      <c r="AU14" s="58">
        <f t="shared" si="29"/>
        <v>15360</v>
      </c>
      <c r="AV14" s="21">
        <f>IF(Table1[[#This Row],[Sustainability Check 1 (2017-2018) Status]]="Continued", Table1[[#This Row],[Students Per Summer]], 0)</f>
        <v>26.666666666666668</v>
      </c>
      <c r="AW14" s="58">
        <f t="shared" si="32"/>
        <v>5120</v>
      </c>
      <c r="AX14" s="31">
        <f>IF(Table1[[#This Row],[Sustainability Check 1 (2017-2018) Status]]="Continued", Table1[[#This Row],[Students Per Fall]], 0)</f>
        <v>26.666666666666668</v>
      </c>
      <c r="AY14" s="58">
        <f t="shared" si="33"/>
        <v>5120</v>
      </c>
      <c r="AZ14" s="31">
        <f>IF(Table1[[#This Row],[Sustainability Check 1 (2017-2018) Status]]="Continued", Table1[[#This Row],[Students Per Spring]], 0)</f>
        <v>26.666666666666668</v>
      </c>
      <c r="BA14" s="58">
        <f t="shared" si="34"/>
        <v>5120</v>
      </c>
      <c r="BB14" s="31">
        <f t="shared" si="35"/>
        <v>80</v>
      </c>
      <c r="BC14" s="58">
        <f t="shared" si="35"/>
        <v>15360</v>
      </c>
      <c r="BD14" s="31">
        <f>IF(Table1[[#This Row],[Sustainability Check 1 (2017-2018) Status]]="Continued", Table1[[#This Row],[Students Per Summer]], 0)</f>
        <v>26.666666666666668</v>
      </c>
      <c r="BE14" s="58">
        <f t="shared" si="36"/>
        <v>5120</v>
      </c>
      <c r="BF14" s="31">
        <f>IF(Table1[[#This Row],[Sustainability Check 1 (2017-2018) Status]]="Continued", Table1[[#This Row],[Students Per Fall]], 0)</f>
        <v>26.666666666666668</v>
      </c>
      <c r="BG14" s="58">
        <f t="shared" si="37"/>
        <v>5120</v>
      </c>
      <c r="BH14" s="31">
        <f>IF(Table1[[#This Row],[Sustainability Check 1 (2017-2018) Status]]="Continued", Table1[[#This Row],[Students Per Spring]], 0)</f>
        <v>26.666666666666668</v>
      </c>
      <c r="BI14" s="58">
        <f t="shared" si="38"/>
        <v>5120</v>
      </c>
      <c r="BJ14" s="31">
        <f t="shared" si="39"/>
        <v>80</v>
      </c>
      <c r="BK14" s="58">
        <f t="shared" si="39"/>
        <v>15360</v>
      </c>
      <c r="BL14" s="58" t="s">
        <v>130</v>
      </c>
      <c r="BM14" s="31">
        <v>40</v>
      </c>
      <c r="BN14" s="31">
        <v>100</v>
      </c>
      <c r="BO14" s="31">
        <v>100</v>
      </c>
      <c r="BP14" s="31">
        <f t="shared" si="30"/>
        <v>240</v>
      </c>
      <c r="BQ14" s="96">
        <v>223.65</v>
      </c>
      <c r="BR14" s="58">
        <f>Table1[[#This Row],[Check 2 Students Total]]*Table1[[#This Row],[Summer 2018 Price Check]]</f>
        <v>53676</v>
      </c>
      <c r="BS14" s="31">
        <f>IF(Table1[[#This Row],[Sustainability Check 2 (2018-2019) Status]]="Continued", Table1[[#This Row],[Check 2 Students Summer]], 0)</f>
        <v>40</v>
      </c>
      <c r="BT14" s="58">
        <f>Table1[[#This Row],[Summer 2018 Price Check]]*BS14</f>
        <v>8946</v>
      </c>
      <c r="BU14" s="31">
        <f>IF(Table1[[#This Row],[Sustainability Check 2 (2018-2019) Status]]="Continued", Table1[[#This Row],[Check 2 Students Fall]], 0)</f>
        <v>100</v>
      </c>
      <c r="BV14" s="58">
        <f>Table1[[#This Row],[Summer 2018 Price Check]]*BU14</f>
        <v>22365</v>
      </c>
      <c r="BW14" s="21">
        <f>IF(Table1[[#This Row],[Sustainability Check 2 (2018-2019) Status]]="Continued", Table1[Check 2 Students Spring], 0)</f>
        <v>100</v>
      </c>
      <c r="BX14" s="58">
        <f>Table1[[#This Row],[Summer 2018 Price Check]]*Table1[[#This Row],[Spring 2019 Students]]</f>
        <v>22365</v>
      </c>
      <c r="BY14" s="31">
        <f t="shared" si="19"/>
        <v>240</v>
      </c>
      <c r="BZ14" s="58">
        <f t="shared" si="20"/>
        <v>53676</v>
      </c>
      <c r="CA14" s="58" t="s">
        <v>130</v>
      </c>
      <c r="CB14" s="21">
        <v>40</v>
      </c>
      <c r="CC14" s="21">
        <v>75</v>
      </c>
      <c r="CD14" s="21">
        <v>100</v>
      </c>
      <c r="CE14" s="21">
        <f t="shared" si="21"/>
        <v>215</v>
      </c>
      <c r="CF14" s="58">
        <v>46</v>
      </c>
      <c r="CG14" s="58">
        <f t="shared" si="22"/>
        <v>9890</v>
      </c>
      <c r="CH14" s="17" t="s">
        <v>128</v>
      </c>
      <c r="CI14" s="21">
        <f>IF(Table1[[#This Row],[Check 3 Status]]="Continued", Table1[[#This Row],[Check 3 Students Summer]], 0)</f>
        <v>40</v>
      </c>
      <c r="CJ14" s="58">
        <f>Table1[[#This Row],[Check 3 Per Student Savings]]*CI14</f>
        <v>1840</v>
      </c>
      <c r="CK14" s="21">
        <f>IF(Table1[[#This Row],[Check 3 Status]]="Continued", Table1[[#This Row],[Check 3 Students Fall]], 0)</f>
        <v>75</v>
      </c>
      <c r="CL14" s="58">
        <f>Table1[[#This Row],[Check 3 Per Student Savings]]*CK14</f>
        <v>3450</v>
      </c>
      <c r="CM14" s="21">
        <f>IF(Table1[[#This Row],[Check 3 Status]]="Continued", Table1[[#This Row],[Check 3 Students Spring]], 0)</f>
        <v>100</v>
      </c>
      <c r="CN14" s="58">
        <f>Table1[[#This Row],[Check 3 Per Student Savings]]*CM14</f>
        <v>4600</v>
      </c>
      <c r="CO14" s="21">
        <f t="shared" si="23"/>
        <v>215</v>
      </c>
      <c r="CP14" s="58">
        <f t="shared" si="24"/>
        <v>9890</v>
      </c>
      <c r="CQ14" s="58" t="s">
        <v>130</v>
      </c>
      <c r="CR14" s="21">
        <v>40</v>
      </c>
      <c r="CS14" s="21">
        <v>75</v>
      </c>
      <c r="CT14" s="21">
        <v>100</v>
      </c>
      <c r="CU14" s="21">
        <f t="shared" si="25"/>
        <v>215</v>
      </c>
      <c r="CV14" s="58">
        <v>46</v>
      </c>
      <c r="CW14" s="58">
        <f t="shared" si="26"/>
        <v>9890</v>
      </c>
      <c r="CX14" s="58"/>
      <c r="CY14" s="21">
        <f>IF(Table1[[#This Row],[Check 4 Status]]="Continued", Table1[[#This Row],[Check 4 Students Summer]], 0)</f>
        <v>40</v>
      </c>
      <c r="CZ14" s="58">
        <f>Table1[[#This Row],[Check 4 Per Student Savings]]*CY14</f>
        <v>1840</v>
      </c>
      <c r="DA14" s="21">
        <f>IF(Table1[[#This Row],[Check 4 Status]]="Continued", Table1[[#This Row],[Check 4 Students Fall]], 0)</f>
        <v>75</v>
      </c>
      <c r="DB14" s="58">
        <f>Table1[[#This Row],[Check 4 Per Student Savings]]*DA14</f>
        <v>3450</v>
      </c>
      <c r="DC14" s="21">
        <f>IF(Table1[[#This Row],[Check 4 Status]]="Continued", Table1[[#This Row],[Check 4 Students Spring]], 0)</f>
        <v>100</v>
      </c>
      <c r="DD14" s="58">
        <f>Table1[[#This Row],[Check 4 Per Student Savings]]*DC14</f>
        <v>4600</v>
      </c>
      <c r="DE14" s="58">
        <f t="shared" si="27"/>
        <v>215</v>
      </c>
      <c r="DF14" s="58">
        <f t="shared" si="28"/>
        <v>9890</v>
      </c>
      <c r="DG1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936.66666666666674</v>
      </c>
      <c r="DH1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124656</v>
      </c>
      <c r="DI14" s="58">
        <f>Table1[[#This Row],[Grand Total Savings]]/Table1[[#This Row],[Total Award]]</f>
        <v>11.542222222222222</v>
      </c>
      <c r="DJ14" s="17"/>
      <c r="DK14" s="17"/>
      <c r="DL14" s="17"/>
      <c r="DM14" s="17"/>
      <c r="EC14" s="17"/>
      <c r="ED14" s="17"/>
      <c r="EE14" s="17"/>
      <c r="EF14" s="17"/>
    </row>
    <row r="15" spans="1:136" x14ac:dyDescent="0.25">
      <c r="A15" s="159" t="s">
        <v>224</v>
      </c>
      <c r="B15" s="17" t="s">
        <v>2011</v>
      </c>
      <c r="D15" s="97" t="s">
        <v>116</v>
      </c>
      <c r="E15" s="158">
        <v>42011</v>
      </c>
      <c r="F15" s="158">
        <v>42163</v>
      </c>
      <c r="G15" s="159" t="s">
        <v>117</v>
      </c>
      <c r="H15" s="95" t="s">
        <v>10</v>
      </c>
      <c r="I15" s="226" t="s">
        <v>118</v>
      </c>
      <c r="J15" s="17" t="s">
        <v>225</v>
      </c>
      <c r="K15" s="101">
        <v>5590</v>
      </c>
      <c r="L15" s="101"/>
      <c r="M15" s="101" t="s">
        <v>226</v>
      </c>
      <c r="N15" s="17" t="s">
        <v>227</v>
      </c>
      <c r="O15" s="101" t="s">
        <v>204</v>
      </c>
      <c r="P15" s="101" t="s">
        <v>205</v>
      </c>
      <c r="Q15" s="101" t="s">
        <v>206</v>
      </c>
      <c r="R15" s="101" t="s">
        <v>204</v>
      </c>
      <c r="S15" s="160" t="s">
        <v>36</v>
      </c>
      <c r="T15" s="17" t="s">
        <v>129</v>
      </c>
      <c r="U15" s="160" t="s">
        <v>228</v>
      </c>
      <c r="V15" s="17" t="s">
        <v>150</v>
      </c>
      <c r="W15" s="17" t="s">
        <v>127</v>
      </c>
      <c r="X15" s="17" t="s">
        <v>127</v>
      </c>
      <c r="Y15" s="58">
        <v>43296</v>
      </c>
      <c r="Z15" s="17">
        <v>640</v>
      </c>
      <c r="AA15" s="58">
        <f t="shared" si="0"/>
        <v>67.650000000000006</v>
      </c>
      <c r="AB15" s="21">
        <f t="shared" si="1"/>
        <v>213.33333333333334</v>
      </c>
      <c r="AC15" s="21">
        <f t="shared" si="2"/>
        <v>213.33333333333334</v>
      </c>
      <c r="AD15" s="21">
        <f t="shared" si="3"/>
        <v>213.33333333333334</v>
      </c>
      <c r="AE15" s="17" t="s">
        <v>128</v>
      </c>
      <c r="AF15" s="17" t="s">
        <v>129</v>
      </c>
      <c r="AG15" s="17"/>
      <c r="AI15" s="17" t="s">
        <v>130</v>
      </c>
      <c r="AJ15" s="21">
        <f>Table1[[#This Row],[Students Per Spring]]</f>
        <v>213.33333333333334</v>
      </c>
      <c r="AK15" s="58">
        <f t="shared" si="4"/>
        <v>14432.000000000002</v>
      </c>
      <c r="AL15" s="21">
        <f t="shared" si="5"/>
        <v>213.33333333333334</v>
      </c>
      <c r="AM15" s="58">
        <f t="shared" si="6"/>
        <v>14432.000000000002</v>
      </c>
      <c r="AN15" s="21">
        <f>IF(Table1[[#This Row],[Sustainability Check 1 (2017-2018) Status]]="Continued", Table1[[#This Row],[Students Per Summer]], 0)</f>
        <v>213.33333333333334</v>
      </c>
      <c r="AO15" s="58">
        <f t="shared" si="7"/>
        <v>14432.000000000002</v>
      </c>
      <c r="AP15" s="21">
        <f>IF(Table1[[#This Row],[Sustainability Check 1 (2017-2018) Status]]="Continued", Table1[[#This Row],[Students Per Fall]], 0)</f>
        <v>213.33333333333334</v>
      </c>
      <c r="AQ15" s="58">
        <f t="shared" si="8"/>
        <v>14432.000000000002</v>
      </c>
      <c r="AR15" s="21">
        <f>IF(Table1[[#This Row],[Sustainability Check 1 (2017-2018) Status]]="Continued", Table1[[#This Row],[Students Per Spring]], 0)</f>
        <v>213.33333333333334</v>
      </c>
      <c r="AS15" s="58">
        <f t="shared" si="9"/>
        <v>14432.000000000002</v>
      </c>
      <c r="AT15" s="21">
        <f t="shared" si="31"/>
        <v>640</v>
      </c>
      <c r="AU15" s="58">
        <f t="shared" si="29"/>
        <v>43296.000000000007</v>
      </c>
      <c r="AV15" s="21">
        <f>IF(Table1[[#This Row],[Sustainability Check 1 (2017-2018) Status]]="Continued", Table1[[#This Row],[Students Per Summer]], 0)</f>
        <v>213.33333333333334</v>
      </c>
      <c r="AW15" s="58">
        <f t="shared" si="32"/>
        <v>14432.000000000002</v>
      </c>
      <c r="AX15" s="31">
        <f>IF(Table1[[#This Row],[Sustainability Check 1 (2017-2018) Status]]="Continued", Table1[[#This Row],[Students Per Fall]], 0)</f>
        <v>213.33333333333334</v>
      </c>
      <c r="AY15" s="58">
        <f t="shared" si="33"/>
        <v>14432.000000000002</v>
      </c>
      <c r="AZ15" s="31">
        <f>IF(Table1[[#This Row],[Sustainability Check 1 (2017-2018) Status]]="Continued", Table1[[#This Row],[Students Per Spring]], 0)</f>
        <v>213.33333333333334</v>
      </c>
      <c r="BA15" s="58">
        <f t="shared" si="34"/>
        <v>14432.000000000002</v>
      </c>
      <c r="BB15" s="31">
        <f t="shared" si="35"/>
        <v>640</v>
      </c>
      <c r="BC15" s="58">
        <f t="shared" si="35"/>
        <v>43296.000000000007</v>
      </c>
      <c r="BD15" s="31">
        <f>IF(Table1[[#This Row],[Sustainability Check 1 (2017-2018) Status]]="Continued", Table1[[#This Row],[Students Per Summer]], 0)</f>
        <v>213.33333333333334</v>
      </c>
      <c r="BE15" s="58">
        <f t="shared" si="36"/>
        <v>14432.000000000002</v>
      </c>
      <c r="BF15" s="31">
        <f>IF(Table1[[#This Row],[Sustainability Check 1 (2017-2018) Status]]="Continued", Table1[[#This Row],[Students Per Fall]], 0)</f>
        <v>213.33333333333334</v>
      </c>
      <c r="BG15" s="58">
        <f t="shared" si="37"/>
        <v>14432.000000000002</v>
      </c>
      <c r="BH15" s="31">
        <f>IF(Table1[[#This Row],[Sustainability Check 1 (2017-2018) Status]]="Continued", Table1[[#This Row],[Students Per Spring]], 0)</f>
        <v>213.33333333333334</v>
      </c>
      <c r="BI15" s="58">
        <f t="shared" si="38"/>
        <v>14432.000000000002</v>
      </c>
      <c r="BJ15" s="31">
        <f t="shared" si="39"/>
        <v>640</v>
      </c>
      <c r="BK15" s="58">
        <f t="shared" si="39"/>
        <v>43296.000000000007</v>
      </c>
      <c r="BL15" s="58" t="s">
        <v>130</v>
      </c>
      <c r="BM15" s="31">
        <v>40</v>
      </c>
      <c r="BN15" s="31">
        <v>240</v>
      </c>
      <c r="BO15" s="31">
        <v>110</v>
      </c>
      <c r="BP15" s="31">
        <f t="shared" si="30"/>
        <v>390</v>
      </c>
      <c r="BQ15" s="96">
        <v>138</v>
      </c>
      <c r="BR15" s="58">
        <f>Table1[[#This Row],[Check 2 Students Total]]*Table1[[#This Row],[Summer 2018 Price Check]]</f>
        <v>53820</v>
      </c>
      <c r="BS15" s="31">
        <f>IF(Table1[[#This Row],[Sustainability Check 2 (2018-2019) Status]]="Continued", Table1[[#This Row],[Check 2 Students Summer]], 0)</f>
        <v>40</v>
      </c>
      <c r="BT15" s="58">
        <f>Table1[[#This Row],[Summer 2018 Price Check]]*BS15</f>
        <v>5520</v>
      </c>
      <c r="BU15" s="31">
        <f>IF(Table1[[#This Row],[Sustainability Check 2 (2018-2019) Status]]="Continued", Table1[[#This Row],[Check 2 Students Fall]], 0)</f>
        <v>240</v>
      </c>
      <c r="BV15" s="58">
        <f>Table1[[#This Row],[Summer 2018 Price Check]]*BU15</f>
        <v>33120</v>
      </c>
      <c r="BW15" s="21">
        <f>IF(Table1[[#This Row],[Sustainability Check 2 (2018-2019) Status]]="Continued", Table1[Check 2 Students Spring], 0)</f>
        <v>110</v>
      </c>
      <c r="BX15" s="58">
        <f>Table1[[#This Row],[Summer 2018 Price Check]]*Table1[[#This Row],[Spring 2019 Students]]</f>
        <v>15180</v>
      </c>
      <c r="BY15" s="31">
        <f t="shared" si="19"/>
        <v>390</v>
      </c>
      <c r="BZ15" s="58">
        <f t="shared" si="20"/>
        <v>53820</v>
      </c>
      <c r="CA15" s="58" t="s">
        <v>130</v>
      </c>
      <c r="CB15" s="21">
        <v>30</v>
      </c>
      <c r="CC15" s="21">
        <v>120</v>
      </c>
      <c r="CD15" s="21">
        <v>120</v>
      </c>
      <c r="CE15" s="21">
        <f t="shared" si="21"/>
        <v>270</v>
      </c>
      <c r="CF15" s="58">
        <v>59.99</v>
      </c>
      <c r="CG15" s="58">
        <f t="shared" si="22"/>
        <v>16197.300000000001</v>
      </c>
      <c r="CH15" s="17" t="s">
        <v>128</v>
      </c>
      <c r="CI15" s="21">
        <f>IF(Table1[[#This Row],[Check 3 Status]]="Continued", Table1[[#This Row],[Check 3 Students Summer]], 0)</f>
        <v>30</v>
      </c>
      <c r="CJ15" s="58">
        <f>Table1[[#This Row],[Check 3 Per Student Savings]]*CI15</f>
        <v>1799.7</v>
      </c>
      <c r="CK15" s="21">
        <f>IF(Table1[[#This Row],[Check 3 Status]]="Continued", Table1[[#This Row],[Check 3 Students Fall]], 0)</f>
        <v>120</v>
      </c>
      <c r="CL15" s="58">
        <f>Table1[[#This Row],[Check 3 Per Student Savings]]*CK15</f>
        <v>7198.8</v>
      </c>
      <c r="CM15" s="21">
        <f>IF(Table1[[#This Row],[Check 3 Status]]="Continued", Table1[[#This Row],[Check 3 Students Spring]], 0)</f>
        <v>120</v>
      </c>
      <c r="CN15" s="58">
        <f>Table1[[#This Row],[Check 3 Per Student Savings]]*CM15</f>
        <v>7198.8</v>
      </c>
      <c r="CO15" s="21">
        <f t="shared" si="23"/>
        <v>270</v>
      </c>
      <c r="CP15" s="58">
        <f t="shared" si="24"/>
        <v>16197.3</v>
      </c>
      <c r="CQ15" s="58" t="s">
        <v>130</v>
      </c>
      <c r="CR15" s="21">
        <v>30</v>
      </c>
      <c r="CS15" s="21">
        <v>120</v>
      </c>
      <c r="CT15" s="21">
        <v>120</v>
      </c>
      <c r="CU15" s="21">
        <f t="shared" si="25"/>
        <v>270</v>
      </c>
      <c r="CV15" s="58">
        <v>59.99</v>
      </c>
      <c r="CW15" s="58">
        <f t="shared" si="26"/>
        <v>16197.300000000001</v>
      </c>
      <c r="CX15" s="58"/>
      <c r="CY15" s="21">
        <f>IF(Table1[[#This Row],[Check 4 Status]]="Continued", Table1[[#This Row],[Check 4 Students Summer]], 0)</f>
        <v>30</v>
      </c>
      <c r="CZ15" s="58">
        <f>Table1[[#This Row],[Check 4 Per Student Savings]]*CY15</f>
        <v>1799.7</v>
      </c>
      <c r="DA15" s="21">
        <f>IF(Table1[[#This Row],[Check 4 Status]]="Continued", Table1[[#This Row],[Check 4 Students Fall]], 0)</f>
        <v>120</v>
      </c>
      <c r="DB15" s="58">
        <f>Table1[[#This Row],[Check 4 Per Student Savings]]*DA15</f>
        <v>7198.8</v>
      </c>
      <c r="DC15" s="21">
        <f>IF(Table1[[#This Row],[Check 4 Status]]="Continued", Table1[[#This Row],[Check 4 Students Spring]], 0)</f>
        <v>120</v>
      </c>
      <c r="DD15" s="58">
        <f>Table1[[#This Row],[Check 4 Per Student Savings]]*DC15</f>
        <v>7198.8</v>
      </c>
      <c r="DE15" s="58">
        <f t="shared" si="27"/>
        <v>270</v>
      </c>
      <c r="DF15" s="58">
        <f t="shared" si="28"/>
        <v>16197.3</v>
      </c>
      <c r="DG1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3063.3333333333335</v>
      </c>
      <c r="DH1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230534.6</v>
      </c>
      <c r="DI15" s="58">
        <f>Table1[[#This Row],[Grand Total Savings]]/Table1[[#This Row],[Total Award]]</f>
        <v>41.240536672629695</v>
      </c>
      <c r="DJ15" s="17"/>
      <c r="DK15" s="17"/>
      <c r="DL15" s="17"/>
      <c r="DM15" s="17"/>
      <c r="EC15" s="17"/>
      <c r="ED15" s="17"/>
      <c r="EE15" s="17"/>
      <c r="EF15" s="17"/>
    </row>
    <row r="16" spans="1:136" x14ac:dyDescent="0.25">
      <c r="A16" s="159" t="s">
        <v>229</v>
      </c>
      <c r="B16" s="17" t="s">
        <v>2011</v>
      </c>
      <c r="D16" s="97" t="s">
        <v>116</v>
      </c>
      <c r="E16" s="158">
        <v>42026</v>
      </c>
      <c r="F16" s="158">
        <v>42163</v>
      </c>
      <c r="G16" s="157" t="s">
        <v>117</v>
      </c>
      <c r="H16" s="95" t="s">
        <v>10</v>
      </c>
      <c r="I16" s="226" t="s">
        <v>118</v>
      </c>
      <c r="J16" s="17" t="s">
        <v>132</v>
      </c>
      <c r="K16" s="101">
        <v>10800</v>
      </c>
      <c r="L16" s="101"/>
      <c r="M16" s="101" t="s">
        <v>230</v>
      </c>
      <c r="N16" s="17" t="s">
        <v>231</v>
      </c>
      <c r="O16" s="101" t="s">
        <v>232</v>
      </c>
      <c r="P16" s="101" t="s">
        <v>233</v>
      </c>
      <c r="Q16" s="101" t="s">
        <v>234</v>
      </c>
      <c r="R16" s="101" t="s">
        <v>129</v>
      </c>
      <c r="S16" s="101" t="s">
        <v>129</v>
      </c>
      <c r="T16" s="17" t="s">
        <v>129</v>
      </c>
      <c r="U16" s="101" t="s">
        <v>157</v>
      </c>
      <c r="V16" s="17" t="s">
        <v>150</v>
      </c>
      <c r="W16" s="17" t="s">
        <v>127</v>
      </c>
      <c r="X16" s="17" t="s">
        <v>127</v>
      </c>
      <c r="Y16" s="58">
        <v>20840.75</v>
      </c>
      <c r="Z16" s="17">
        <v>175</v>
      </c>
      <c r="AA16" s="58">
        <f t="shared" si="0"/>
        <v>119.09</v>
      </c>
      <c r="AB16" s="21">
        <f t="shared" si="1"/>
        <v>58.333333333333336</v>
      </c>
      <c r="AC16" s="21">
        <f t="shared" si="2"/>
        <v>58.333333333333336</v>
      </c>
      <c r="AD16" s="21">
        <f t="shared" si="3"/>
        <v>58.333333333333336</v>
      </c>
      <c r="AE16" s="17" t="s">
        <v>128</v>
      </c>
      <c r="AF16" s="17" t="s">
        <v>129</v>
      </c>
      <c r="AG16" s="17"/>
      <c r="AI16" s="17" t="s">
        <v>130</v>
      </c>
      <c r="AJ16" s="21">
        <f>Table1[[#This Row],[Students Per Spring]]</f>
        <v>58.333333333333336</v>
      </c>
      <c r="AK16" s="58">
        <f t="shared" si="4"/>
        <v>6946.916666666667</v>
      </c>
      <c r="AL16" s="21">
        <f t="shared" si="5"/>
        <v>58.333333333333336</v>
      </c>
      <c r="AM16" s="58">
        <f t="shared" si="6"/>
        <v>6946.916666666667</v>
      </c>
      <c r="AN16" s="21">
        <f>IF(Table1[[#This Row],[Sustainability Check 1 (2017-2018) Status]]="Continued", Table1[[#This Row],[Students Per Summer]], 0)</f>
        <v>58.333333333333336</v>
      </c>
      <c r="AO16" s="58">
        <f t="shared" si="7"/>
        <v>6946.916666666667</v>
      </c>
      <c r="AP16" s="21">
        <f>IF(Table1[[#This Row],[Sustainability Check 1 (2017-2018) Status]]="Continued", Table1[[#This Row],[Students Per Fall]], 0)</f>
        <v>58.333333333333336</v>
      </c>
      <c r="AQ16" s="58">
        <f t="shared" si="8"/>
        <v>6946.916666666667</v>
      </c>
      <c r="AR16" s="21">
        <f>IF(Table1[[#This Row],[Sustainability Check 1 (2017-2018) Status]]="Continued", Table1[[#This Row],[Students Per Spring]], 0)</f>
        <v>58.333333333333336</v>
      </c>
      <c r="AS16" s="58">
        <f t="shared" si="9"/>
        <v>6946.916666666667</v>
      </c>
      <c r="AT16" s="21">
        <f t="shared" si="31"/>
        <v>175</v>
      </c>
      <c r="AU16" s="58">
        <f t="shared" si="29"/>
        <v>20840.75</v>
      </c>
      <c r="AV16" s="21">
        <f>IF(Table1[[#This Row],[Sustainability Check 1 (2017-2018) Status]]="Continued", Table1[[#This Row],[Students Per Summer]], 0)</f>
        <v>58.333333333333336</v>
      </c>
      <c r="AW16" s="58">
        <f t="shared" si="32"/>
        <v>6946.916666666667</v>
      </c>
      <c r="AX16" s="31">
        <f>IF(Table1[[#This Row],[Sustainability Check 1 (2017-2018) Status]]="Continued", Table1[[#This Row],[Students Per Fall]], 0)</f>
        <v>58.333333333333336</v>
      </c>
      <c r="AY16" s="58">
        <f t="shared" si="33"/>
        <v>6946.916666666667</v>
      </c>
      <c r="AZ16" s="31">
        <f>IF(Table1[[#This Row],[Sustainability Check 1 (2017-2018) Status]]="Continued", Table1[[#This Row],[Students Per Spring]], 0)</f>
        <v>58.333333333333336</v>
      </c>
      <c r="BA16" s="58">
        <f t="shared" si="34"/>
        <v>6946.916666666667</v>
      </c>
      <c r="BB16" s="31">
        <f t="shared" si="35"/>
        <v>175</v>
      </c>
      <c r="BC16" s="58">
        <f t="shared" si="35"/>
        <v>20840.75</v>
      </c>
      <c r="BD16" s="31">
        <f>IF(Table1[[#This Row],[Sustainability Check 1 (2017-2018) Status]]="Continued", Table1[[#This Row],[Students Per Summer]], 0)</f>
        <v>58.333333333333336</v>
      </c>
      <c r="BE16" s="58">
        <f t="shared" si="36"/>
        <v>6946.916666666667</v>
      </c>
      <c r="BF16" s="31">
        <f>IF(Table1[[#This Row],[Sustainability Check 1 (2017-2018) Status]]="Continued", Table1[[#This Row],[Students Per Fall]], 0)</f>
        <v>58.333333333333336</v>
      </c>
      <c r="BG16" s="58">
        <f t="shared" si="37"/>
        <v>6946.916666666667</v>
      </c>
      <c r="BH16" s="31">
        <f>IF(Table1[[#This Row],[Sustainability Check 1 (2017-2018) Status]]="Continued", Table1[[#This Row],[Students Per Spring]], 0)</f>
        <v>58.333333333333336</v>
      </c>
      <c r="BI16" s="58">
        <f t="shared" si="38"/>
        <v>6946.916666666667</v>
      </c>
      <c r="BJ16" s="31">
        <f t="shared" si="39"/>
        <v>175</v>
      </c>
      <c r="BK16" s="58">
        <f t="shared" si="39"/>
        <v>20840.75</v>
      </c>
      <c r="BL16" s="58" t="s">
        <v>130</v>
      </c>
      <c r="BM16" s="31">
        <v>35</v>
      </c>
      <c r="BN16" s="31">
        <v>70</v>
      </c>
      <c r="BO16" s="31">
        <v>70</v>
      </c>
      <c r="BP16" s="31">
        <f t="shared" si="30"/>
        <v>175</v>
      </c>
      <c r="BQ16" s="58">
        <v>119.09</v>
      </c>
      <c r="BR16" s="58">
        <f>Table1[[#This Row],[Check 2 Students Total]]*Table1[[#This Row],[Summer 2018 Price Check]]</f>
        <v>20840.75</v>
      </c>
      <c r="BS16" s="31">
        <f>IF(Table1[[#This Row],[Sustainability Check 2 (2018-2019) Status]]="Continued", Table1[[#This Row],[Check 2 Students Summer]], 0)</f>
        <v>35</v>
      </c>
      <c r="BT16" s="58">
        <f>Table1[[#This Row],[Summer 2018 Price Check]]*BS16</f>
        <v>4168.1500000000005</v>
      </c>
      <c r="BU16" s="31">
        <f>IF(Table1[[#This Row],[Sustainability Check 2 (2018-2019) Status]]="Continued", Table1[[#This Row],[Check 2 Students Fall]], 0)</f>
        <v>70</v>
      </c>
      <c r="BV16" s="58">
        <f>Table1[[#This Row],[Summer 2018 Price Check]]*BU16</f>
        <v>8336.3000000000011</v>
      </c>
      <c r="BW16" s="21">
        <f>IF(Table1[[#This Row],[Sustainability Check 2 (2018-2019) Status]]="Continued", Table1[Check 2 Students Spring], 0)</f>
        <v>70</v>
      </c>
      <c r="BX16" s="58">
        <f>Table1[[#This Row],[Summer 2018 Price Check]]*Table1[[#This Row],[Spring 2019 Students]]</f>
        <v>8336.3000000000011</v>
      </c>
      <c r="BY16" s="31">
        <f t="shared" si="19"/>
        <v>175</v>
      </c>
      <c r="BZ16" s="58">
        <f t="shared" si="20"/>
        <v>20840.75</v>
      </c>
      <c r="CA16" s="58" t="s">
        <v>130</v>
      </c>
      <c r="CB16" s="21">
        <v>0</v>
      </c>
      <c r="CC16" s="21">
        <v>70</v>
      </c>
      <c r="CD16" s="21">
        <v>70</v>
      </c>
      <c r="CE16" s="21">
        <f t="shared" si="21"/>
        <v>140</v>
      </c>
      <c r="CF16" s="58">
        <v>135</v>
      </c>
      <c r="CG16" s="58">
        <f t="shared" si="22"/>
        <v>18900</v>
      </c>
      <c r="CH16" s="17" t="s">
        <v>128</v>
      </c>
      <c r="CI16" s="21">
        <f>IF(Table1[[#This Row],[Check 3 Status]]="Continued", Table1[[#This Row],[Check 3 Students Summer]], 0)</f>
        <v>0</v>
      </c>
      <c r="CJ16" s="58">
        <f>Table1[[#This Row],[Check 3 Per Student Savings]]*CI16</f>
        <v>0</v>
      </c>
      <c r="CK16" s="21">
        <f>IF(Table1[[#This Row],[Check 3 Status]]="Continued", Table1[[#This Row],[Check 3 Students Fall]], 0)</f>
        <v>70</v>
      </c>
      <c r="CL16" s="58">
        <f>Table1[[#This Row],[Check 3 Per Student Savings]]*CK16</f>
        <v>9450</v>
      </c>
      <c r="CM16" s="21">
        <f>IF(Table1[[#This Row],[Check 3 Status]]="Continued", Table1[[#This Row],[Check 3 Students Spring]], 0)</f>
        <v>70</v>
      </c>
      <c r="CN16" s="58">
        <f>Table1[[#This Row],[Check 3 Per Student Savings]]*CM16</f>
        <v>9450</v>
      </c>
      <c r="CO16" s="21">
        <f t="shared" si="23"/>
        <v>140</v>
      </c>
      <c r="CP16" s="58">
        <f t="shared" si="24"/>
        <v>18900</v>
      </c>
      <c r="CQ16" s="58" t="s">
        <v>130</v>
      </c>
      <c r="CR16" s="21">
        <v>0</v>
      </c>
      <c r="CS16" s="21">
        <v>70</v>
      </c>
      <c r="CT16" s="21">
        <v>70</v>
      </c>
      <c r="CU16" s="21">
        <f t="shared" si="25"/>
        <v>140</v>
      </c>
      <c r="CV16" s="58">
        <v>135</v>
      </c>
      <c r="CW16" s="58">
        <f t="shared" si="26"/>
        <v>18900</v>
      </c>
      <c r="CX16" s="58"/>
      <c r="CY16" s="21">
        <f>IF(Table1[[#This Row],[Check 4 Status]]="Continued", Table1[[#This Row],[Check 4 Students Summer]], 0)</f>
        <v>0</v>
      </c>
      <c r="CZ16" s="58">
        <f>Table1[[#This Row],[Check 4 Per Student Savings]]*CY16</f>
        <v>0</v>
      </c>
      <c r="DA16" s="21">
        <f>IF(Table1[[#This Row],[Check 4 Status]]="Continued", Table1[[#This Row],[Check 4 Students Fall]], 0)</f>
        <v>70</v>
      </c>
      <c r="DB16" s="58">
        <f>Table1[[#This Row],[Check 4 Per Student Savings]]*DA16</f>
        <v>9450</v>
      </c>
      <c r="DC16" s="21">
        <f>IF(Table1[[#This Row],[Check 4 Status]]="Continued", Table1[[#This Row],[Check 4 Students Spring]], 0)</f>
        <v>70</v>
      </c>
      <c r="DD16" s="58">
        <f>Table1[[#This Row],[Check 4 Per Student Savings]]*DC16</f>
        <v>9450</v>
      </c>
      <c r="DE16" s="58">
        <f t="shared" si="27"/>
        <v>140</v>
      </c>
      <c r="DF16" s="58">
        <f t="shared" si="28"/>
        <v>18900</v>
      </c>
      <c r="DG1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1038.3333333333335</v>
      </c>
      <c r="DH1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128109.91666666667</v>
      </c>
      <c r="DI16" s="58">
        <f>Table1[[#This Row],[Grand Total Savings]]/Table1[[#This Row],[Total Award]]</f>
        <v>11.862029320987654</v>
      </c>
      <c r="DJ16" s="17"/>
      <c r="DK16" s="17"/>
      <c r="DL16" s="17"/>
      <c r="DM16" s="17"/>
      <c r="EC16" s="17"/>
      <c r="ED16" s="17"/>
      <c r="EE16" s="17"/>
      <c r="EF16" s="17"/>
    </row>
    <row r="17" spans="1:136" x14ac:dyDescent="0.25">
      <c r="A17" s="159" t="s">
        <v>235</v>
      </c>
      <c r="B17" s="17" t="s">
        <v>2011</v>
      </c>
      <c r="D17" s="97" t="s">
        <v>116</v>
      </c>
      <c r="E17" s="158">
        <v>41962</v>
      </c>
      <c r="F17" s="158">
        <v>42163</v>
      </c>
      <c r="G17" s="159" t="s">
        <v>117</v>
      </c>
      <c r="H17" s="95" t="s">
        <v>10</v>
      </c>
      <c r="I17" s="226" t="s">
        <v>118</v>
      </c>
      <c r="J17" s="17" t="s">
        <v>236</v>
      </c>
      <c r="K17" s="101">
        <v>10800</v>
      </c>
      <c r="L17" s="101"/>
      <c r="M17" s="101" t="s">
        <v>237</v>
      </c>
      <c r="N17" s="17" t="s">
        <v>238</v>
      </c>
      <c r="O17" s="101" t="s">
        <v>239</v>
      </c>
      <c r="P17" s="101" t="s">
        <v>240</v>
      </c>
      <c r="Q17" s="101" t="s">
        <v>148</v>
      </c>
      <c r="R17" s="101" t="s">
        <v>241</v>
      </c>
      <c r="S17" s="128" t="s">
        <v>36</v>
      </c>
      <c r="T17" s="17" t="s">
        <v>129</v>
      </c>
      <c r="U17" s="101" t="s">
        <v>157</v>
      </c>
      <c r="V17" s="17" t="s">
        <v>150</v>
      </c>
      <c r="W17" s="17" t="s">
        <v>127</v>
      </c>
      <c r="X17" s="17" t="s">
        <v>127</v>
      </c>
      <c r="Y17" s="58">
        <v>236646</v>
      </c>
      <c r="Z17" s="31">
        <v>1200</v>
      </c>
      <c r="AA17" s="58">
        <f t="shared" si="0"/>
        <v>197.20500000000001</v>
      </c>
      <c r="AB17" s="21">
        <f t="shared" si="1"/>
        <v>400</v>
      </c>
      <c r="AC17" s="21">
        <f t="shared" si="2"/>
        <v>400</v>
      </c>
      <c r="AD17" s="21">
        <f t="shared" si="3"/>
        <v>400</v>
      </c>
      <c r="AE17" s="17" t="s">
        <v>128</v>
      </c>
      <c r="AF17" s="17" t="s">
        <v>129</v>
      </c>
      <c r="AG17" s="17"/>
      <c r="AI17" s="17" t="s">
        <v>130</v>
      </c>
      <c r="AJ17" s="21">
        <f>Table1[[#This Row],[Students Per Spring]]</f>
        <v>400</v>
      </c>
      <c r="AK17" s="58">
        <f t="shared" si="4"/>
        <v>78882</v>
      </c>
      <c r="AL17" s="21">
        <f t="shared" si="5"/>
        <v>400</v>
      </c>
      <c r="AM17" s="58">
        <f t="shared" si="6"/>
        <v>78882</v>
      </c>
      <c r="AN17" s="21">
        <f>IF(Table1[[#This Row],[Sustainability Check 1 (2017-2018) Status]]="Continued", Table1[[#This Row],[Students Per Summer]], 0)</f>
        <v>400</v>
      </c>
      <c r="AO17" s="58">
        <f t="shared" si="7"/>
        <v>78882</v>
      </c>
      <c r="AP17" s="21">
        <f>IF(Table1[[#This Row],[Sustainability Check 1 (2017-2018) Status]]="Continued", Table1[[#This Row],[Students Per Fall]], 0)</f>
        <v>400</v>
      </c>
      <c r="AQ17" s="58">
        <f t="shared" si="8"/>
        <v>78882</v>
      </c>
      <c r="AR17" s="21">
        <f>IF(Table1[[#This Row],[Sustainability Check 1 (2017-2018) Status]]="Continued", Table1[[#This Row],[Students Per Spring]], 0)</f>
        <v>400</v>
      </c>
      <c r="AS17" s="58">
        <f t="shared" si="9"/>
        <v>78882</v>
      </c>
      <c r="AT17" s="21">
        <f t="shared" si="31"/>
        <v>1200</v>
      </c>
      <c r="AU17" s="58">
        <f t="shared" si="29"/>
        <v>236646</v>
      </c>
      <c r="AV17" s="21">
        <f>IF(Table1[[#This Row],[Sustainability Check 1 (2017-2018) Status]]="Continued", Table1[[#This Row],[Students Per Summer]], 0)</f>
        <v>400</v>
      </c>
      <c r="AW17" s="58">
        <f t="shared" si="32"/>
        <v>78882</v>
      </c>
      <c r="AX17" s="31">
        <f>IF(Table1[[#This Row],[Sustainability Check 1 (2017-2018) Status]]="Continued", Table1[[#This Row],[Students Per Fall]], 0)</f>
        <v>400</v>
      </c>
      <c r="AY17" s="58">
        <f t="shared" si="33"/>
        <v>78882</v>
      </c>
      <c r="AZ17" s="31">
        <f>IF(Table1[[#This Row],[Sustainability Check 1 (2017-2018) Status]]="Continued", Table1[[#This Row],[Students Per Spring]], 0)</f>
        <v>400</v>
      </c>
      <c r="BA17" s="58">
        <f t="shared" si="34"/>
        <v>78882</v>
      </c>
      <c r="BB17" s="31">
        <f t="shared" si="35"/>
        <v>1200</v>
      </c>
      <c r="BC17" s="58">
        <f t="shared" si="35"/>
        <v>236646</v>
      </c>
      <c r="BD17" s="31">
        <f>IF(Table1[[#This Row],[Sustainability Check 1 (2017-2018) Status]]="Continued", Table1[[#This Row],[Students Per Summer]], 0)</f>
        <v>400</v>
      </c>
      <c r="BE17" s="58">
        <f t="shared" si="36"/>
        <v>78882</v>
      </c>
      <c r="BF17" s="31">
        <f>IF(Table1[[#This Row],[Sustainability Check 1 (2017-2018) Status]]="Continued", Table1[[#This Row],[Students Per Fall]], 0)</f>
        <v>400</v>
      </c>
      <c r="BG17" s="58">
        <f t="shared" si="37"/>
        <v>78882</v>
      </c>
      <c r="BH17" s="31">
        <f>IF(Table1[[#This Row],[Sustainability Check 1 (2017-2018) Status]]="Continued", Table1[[#This Row],[Students Per Spring]], 0)</f>
        <v>400</v>
      </c>
      <c r="BI17" s="58">
        <f t="shared" si="38"/>
        <v>78882</v>
      </c>
      <c r="BJ17" s="31">
        <f t="shared" si="39"/>
        <v>1200</v>
      </c>
      <c r="BK17" s="58">
        <f t="shared" si="39"/>
        <v>236646</v>
      </c>
      <c r="BL17" s="58" t="s">
        <v>130</v>
      </c>
      <c r="BM17" s="31">
        <v>30</v>
      </c>
      <c r="BN17" s="31">
        <v>60</v>
      </c>
      <c r="BO17" s="31">
        <v>60</v>
      </c>
      <c r="BP17" s="31">
        <f t="shared" si="30"/>
        <v>150</v>
      </c>
      <c r="BQ17" s="58">
        <v>261.97000000000003</v>
      </c>
      <c r="BR17" s="58">
        <f>Table1[[#This Row],[Check 2 Students Total]]*Table1[[#This Row],[Summer 2018 Price Check]]</f>
        <v>39295.500000000007</v>
      </c>
      <c r="BS17" s="31">
        <f>IF(Table1[[#This Row],[Sustainability Check 2 (2018-2019) Status]]="Continued", Table1[[#This Row],[Check 2 Students Summer]], 0)</f>
        <v>30</v>
      </c>
      <c r="BT17" s="58">
        <f>Table1[[#This Row],[Summer 2018 Price Check]]*BS17</f>
        <v>7859.1</v>
      </c>
      <c r="BU17" s="31">
        <f>IF(Table1[[#This Row],[Sustainability Check 2 (2018-2019) Status]]="Continued", Table1[[#This Row],[Check 2 Students Fall]], 0)</f>
        <v>60</v>
      </c>
      <c r="BV17" s="58">
        <f>Table1[[#This Row],[Summer 2018 Price Check]]*BU17</f>
        <v>15718.2</v>
      </c>
      <c r="BW17" s="21">
        <f>IF(Table1[[#This Row],[Sustainability Check 2 (2018-2019) Status]]="Continued", Table1[Check 2 Students Spring], 0)</f>
        <v>60</v>
      </c>
      <c r="BX17" s="58">
        <f>Table1[[#This Row],[Summer 2018 Price Check]]*Table1[[#This Row],[Spring 2019 Students]]</f>
        <v>15718.2</v>
      </c>
      <c r="BY17" s="31">
        <f t="shared" si="19"/>
        <v>150</v>
      </c>
      <c r="BZ17" s="58">
        <f t="shared" si="20"/>
        <v>39295.5</v>
      </c>
      <c r="CA17" s="58" t="s">
        <v>142</v>
      </c>
      <c r="CB17" s="21">
        <v>0</v>
      </c>
      <c r="CC17" s="21">
        <v>0</v>
      </c>
      <c r="CD17" s="21">
        <v>0</v>
      </c>
      <c r="CE17" s="21">
        <f t="shared" si="21"/>
        <v>0</v>
      </c>
      <c r="CF17" s="58">
        <v>0</v>
      </c>
      <c r="CG17" s="58">
        <f t="shared" si="22"/>
        <v>0</v>
      </c>
      <c r="CH17" s="17" t="s">
        <v>128</v>
      </c>
      <c r="CI17" s="21">
        <f>IF(Table1[[#This Row],[Check 3 Status]]="Continued", Table1[[#This Row],[Check 3 Students Summer]], 0)</f>
        <v>0</v>
      </c>
      <c r="CJ17" s="58">
        <f>Table1[[#This Row],[Check 3 Per Student Savings]]*CI17</f>
        <v>0</v>
      </c>
      <c r="CK17" s="21">
        <f>IF(Table1[[#This Row],[Check 3 Status]]="Continued", Table1[[#This Row],[Check 3 Students Fall]], 0)</f>
        <v>0</v>
      </c>
      <c r="CL17" s="58">
        <f>Table1[[#This Row],[Check 3 Per Student Savings]]*CK17</f>
        <v>0</v>
      </c>
      <c r="CM17" s="21">
        <f>IF(Table1[[#This Row],[Check 3 Status]]="Continued", Table1[[#This Row],[Check 3 Students Spring]], 0)</f>
        <v>0</v>
      </c>
      <c r="CN17" s="58">
        <f>Table1[[#This Row],[Check 3 Per Student Savings]]*CM17</f>
        <v>0</v>
      </c>
      <c r="CO17" s="21">
        <f t="shared" si="23"/>
        <v>0</v>
      </c>
      <c r="CP17" s="58">
        <f t="shared" si="24"/>
        <v>0</v>
      </c>
      <c r="CQ17" s="58" t="s">
        <v>142</v>
      </c>
      <c r="CR17" s="21">
        <v>0</v>
      </c>
      <c r="CS17" s="21">
        <v>0</v>
      </c>
      <c r="CT17" s="21">
        <v>0</v>
      </c>
      <c r="CU17" s="21">
        <f t="shared" si="25"/>
        <v>0</v>
      </c>
      <c r="CV17" s="58">
        <v>0</v>
      </c>
      <c r="CW17" s="58">
        <f t="shared" si="26"/>
        <v>0</v>
      </c>
      <c r="CX17" s="58"/>
      <c r="CY17" s="21">
        <f>IF(Table1[[#This Row],[Check 4 Status]]="Continued", Table1[[#This Row],[Check 4 Students Summer]], 0)</f>
        <v>0</v>
      </c>
      <c r="CZ17" s="58">
        <f>Table1[[#This Row],[Check 4 Per Student Savings]]*CY17</f>
        <v>0</v>
      </c>
      <c r="DA17" s="21">
        <f>IF(Table1[[#This Row],[Check 4 Status]]="Continued", Table1[[#This Row],[Check 4 Students Fall]], 0)</f>
        <v>0</v>
      </c>
      <c r="DB17" s="58">
        <f>Table1[[#This Row],[Check 4 Per Student Savings]]*DA17</f>
        <v>0</v>
      </c>
      <c r="DC17" s="21">
        <f>IF(Table1[[#This Row],[Check 4 Status]]="Continued", Table1[[#This Row],[Check 4 Students Spring]], 0)</f>
        <v>0</v>
      </c>
      <c r="DD17" s="58">
        <f>Table1[[#This Row],[Check 4 Per Student Savings]]*DC17</f>
        <v>0</v>
      </c>
      <c r="DE17" s="58">
        <f t="shared" si="27"/>
        <v>0</v>
      </c>
      <c r="DF17" s="58">
        <f t="shared" si="28"/>
        <v>0</v>
      </c>
      <c r="DG1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4150</v>
      </c>
      <c r="DH1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828115.5</v>
      </c>
      <c r="DI17" s="58">
        <f>Table1[[#This Row],[Grand Total Savings]]/Table1[[#This Row],[Total Award]]</f>
        <v>76.677361111111111</v>
      </c>
      <c r="DJ17" s="17"/>
      <c r="DK17" s="17"/>
      <c r="DL17" s="17"/>
      <c r="DM17" s="17"/>
      <c r="EC17" s="17"/>
      <c r="ED17" s="17"/>
      <c r="EE17" s="17"/>
      <c r="EF17" s="17"/>
    </row>
    <row r="18" spans="1:136" x14ac:dyDescent="0.25">
      <c r="A18" s="159" t="s">
        <v>242</v>
      </c>
      <c r="B18" s="17" t="s">
        <v>2011</v>
      </c>
      <c r="D18" s="97" t="s">
        <v>116</v>
      </c>
      <c r="E18" s="158">
        <v>42010</v>
      </c>
      <c r="F18" s="158">
        <v>42163</v>
      </c>
      <c r="G18" s="159" t="s">
        <v>117</v>
      </c>
      <c r="H18" s="95" t="s">
        <v>10</v>
      </c>
      <c r="I18" s="226" t="s">
        <v>118</v>
      </c>
      <c r="J18" s="17" t="s">
        <v>243</v>
      </c>
      <c r="K18" s="101">
        <v>10800</v>
      </c>
      <c r="L18" s="101"/>
      <c r="M18" s="101" t="s">
        <v>244</v>
      </c>
      <c r="N18" s="17" t="s">
        <v>245</v>
      </c>
      <c r="O18" s="101" t="s">
        <v>246</v>
      </c>
      <c r="P18" s="101" t="s">
        <v>247</v>
      </c>
      <c r="Q18" s="101" t="s">
        <v>248</v>
      </c>
      <c r="R18" s="101" t="s">
        <v>246</v>
      </c>
      <c r="S18" s="160" t="s">
        <v>36</v>
      </c>
      <c r="T18" s="17" t="s">
        <v>129</v>
      </c>
      <c r="U18" s="101" t="s">
        <v>157</v>
      </c>
      <c r="V18" s="17" t="s">
        <v>150</v>
      </c>
      <c r="W18" s="17" t="s">
        <v>127</v>
      </c>
      <c r="X18" s="17" t="s">
        <v>127</v>
      </c>
      <c r="Y18" s="58">
        <v>25847.5</v>
      </c>
      <c r="Z18" s="17">
        <v>245</v>
      </c>
      <c r="AA18" s="58">
        <f t="shared" si="0"/>
        <v>105.5</v>
      </c>
      <c r="AB18" s="21">
        <f t="shared" si="1"/>
        <v>81.666666666666671</v>
      </c>
      <c r="AC18" s="21">
        <f t="shared" si="2"/>
        <v>81.666666666666671</v>
      </c>
      <c r="AD18" s="21">
        <f t="shared" si="3"/>
        <v>81.666666666666671</v>
      </c>
      <c r="AE18" s="17" t="s">
        <v>128</v>
      </c>
      <c r="AF18" s="17" t="s">
        <v>129</v>
      </c>
      <c r="AG18" s="17"/>
      <c r="AI18" s="17" t="s">
        <v>130</v>
      </c>
      <c r="AJ18" s="21">
        <f>Table1[[#This Row],[Students Per Spring]]</f>
        <v>81.666666666666671</v>
      </c>
      <c r="AK18" s="58">
        <f t="shared" si="4"/>
        <v>8615.8333333333339</v>
      </c>
      <c r="AL18" s="21">
        <f t="shared" si="5"/>
        <v>81.666666666666671</v>
      </c>
      <c r="AM18" s="58">
        <f t="shared" si="6"/>
        <v>8615.8333333333339</v>
      </c>
      <c r="AN18" s="21">
        <f>IF(Table1[[#This Row],[Sustainability Check 1 (2017-2018) Status]]="Continued", Table1[[#This Row],[Students Per Summer]], 0)</f>
        <v>81.666666666666671</v>
      </c>
      <c r="AO18" s="58">
        <f t="shared" si="7"/>
        <v>8615.8333333333339</v>
      </c>
      <c r="AP18" s="21">
        <f>IF(Table1[[#This Row],[Sustainability Check 1 (2017-2018) Status]]="Continued", Table1[[#This Row],[Students Per Fall]], 0)</f>
        <v>81.666666666666671</v>
      </c>
      <c r="AQ18" s="58">
        <f t="shared" si="8"/>
        <v>8615.8333333333339</v>
      </c>
      <c r="AR18" s="21">
        <f>IF(Table1[[#This Row],[Sustainability Check 1 (2017-2018) Status]]="Continued", Table1[[#This Row],[Students Per Spring]], 0)</f>
        <v>81.666666666666671</v>
      </c>
      <c r="AS18" s="58">
        <f t="shared" si="9"/>
        <v>8615.8333333333339</v>
      </c>
      <c r="AT18" s="21">
        <f t="shared" si="31"/>
        <v>245</v>
      </c>
      <c r="AU18" s="58">
        <f t="shared" si="29"/>
        <v>25847.5</v>
      </c>
      <c r="AV18" s="21">
        <f>IF(Table1[[#This Row],[Sustainability Check 1 (2017-2018) Status]]="Continued", Table1[[#This Row],[Students Per Summer]], 0)</f>
        <v>81.666666666666671</v>
      </c>
      <c r="AW18" s="58">
        <f t="shared" si="32"/>
        <v>8615.8333333333339</v>
      </c>
      <c r="AX18" s="31">
        <f>IF(Table1[[#This Row],[Sustainability Check 1 (2017-2018) Status]]="Continued", Table1[[#This Row],[Students Per Fall]], 0)</f>
        <v>81.666666666666671</v>
      </c>
      <c r="AY18" s="58">
        <f t="shared" si="33"/>
        <v>8615.8333333333339</v>
      </c>
      <c r="AZ18" s="31">
        <f>IF(Table1[[#This Row],[Sustainability Check 1 (2017-2018) Status]]="Continued", Table1[[#This Row],[Students Per Spring]], 0)</f>
        <v>81.666666666666671</v>
      </c>
      <c r="BA18" s="58">
        <f t="shared" si="34"/>
        <v>8615.8333333333339</v>
      </c>
      <c r="BB18" s="31">
        <f t="shared" si="35"/>
        <v>245</v>
      </c>
      <c r="BC18" s="58">
        <f t="shared" si="35"/>
        <v>25847.5</v>
      </c>
      <c r="BD18" s="31">
        <f>IF(Table1[[#This Row],[Sustainability Check 1 (2017-2018) Status]]="Continued", Table1[[#This Row],[Students Per Summer]], 0)</f>
        <v>81.666666666666671</v>
      </c>
      <c r="BE18" s="58">
        <f t="shared" si="36"/>
        <v>8615.8333333333339</v>
      </c>
      <c r="BF18" s="31">
        <f>IF(Table1[[#This Row],[Sustainability Check 1 (2017-2018) Status]]="Continued", Table1[[#This Row],[Students Per Fall]], 0)</f>
        <v>81.666666666666671</v>
      </c>
      <c r="BG18" s="58">
        <f t="shared" si="37"/>
        <v>8615.8333333333339</v>
      </c>
      <c r="BH18" s="31">
        <f>IF(Table1[[#This Row],[Sustainability Check 1 (2017-2018) Status]]="Continued", Table1[[#This Row],[Students Per Spring]], 0)</f>
        <v>81.666666666666671</v>
      </c>
      <c r="BI18" s="58">
        <f t="shared" si="38"/>
        <v>8615.8333333333339</v>
      </c>
      <c r="BJ18" s="31">
        <f t="shared" si="39"/>
        <v>245</v>
      </c>
      <c r="BK18" s="58">
        <f t="shared" si="39"/>
        <v>25847.5</v>
      </c>
      <c r="BL18" s="58" t="s">
        <v>130</v>
      </c>
      <c r="BM18" s="31">
        <v>25</v>
      </c>
      <c r="BN18" s="31">
        <v>25</v>
      </c>
      <c r="BO18" s="31">
        <v>25</v>
      </c>
      <c r="BP18" s="31">
        <f t="shared" si="30"/>
        <v>75</v>
      </c>
      <c r="BQ18" s="96">
        <v>116.09</v>
      </c>
      <c r="BR18" s="58">
        <f>Table1[[#This Row],[Check 2 Students Total]]*Table1[[#This Row],[Summer 2018 Price Check]]</f>
        <v>8706.75</v>
      </c>
      <c r="BS18" s="31">
        <f>IF(Table1[[#This Row],[Sustainability Check 2 (2018-2019) Status]]="Continued", Table1[[#This Row],[Check 2 Students Summer]], 0)</f>
        <v>25</v>
      </c>
      <c r="BT18" s="58">
        <f>Table1[[#This Row],[Summer 2018 Price Check]]*BS18</f>
        <v>2902.25</v>
      </c>
      <c r="BU18" s="31">
        <f>IF(Table1[[#This Row],[Sustainability Check 2 (2018-2019) Status]]="Continued", Table1[[#This Row],[Check 2 Students Fall]], 0)</f>
        <v>25</v>
      </c>
      <c r="BV18" s="58">
        <f>Table1[[#This Row],[Summer 2018 Price Check]]*BU18</f>
        <v>2902.25</v>
      </c>
      <c r="BW18" s="21">
        <f>IF(Table1[[#This Row],[Sustainability Check 2 (2018-2019) Status]]="Continued", Table1[Check 2 Students Spring], 0)</f>
        <v>25</v>
      </c>
      <c r="BX18" s="58">
        <f>Table1[[#This Row],[Summer 2018 Price Check]]*Table1[[#This Row],[Spring 2019 Students]]</f>
        <v>2902.25</v>
      </c>
      <c r="BY18" s="31">
        <f t="shared" si="19"/>
        <v>75</v>
      </c>
      <c r="BZ18" s="58">
        <f t="shared" si="20"/>
        <v>8706.75</v>
      </c>
      <c r="CA18" s="58" t="s">
        <v>130</v>
      </c>
      <c r="CB18" s="21">
        <v>25</v>
      </c>
      <c r="CC18" s="21">
        <v>25</v>
      </c>
      <c r="CD18" s="21">
        <v>25</v>
      </c>
      <c r="CE18" s="21">
        <f t="shared" si="21"/>
        <v>75</v>
      </c>
      <c r="CF18" s="58">
        <v>95.99</v>
      </c>
      <c r="CG18" s="58">
        <f t="shared" si="22"/>
        <v>7199.25</v>
      </c>
      <c r="CH18" s="17" t="s">
        <v>128</v>
      </c>
      <c r="CI18" s="21">
        <f>IF(Table1[[#This Row],[Check 3 Status]]="Continued", Table1[[#This Row],[Check 3 Students Summer]], 0)</f>
        <v>25</v>
      </c>
      <c r="CJ18" s="58">
        <f>Table1[[#This Row],[Check 3 Per Student Savings]]*CI18</f>
        <v>2399.75</v>
      </c>
      <c r="CK18" s="21">
        <f>IF(Table1[[#This Row],[Check 3 Status]]="Continued", Table1[[#This Row],[Check 3 Students Fall]], 0)</f>
        <v>25</v>
      </c>
      <c r="CL18" s="58">
        <f>Table1[[#This Row],[Check 3 Per Student Savings]]*CK18</f>
        <v>2399.75</v>
      </c>
      <c r="CM18" s="21">
        <f>IF(Table1[[#This Row],[Check 3 Status]]="Continued", Table1[[#This Row],[Check 3 Students Spring]], 0)</f>
        <v>25</v>
      </c>
      <c r="CN18" s="58">
        <f>Table1[[#This Row],[Check 3 Per Student Savings]]*CM18</f>
        <v>2399.75</v>
      </c>
      <c r="CO18" s="21">
        <f t="shared" si="23"/>
        <v>75</v>
      </c>
      <c r="CP18" s="58">
        <f t="shared" si="24"/>
        <v>7199.25</v>
      </c>
      <c r="CQ18" s="58" t="s">
        <v>130</v>
      </c>
      <c r="CR18" s="21">
        <v>25</v>
      </c>
      <c r="CS18" s="21">
        <v>25</v>
      </c>
      <c r="CT18" s="21">
        <v>25</v>
      </c>
      <c r="CU18" s="21">
        <f t="shared" si="25"/>
        <v>75</v>
      </c>
      <c r="CV18" s="58">
        <v>95.99</v>
      </c>
      <c r="CW18" s="58">
        <f t="shared" si="26"/>
        <v>7199.25</v>
      </c>
      <c r="CX18" s="58"/>
      <c r="CY18" s="21">
        <f>IF(Table1[[#This Row],[Check 4 Status]]="Continued", Table1[[#This Row],[Check 4 Students Summer]], 0)</f>
        <v>25</v>
      </c>
      <c r="CZ18" s="58">
        <f>Table1[[#This Row],[Check 4 Per Student Savings]]*CY18</f>
        <v>2399.75</v>
      </c>
      <c r="DA18" s="21">
        <f>IF(Table1[[#This Row],[Check 4 Status]]="Continued", Table1[[#This Row],[Check 4 Students Fall]], 0)</f>
        <v>25</v>
      </c>
      <c r="DB18" s="58">
        <f>Table1[[#This Row],[Check 4 Per Student Savings]]*DA18</f>
        <v>2399.75</v>
      </c>
      <c r="DC18" s="21">
        <f>IF(Table1[[#This Row],[Check 4 Status]]="Continued", Table1[[#This Row],[Check 4 Students Spring]], 0)</f>
        <v>25</v>
      </c>
      <c r="DD18" s="58">
        <f>Table1[[#This Row],[Check 4 Per Student Savings]]*DC18</f>
        <v>2399.75</v>
      </c>
      <c r="DE18" s="58">
        <f t="shared" si="27"/>
        <v>75</v>
      </c>
      <c r="DF18" s="58">
        <f t="shared" si="28"/>
        <v>7199.25</v>
      </c>
      <c r="DG1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1041.6666666666667</v>
      </c>
      <c r="DH1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109263.58333333334</v>
      </c>
      <c r="DI18" s="58">
        <f>Table1[[#This Row],[Grand Total Savings]]/Table1[[#This Row],[Total Award]]</f>
        <v>10.116998456790125</v>
      </c>
      <c r="DJ18" s="17"/>
      <c r="DK18" s="17"/>
      <c r="DL18" s="17"/>
      <c r="DM18" s="17"/>
      <c r="EC18" s="17"/>
      <c r="ED18" s="17"/>
      <c r="EE18" s="17"/>
      <c r="EF18" s="17"/>
    </row>
    <row r="19" spans="1:136" x14ac:dyDescent="0.25">
      <c r="A19" s="159" t="s">
        <v>249</v>
      </c>
      <c r="B19" s="17" t="s">
        <v>2011</v>
      </c>
      <c r="D19" s="97" t="s">
        <v>116</v>
      </c>
      <c r="E19" s="158">
        <v>42011</v>
      </c>
      <c r="F19" s="158">
        <v>42163</v>
      </c>
      <c r="G19" s="159" t="s">
        <v>117</v>
      </c>
      <c r="H19" s="95" t="s">
        <v>10</v>
      </c>
      <c r="I19" s="226" t="s">
        <v>118</v>
      </c>
      <c r="J19" s="17" t="s">
        <v>250</v>
      </c>
      <c r="K19" s="101">
        <v>10800</v>
      </c>
      <c r="L19" s="101"/>
      <c r="M19" s="101" t="s">
        <v>251</v>
      </c>
      <c r="N19" s="17" t="s">
        <v>252</v>
      </c>
      <c r="O19" s="101" t="s">
        <v>253</v>
      </c>
      <c r="P19" s="101" t="s">
        <v>254</v>
      </c>
      <c r="Q19" s="101" t="s">
        <v>192</v>
      </c>
      <c r="R19" s="101" t="s">
        <v>129</v>
      </c>
      <c r="S19" s="160" t="s">
        <v>36</v>
      </c>
      <c r="T19" s="17" t="s">
        <v>125</v>
      </c>
      <c r="U19" s="160" t="s">
        <v>255</v>
      </c>
      <c r="V19" s="17" t="s">
        <v>150</v>
      </c>
      <c r="W19" s="17" t="s">
        <v>150</v>
      </c>
      <c r="X19" s="17" t="s">
        <v>150</v>
      </c>
      <c r="Y19" s="58">
        <v>22500</v>
      </c>
      <c r="Z19" s="17">
        <v>75</v>
      </c>
      <c r="AA19" s="58">
        <f t="shared" si="0"/>
        <v>300</v>
      </c>
      <c r="AB19" s="21">
        <f t="shared" si="1"/>
        <v>25</v>
      </c>
      <c r="AC19" s="21">
        <f t="shared" si="2"/>
        <v>25</v>
      </c>
      <c r="AD19" s="21">
        <f t="shared" si="3"/>
        <v>25</v>
      </c>
      <c r="AE19" s="17" t="s">
        <v>128</v>
      </c>
      <c r="AF19" s="17" t="s">
        <v>125</v>
      </c>
      <c r="AG19" s="17">
        <v>120</v>
      </c>
      <c r="AH19" s="17" t="s">
        <v>208</v>
      </c>
      <c r="AI19" s="17" t="s">
        <v>130</v>
      </c>
      <c r="AJ19" s="21">
        <f>Table1[[#This Row],[Students Per Spring]]</f>
        <v>25</v>
      </c>
      <c r="AK19" s="58">
        <f t="shared" si="4"/>
        <v>7500</v>
      </c>
      <c r="AL19" s="21">
        <f t="shared" si="5"/>
        <v>25</v>
      </c>
      <c r="AM19" s="58">
        <f t="shared" si="6"/>
        <v>7500</v>
      </c>
      <c r="AN19" s="21">
        <f>IF(Table1[[#This Row],[Sustainability Check 1 (2017-2018) Status]]="Continued", Table1[[#This Row],[Students Per Summer]], 0)</f>
        <v>25</v>
      </c>
      <c r="AO19" s="58">
        <f t="shared" si="7"/>
        <v>7500</v>
      </c>
      <c r="AP19" s="21">
        <v>0</v>
      </c>
      <c r="AQ19" s="58">
        <f t="shared" si="8"/>
        <v>0</v>
      </c>
      <c r="AR19" s="21">
        <v>0</v>
      </c>
      <c r="AS19" s="58">
        <f t="shared" si="9"/>
        <v>0</v>
      </c>
      <c r="AT19" s="21">
        <v>0</v>
      </c>
      <c r="AU19" s="58">
        <f t="shared" si="29"/>
        <v>7500</v>
      </c>
      <c r="AV19" s="21">
        <v>0</v>
      </c>
      <c r="AW19" s="58">
        <v>0</v>
      </c>
      <c r="AX19" s="31">
        <v>0</v>
      </c>
      <c r="AY19" s="58">
        <v>0</v>
      </c>
      <c r="AZ19" s="31">
        <v>0</v>
      </c>
      <c r="BA19" s="58">
        <v>0</v>
      </c>
      <c r="BB19" s="31">
        <v>0</v>
      </c>
      <c r="BC19" s="58">
        <v>0</v>
      </c>
      <c r="BD19" s="31">
        <v>0</v>
      </c>
      <c r="BE19" s="58">
        <v>0</v>
      </c>
      <c r="BF19" s="31">
        <v>0</v>
      </c>
      <c r="BG19" s="58">
        <v>0</v>
      </c>
      <c r="BH19" s="31">
        <v>0</v>
      </c>
      <c r="BI19" s="58">
        <v>0</v>
      </c>
      <c r="BJ19" s="31">
        <v>0</v>
      </c>
      <c r="BK19" s="58">
        <v>0</v>
      </c>
      <c r="BL19" s="99" t="s">
        <v>1783</v>
      </c>
      <c r="BM19" s="98">
        <v>0</v>
      </c>
      <c r="BN19" s="98">
        <v>0</v>
      </c>
      <c r="BO19" s="98">
        <v>0</v>
      </c>
      <c r="BP19" s="98">
        <f t="shared" si="30"/>
        <v>0</v>
      </c>
      <c r="BQ19" s="96">
        <v>390.5</v>
      </c>
      <c r="BR19" s="58">
        <f>Table1[[#This Row],[Check 2 Students Total]]*Table1[[#This Row],[Summer 2018 Price Check]]</f>
        <v>0</v>
      </c>
      <c r="BS19" s="31">
        <f>IF(Table1[[#This Row],[Sustainability Check 2 (2018-2019) Status]]="Continued", Table1[[#This Row],[Check 2 Students Summer]], 0)</f>
        <v>0</v>
      </c>
      <c r="BT19" s="58">
        <f>Table1[[#This Row],[Summer 2018 Price Check]]*BS19</f>
        <v>0</v>
      </c>
      <c r="BU19" s="31">
        <f>IF(Table1[[#This Row],[Sustainability Check 2 (2018-2019) Status]]="Continued", Table1[[#This Row],[Check 2 Students Fall]], 0)</f>
        <v>0</v>
      </c>
      <c r="BV19" s="58">
        <f>Table1[[#This Row],[Summer 2018 Price Check]]*BU19</f>
        <v>0</v>
      </c>
      <c r="BW19" s="21">
        <f>IF(Table1[[#This Row],[Sustainability Check 2 (2018-2019) Status]]="Continued", Table1[Check 2 Students Spring], 0)</f>
        <v>0</v>
      </c>
      <c r="BX19" s="58">
        <f>Table1[[#This Row],[Summer 2018 Price Check]]*Table1[[#This Row],[Spring 2019 Students]]</f>
        <v>0</v>
      </c>
      <c r="BY19" s="31">
        <f t="shared" si="19"/>
        <v>0</v>
      </c>
      <c r="BZ19" s="58">
        <f t="shared" si="20"/>
        <v>0</v>
      </c>
      <c r="CA19" s="99" t="s">
        <v>1783</v>
      </c>
      <c r="CB19" s="21">
        <v>0</v>
      </c>
      <c r="CC19" s="21">
        <v>0</v>
      </c>
      <c r="CD19" s="21">
        <v>0</v>
      </c>
      <c r="CE19" s="21">
        <f t="shared" si="21"/>
        <v>0</v>
      </c>
      <c r="CF19" s="58">
        <v>0</v>
      </c>
      <c r="CG19" s="58">
        <f t="shared" si="22"/>
        <v>0</v>
      </c>
      <c r="CH19" s="17" t="s">
        <v>128</v>
      </c>
      <c r="CI19" s="21">
        <f>IF(Table1[[#This Row],[Check 3 Status]]="Continued", Table1[[#This Row],[Check 3 Students Summer]], 0)</f>
        <v>0</v>
      </c>
      <c r="CJ19" s="58">
        <f>Table1[[#This Row],[Check 3 Per Student Savings]]*CI19</f>
        <v>0</v>
      </c>
      <c r="CK19" s="21">
        <f>IF(Table1[[#This Row],[Check 3 Status]]="Continued", Table1[[#This Row],[Check 3 Students Fall]], 0)</f>
        <v>0</v>
      </c>
      <c r="CL19" s="58">
        <f>Table1[[#This Row],[Check 3 Per Student Savings]]*CK19</f>
        <v>0</v>
      </c>
      <c r="CM19" s="21">
        <f>IF(Table1[[#This Row],[Check 3 Status]]="Continued", Table1[[#This Row],[Check 3 Students Spring]], 0)</f>
        <v>0</v>
      </c>
      <c r="CN19" s="58">
        <f>Table1[[#This Row],[Check 3 Per Student Savings]]*CM19</f>
        <v>0</v>
      </c>
      <c r="CO19" s="21">
        <f t="shared" si="23"/>
        <v>0</v>
      </c>
      <c r="CP19" s="58">
        <f t="shared" si="24"/>
        <v>0</v>
      </c>
      <c r="CQ19" s="58" t="s">
        <v>1783</v>
      </c>
      <c r="CR19" s="21">
        <v>0</v>
      </c>
      <c r="CS19" s="21">
        <v>0</v>
      </c>
      <c r="CT19" s="21">
        <v>0</v>
      </c>
      <c r="CU19" s="21">
        <f t="shared" si="25"/>
        <v>0</v>
      </c>
      <c r="CV19" s="58">
        <v>0</v>
      </c>
      <c r="CW19" s="58">
        <f t="shared" si="26"/>
        <v>0</v>
      </c>
      <c r="CX19" s="58"/>
      <c r="CY19" s="21">
        <f>IF(Table1[[#This Row],[Check 4 Status]]="Continued", Table1[[#This Row],[Check 4 Students Summer]], 0)</f>
        <v>0</v>
      </c>
      <c r="CZ19" s="58">
        <f>Table1[[#This Row],[Check 4 Per Student Savings]]*CY19</f>
        <v>0</v>
      </c>
      <c r="DA19" s="21">
        <f>IF(Table1[[#This Row],[Check 4 Status]]="Continued", Table1[[#This Row],[Check 4 Students Fall]], 0)</f>
        <v>0</v>
      </c>
      <c r="DB19" s="58">
        <f>Table1[[#This Row],[Check 4 Per Student Savings]]*DA19</f>
        <v>0</v>
      </c>
      <c r="DC19" s="21">
        <f>IF(Table1[[#This Row],[Check 4 Status]]="Continued", Table1[[#This Row],[Check 4 Students Spring]], 0)</f>
        <v>0</v>
      </c>
      <c r="DD19" s="58">
        <f>Table1[[#This Row],[Check 4 Per Student Savings]]*DC19</f>
        <v>0</v>
      </c>
      <c r="DE19" s="58">
        <f t="shared" si="27"/>
        <v>0</v>
      </c>
      <c r="DF19" s="58">
        <f t="shared" si="28"/>
        <v>0</v>
      </c>
      <c r="DG1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25</v>
      </c>
      <c r="DH1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15000</v>
      </c>
      <c r="DI19" s="58">
        <f>Table1[[#This Row],[Grand Total Savings]]/Table1[[#This Row],[Total Award]]</f>
        <v>1.3888888888888888</v>
      </c>
      <c r="DJ19" s="17"/>
      <c r="DK19" s="17"/>
      <c r="DL19" s="17"/>
      <c r="DM19" s="17"/>
      <c r="EC19" s="17"/>
      <c r="ED19" s="17"/>
      <c r="EE19" s="17"/>
      <c r="EF19" s="17"/>
    </row>
    <row r="20" spans="1:136" x14ac:dyDescent="0.25">
      <c r="A20" s="159" t="s">
        <v>256</v>
      </c>
      <c r="B20" s="17" t="s">
        <v>2011</v>
      </c>
      <c r="D20" s="97" t="s">
        <v>116</v>
      </c>
      <c r="E20" s="158">
        <v>42111</v>
      </c>
      <c r="F20" s="158">
        <v>42163</v>
      </c>
      <c r="G20" s="157" t="s">
        <v>117</v>
      </c>
      <c r="H20" s="95" t="s">
        <v>10</v>
      </c>
      <c r="I20" s="226" t="s">
        <v>118</v>
      </c>
      <c r="J20" s="17" t="s">
        <v>257</v>
      </c>
      <c r="K20" s="101">
        <v>10800</v>
      </c>
      <c r="L20" s="101"/>
      <c r="M20" s="101" t="s">
        <v>258</v>
      </c>
      <c r="N20" s="17" t="s">
        <v>259</v>
      </c>
      <c r="O20" s="101" t="s">
        <v>260</v>
      </c>
      <c r="P20" s="101" t="s">
        <v>261</v>
      </c>
      <c r="Q20" s="101" t="s">
        <v>192</v>
      </c>
      <c r="R20" s="101" t="s">
        <v>260</v>
      </c>
      <c r="S20" s="160" t="s">
        <v>36</v>
      </c>
      <c r="T20" s="17" t="s">
        <v>125</v>
      </c>
      <c r="U20" s="160" t="s">
        <v>193</v>
      </c>
      <c r="V20" s="17" t="s">
        <v>150</v>
      </c>
      <c r="W20" s="17" t="s">
        <v>127</v>
      </c>
      <c r="X20" s="17" t="s">
        <v>127</v>
      </c>
      <c r="Y20" s="58">
        <v>16339.2</v>
      </c>
      <c r="Z20" s="17">
        <v>96</v>
      </c>
      <c r="AA20" s="58">
        <f t="shared" si="0"/>
        <v>170.20000000000002</v>
      </c>
      <c r="AB20" s="21">
        <f t="shared" si="1"/>
        <v>32</v>
      </c>
      <c r="AC20" s="21">
        <f t="shared" si="2"/>
        <v>32</v>
      </c>
      <c r="AD20" s="21">
        <f t="shared" si="3"/>
        <v>32</v>
      </c>
      <c r="AE20" s="17" t="s">
        <v>128</v>
      </c>
      <c r="AF20" s="17" t="s">
        <v>129</v>
      </c>
      <c r="AG20" s="17"/>
      <c r="AI20" s="161" t="s">
        <v>130</v>
      </c>
      <c r="AJ20" s="21">
        <f>Table1[[#This Row],[Students Per Spring]]</f>
        <v>32</v>
      </c>
      <c r="AK20" s="58">
        <f t="shared" si="4"/>
        <v>5446.4000000000005</v>
      </c>
      <c r="AL20" s="21">
        <f t="shared" si="5"/>
        <v>32</v>
      </c>
      <c r="AM20" s="58">
        <f t="shared" si="6"/>
        <v>5446.4000000000005</v>
      </c>
      <c r="AN20" s="21">
        <f>IF(Table1[[#This Row],[Sustainability Check 1 (2017-2018) Status]]="Continued", Table1[[#This Row],[Students Per Summer]], 0)</f>
        <v>32</v>
      </c>
      <c r="AO20" s="58">
        <f t="shared" si="7"/>
        <v>5446.4000000000005</v>
      </c>
      <c r="AP20" s="21">
        <f>IF(Table1[[#This Row],[Sustainability Check 1 (2017-2018) Status]]="Continued", Table1[[#This Row],[Students Per Fall]], 0)</f>
        <v>32</v>
      </c>
      <c r="AQ20" s="58">
        <f t="shared" si="8"/>
        <v>5446.4000000000005</v>
      </c>
      <c r="AR20" s="21">
        <f>IF(Table1[[#This Row],[Sustainability Check 1 (2017-2018) Status]]="Continued", Table1[[#This Row],[Students Per Spring]], 0)</f>
        <v>32</v>
      </c>
      <c r="AS20" s="58">
        <f t="shared" si="9"/>
        <v>5446.4000000000005</v>
      </c>
      <c r="AT20" s="21">
        <f t="shared" ref="AT20:AT50" si="40">AN20+AP20+AR20</f>
        <v>96</v>
      </c>
      <c r="AU20" s="58">
        <f t="shared" si="29"/>
        <v>16339.2</v>
      </c>
      <c r="AV20" s="21">
        <f>IF(Table1[[#This Row],[Sustainability Check 1 (2017-2018) Status]]="Continued", Table1[[#This Row],[Students Per Summer]], 0)</f>
        <v>32</v>
      </c>
      <c r="AW20" s="58">
        <f t="shared" ref="AW20:AW51" si="41">$AA20*AV20</f>
        <v>5446.4000000000005</v>
      </c>
      <c r="AX20" s="31">
        <f>IF(Table1[[#This Row],[Sustainability Check 1 (2017-2018) Status]]="Continued", Table1[[#This Row],[Students Per Fall]], 0)</f>
        <v>32</v>
      </c>
      <c r="AY20" s="58">
        <f t="shared" ref="AY20:AY51" si="42">$AA20*AX20</f>
        <v>5446.4000000000005</v>
      </c>
      <c r="AZ20" s="31">
        <f>IF(Table1[[#This Row],[Sustainability Check 1 (2017-2018) Status]]="Continued", Table1[[#This Row],[Students Per Spring]], 0)</f>
        <v>32</v>
      </c>
      <c r="BA20" s="58">
        <f t="shared" ref="BA20:BA51" si="43">$AA20*AZ20</f>
        <v>5446.4000000000005</v>
      </c>
      <c r="BB20" s="31">
        <f t="shared" ref="BB20:BB51" si="44">AV20+AX20+AZ20</f>
        <v>96</v>
      </c>
      <c r="BC20" s="58">
        <f t="shared" ref="BC20:BC51" si="45">AW20+AY20+BA20</f>
        <v>16339.2</v>
      </c>
      <c r="BD20" s="31">
        <f>IF(Table1[[#This Row],[Sustainability Check 1 (2017-2018) Status]]="Continued", Table1[[#This Row],[Students Per Summer]], 0)</f>
        <v>32</v>
      </c>
      <c r="BE20" s="58">
        <f t="shared" ref="BE20:BE51" si="46">$AA20*BD20</f>
        <v>5446.4000000000005</v>
      </c>
      <c r="BF20" s="31">
        <f>IF(Table1[[#This Row],[Sustainability Check 1 (2017-2018) Status]]="Continued", Table1[[#This Row],[Students Per Fall]], 0)</f>
        <v>32</v>
      </c>
      <c r="BG20" s="58">
        <f t="shared" ref="BG20:BG51" si="47">$AA20*BF20</f>
        <v>5446.4000000000005</v>
      </c>
      <c r="BH20" s="31">
        <f>IF(Table1[[#This Row],[Sustainability Check 1 (2017-2018) Status]]="Continued", Table1[[#This Row],[Students Per Spring]], 0)</f>
        <v>32</v>
      </c>
      <c r="BI20" s="58">
        <f t="shared" ref="BI20:BI51" si="48">$AA20*BH20</f>
        <v>5446.4000000000005</v>
      </c>
      <c r="BJ20" s="31">
        <f t="shared" ref="BJ20:BJ51" si="49">BD20+BF20+BH20</f>
        <v>96</v>
      </c>
      <c r="BK20" s="58">
        <f t="shared" ref="BK20:BK51" si="50">BE20+BG20+BI20</f>
        <v>16339.2</v>
      </c>
      <c r="BL20" s="58" t="s">
        <v>130</v>
      </c>
      <c r="BM20" s="31">
        <v>0</v>
      </c>
      <c r="BN20" s="31">
        <v>24</v>
      </c>
      <c r="BO20" s="31">
        <v>48</v>
      </c>
      <c r="BP20" s="31">
        <f t="shared" si="30"/>
        <v>72</v>
      </c>
      <c r="BQ20" s="96">
        <v>173.85</v>
      </c>
      <c r="BR20" s="58">
        <f>Table1[[#This Row],[Check 2 Students Total]]*Table1[[#This Row],[Summer 2018 Price Check]]</f>
        <v>12517.199999999999</v>
      </c>
      <c r="BS20" s="31">
        <f>IF(Table1[[#This Row],[Sustainability Check 2 (2018-2019) Status]]="Continued", Table1[[#This Row],[Check 2 Students Summer]], 0)</f>
        <v>0</v>
      </c>
      <c r="BT20" s="58">
        <f>Table1[[#This Row],[Summer 2018 Price Check]]*BS20</f>
        <v>0</v>
      </c>
      <c r="BU20" s="31">
        <f>IF(Table1[[#This Row],[Sustainability Check 2 (2018-2019) Status]]="Continued", Table1[[#This Row],[Check 2 Students Fall]], 0)</f>
        <v>24</v>
      </c>
      <c r="BV20" s="58">
        <f>Table1[[#This Row],[Summer 2018 Price Check]]*BU20</f>
        <v>4172.3999999999996</v>
      </c>
      <c r="BW20" s="21">
        <f>IF(Table1[[#This Row],[Sustainability Check 2 (2018-2019) Status]]="Continued", Table1[Check 2 Students Spring], 0)</f>
        <v>48</v>
      </c>
      <c r="BX20" s="58">
        <f>Table1[[#This Row],[Summer 2018 Price Check]]*Table1[[#This Row],[Spring 2019 Students]]</f>
        <v>8344.7999999999993</v>
      </c>
      <c r="BY20" s="31">
        <f t="shared" si="19"/>
        <v>72</v>
      </c>
      <c r="BZ20" s="58">
        <f t="shared" si="20"/>
        <v>12517.199999999999</v>
      </c>
      <c r="CA20" s="58" t="s">
        <v>130</v>
      </c>
      <c r="CB20" s="21">
        <v>0</v>
      </c>
      <c r="CC20" s="21">
        <v>24</v>
      </c>
      <c r="CD20" s="21">
        <v>48</v>
      </c>
      <c r="CE20" s="21">
        <f t="shared" si="21"/>
        <v>72</v>
      </c>
      <c r="CF20" s="58">
        <v>170.2</v>
      </c>
      <c r="CG20" s="58">
        <f t="shared" si="22"/>
        <v>12254.4</v>
      </c>
      <c r="CH20" s="17" t="s">
        <v>128</v>
      </c>
      <c r="CI20" s="21">
        <f>IF(Table1[[#This Row],[Check 3 Status]]="Continued", Table1[[#This Row],[Check 3 Students Summer]], 0)</f>
        <v>0</v>
      </c>
      <c r="CJ20" s="58">
        <f>Table1[[#This Row],[Check 3 Per Student Savings]]*CI20</f>
        <v>0</v>
      </c>
      <c r="CK20" s="21">
        <f>IF(Table1[[#This Row],[Check 3 Status]]="Continued", Table1[[#This Row],[Check 3 Students Fall]], 0)</f>
        <v>24</v>
      </c>
      <c r="CL20" s="58">
        <f>Table1[[#This Row],[Check 3 Per Student Savings]]*CK20</f>
        <v>4084.7999999999997</v>
      </c>
      <c r="CM20" s="21">
        <f>IF(Table1[[#This Row],[Check 3 Status]]="Continued", Table1[[#This Row],[Check 3 Students Spring]], 0)</f>
        <v>48</v>
      </c>
      <c r="CN20" s="58">
        <f>Table1[[#This Row],[Check 3 Per Student Savings]]*CM20</f>
        <v>8169.5999999999995</v>
      </c>
      <c r="CO20" s="21">
        <f t="shared" si="23"/>
        <v>72</v>
      </c>
      <c r="CP20" s="58">
        <f t="shared" si="24"/>
        <v>12254.4</v>
      </c>
      <c r="CQ20" s="58" t="s">
        <v>130</v>
      </c>
      <c r="CR20" s="21">
        <v>0</v>
      </c>
      <c r="CS20" s="21">
        <v>24</v>
      </c>
      <c r="CT20" s="21">
        <v>48</v>
      </c>
      <c r="CU20" s="21">
        <f t="shared" si="25"/>
        <v>72</v>
      </c>
      <c r="CV20" s="58">
        <v>170.2</v>
      </c>
      <c r="CW20" s="58">
        <f t="shared" si="26"/>
        <v>12254.4</v>
      </c>
      <c r="CX20" s="58"/>
      <c r="CY20" s="21">
        <f>IF(Table1[[#This Row],[Check 4 Status]]="Continued", Table1[[#This Row],[Check 4 Students Summer]], 0)</f>
        <v>0</v>
      </c>
      <c r="CZ20" s="58">
        <f>Table1[[#This Row],[Check 4 Per Student Savings]]*CY20</f>
        <v>0</v>
      </c>
      <c r="DA20" s="21">
        <f>IF(Table1[[#This Row],[Check 4 Status]]="Continued", Table1[[#This Row],[Check 4 Students Fall]], 0)</f>
        <v>24</v>
      </c>
      <c r="DB20" s="58">
        <f>Table1[[#This Row],[Check 4 Per Student Savings]]*DA20</f>
        <v>4084.7999999999997</v>
      </c>
      <c r="DC20" s="21">
        <f>IF(Table1[[#This Row],[Check 4 Status]]="Continued", Table1[[#This Row],[Check 4 Students Spring]], 0)</f>
        <v>48</v>
      </c>
      <c r="DD20" s="58">
        <f>Table1[[#This Row],[Check 4 Per Student Savings]]*DC20</f>
        <v>8169.5999999999995</v>
      </c>
      <c r="DE20" s="58">
        <f t="shared" si="27"/>
        <v>72</v>
      </c>
      <c r="DF20" s="58">
        <f t="shared" si="28"/>
        <v>12254.4</v>
      </c>
      <c r="DG2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536</v>
      </c>
      <c r="DH2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91489.999999999985</v>
      </c>
      <c r="DI20" s="58">
        <f>Table1[[#This Row],[Grand Total Savings]]/Table1[[#This Row],[Total Award]]</f>
        <v>8.4712962962962948</v>
      </c>
      <c r="DJ20" s="17"/>
      <c r="DK20" s="17"/>
      <c r="DL20" s="17"/>
      <c r="DM20" s="17"/>
      <c r="EC20" s="17"/>
      <c r="ED20" s="17"/>
      <c r="EE20" s="17"/>
      <c r="EF20" s="17"/>
    </row>
    <row r="21" spans="1:136" x14ac:dyDescent="0.25">
      <c r="A21" s="159" t="s">
        <v>262</v>
      </c>
      <c r="B21" s="17" t="s">
        <v>2011</v>
      </c>
      <c r="D21" s="97" t="s">
        <v>116</v>
      </c>
      <c r="E21" s="158">
        <v>42026</v>
      </c>
      <c r="F21" s="158">
        <v>42163</v>
      </c>
      <c r="G21" s="157" t="s">
        <v>117</v>
      </c>
      <c r="H21" s="95" t="s">
        <v>10</v>
      </c>
      <c r="I21" s="226" t="s">
        <v>118</v>
      </c>
      <c r="J21" s="17" t="s">
        <v>132</v>
      </c>
      <c r="K21" s="101">
        <v>10800</v>
      </c>
      <c r="L21" s="101"/>
      <c r="M21" s="101" t="s">
        <v>263</v>
      </c>
      <c r="N21" s="128" t="s">
        <v>264</v>
      </c>
      <c r="O21" s="101" t="s">
        <v>265</v>
      </c>
      <c r="P21" s="101" t="s">
        <v>266</v>
      </c>
      <c r="Q21" s="101" t="s">
        <v>234</v>
      </c>
      <c r="R21" s="101" t="s">
        <v>129</v>
      </c>
      <c r="S21" s="160" t="s">
        <v>36</v>
      </c>
      <c r="T21" s="17" t="s">
        <v>129</v>
      </c>
      <c r="U21" s="101" t="s">
        <v>157</v>
      </c>
      <c r="V21" s="17" t="s">
        <v>150</v>
      </c>
      <c r="W21" s="17" t="s">
        <v>150</v>
      </c>
      <c r="X21" s="17" t="s">
        <v>127</v>
      </c>
      <c r="Y21" s="58">
        <v>13875</v>
      </c>
      <c r="Z21" s="17">
        <v>300</v>
      </c>
      <c r="AA21" s="58">
        <f t="shared" si="0"/>
        <v>46.25</v>
      </c>
      <c r="AB21" s="21">
        <f t="shared" si="1"/>
        <v>100</v>
      </c>
      <c r="AC21" s="21">
        <f t="shared" si="2"/>
        <v>100</v>
      </c>
      <c r="AD21" s="21">
        <f t="shared" si="3"/>
        <v>100</v>
      </c>
      <c r="AE21" s="17" t="s">
        <v>128</v>
      </c>
      <c r="AF21" s="17" t="s">
        <v>129</v>
      </c>
      <c r="AG21" s="17"/>
      <c r="AI21" s="17" t="s">
        <v>130</v>
      </c>
      <c r="AJ21" s="21">
        <f>Table1[[#This Row],[Students Per Spring]]</f>
        <v>100</v>
      </c>
      <c r="AK21" s="58">
        <f t="shared" si="4"/>
        <v>4625</v>
      </c>
      <c r="AL21" s="21">
        <f t="shared" si="5"/>
        <v>100</v>
      </c>
      <c r="AM21" s="58">
        <f t="shared" si="6"/>
        <v>4625</v>
      </c>
      <c r="AN21" s="21">
        <f>IF(Table1[[#This Row],[Sustainability Check 1 (2017-2018) Status]]="Continued", Table1[[#This Row],[Students Per Summer]], 0)</f>
        <v>100</v>
      </c>
      <c r="AO21" s="58">
        <f t="shared" si="7"/>
        <v>4625</v>
      </c>
      <c r="AP21" s="21">
        <f>IF(Table1[[#This Row],[Sustainability Check 1 (2017-2018) Status]]="Continued", Table1[[#This Row],[Students Per Fall]], 0)</f>
        <v>100</v>
      </c>
      <c r="AQ21" s="58">
        <f t="shared" si="8"/>
        <v>4625</v>
      </c>
      <c r="AR21" s="21">
        <f>IF(Table1[[#This Row],[Sustainability Check 1 (2017-2018) Status]]="Continued", Table1[[#This Row],[Students Per Spring]], 0)</f>
        <v>100</v>
      </c>
      <c r="AS21" s="58">
        <f t="shared" si="9"/>
        <v>4625</v>
      </c>
      <c r="AT21" s="21">
        <f t="shared" si="40"/>
        <v>300</v>
      </c>
      <c r="AU21" s="58">
        <f t="shared" si="29"/>
        <v>13875</v>
      </c>
      <c r="AV21" s="21">
        <f>IF(Table1[[#This Row],[Sustainability Check 1 (2017-2018) Status]]="Continued", Table1[[#This Row],[Students Per Summer]], 0)</f>
        <v>100</v>
      </c>
      <c r="AW21" s="58">
        <f t="shared" si="41"/>
        <v>4625</v>
      </c>
      <c r="AX21" s="31">
        <f>IF(Table1[[#This Row],[Sustainability Check 1 (2017-2018) Status]]="Continued", Table1[[#This Row],[Students Per Fall]], 0)</f>
        <v>100</v>
      </c>
      <c r="AY21" s="58">
        <f t="shared" si="42"/>
        <v>4625</v>
      </c>
      <c r="AZ21" s="31">
        <f>IF(Table1[[#This Row],[Sustainability Check 1 (2017-2018) Status]]="Continued", Table1[[#This Row],[Students Per Spring]], 0)</f>
        <v>100</v>
      </c>
      <c r="BA21" s="58">
        <f t="shared" si="43"/>
        <v>4625</v>
      </c>
      <c r="BB21" s="31">
        <f t="shared" si="44"/>
        <v>300</v>
      </c>
      <c r="BC21" s="58">
        <f t="shared" si="45"/>
        <v>13875</v>
      </c>
      <c r="BD21" s="31">
        <f>IF(Table1[[#This Row],[Sustainability Check 1 (2017-2018) Status]]="Continued", Table1[[#This Row],[Students Per Summer]], 0)</f>
        <v>100</v>
      </c>
      <c r="BE21" s="58">
        <f t="shared" si="46"/>
        <v>4625</v>
      </c>
      <c r="BF21" s="31">
        <f>IF(Table1[[#This Row],[Sustainability Check 1 (2017-2018) Status]]="Continued", Table1[[#This Row],[Students Per Fall]], 0)</f>
        <v>100</v>
      </c>
      <c r="BG21" s="58">
        <f t="shared" si="47"/>
        <v>4625</v>
      </c>
      <c r="BH21" s="31">
        <f>IF(Table1[[#This Row],[Sustainability Check 1 (2017-2018) Status]]="Continued", Table1[[#This Row],[Students Per Spring]], 0)</f>
        <v>100</v>
      </c>
      <c r="BI21" s="58">
        <f t="shared" si="48"/>
        <v>4625</v>
      </c>
      <c r="BJ21" s="31">
        <f t="shared" si="49"/>
        <v>300</v>
      </c>
      <c r="BK21" s="58">
        <f t="shared" si="50"/>
        <v>13875</v>
      </c>
      <c r="BL21" s="58" t="s">
        <v>130</v>
      </c>
      <c r="BM21" s="31">
        <v>23</v>
      </c>
      <c r="BN21" s="31">
        <v>20</v>
      </c>
      <c r="BO21" s="31">
        <v>22</v>
      </c>
      <c r="BP21" s="31">
        <f t="shared" si="30"/>
        <v>65</v>
      </c>
      <c r="BQ21" s="96">
        <v>178</v>
      </c>
      <c r="BR21" s="58">
        <f>Table1[[#This Row],[Check 2 Students Total]]*Table1[[#This Row],[Summer 2018 Price Check]]</f>
        <v>11570</v>
      </c>
      <c r="BS21" s="31">
        <f>IF(Table1[[#This Row],[Sustainability Check 2 (2018-2019) Status]]="Continued", Table1[[#This Row],[Check 2 Students Summer]], 0)</f>
        <v>23</v>
      </c>
      <c r="BT21" s="58">
        <f>Table1[[#This Row],[Summer 2018 Price Check]]*BS21</f>
        <v>4094</v>
      </c>
      <c r="BU21" s="31">
        <f>IF(Table1[[#This Row],[Sustainability Check 2 (2018-2019) Status]]="Continued", Table1[[#This Row],[Check 2 Students Fall]], 0)</f>
        <v>20</v>
      </c>
      <c r="BV21" s="58">
        <f>Table1[[#This Row],[Summer 2018 Price Check]]*BU21</f>
        <v>3560</v>
      </c>
      <c r="BW21" s="21">
        <f>IF(Table1[[#This Row],[Sustainability Check 2 (2018-2019) Status]]="Continued", Table1[Check 2 Students Spring], 0)</f>
        <v>22</v>
      </c>
      <c r="BX21" s="58">
        <f>Table1[[#This Row],[Summer 2018 Price Check]]*Table1[[#This Row],[Spring 2019 Students]]</f>
        <v>3916</v>
      </c>
      <c r="BY21" s="31">
        <f t="shared" si="19"/>
        <v>65</v>
      </c>
      <c r="BZ21" s="58">
        <f t="shared" si="20"/>
        <v>11570</v>
      </c>
      <c r="CA21" s="58" t="s">
        <v>130</v>
      </c>
      <c r="CB21" s="21">
        <v>10</v>
      </c>
      <c r="CC21" s="21">
        <v>10</v>
      </c>
      <c r="CD21" s="21">
        <v>0</v>
      </c>
      <c r="CE21" s="21">
        <f t="shared" si="21"/>
        <v>20</v>
      </c>
      <c r="CF21" s="58">
        <v>46.25</v>
      </c>
      <c r="CG21" s="58">
        <f t="shared" si="22"/>
        <v>925</v>
      </c>
      <c r="CH21" s="17" t="s">
        <v>128</v>
      </c>
      <c r="CI21" s="21">
        <f>IF(Table1[[#This Row],[Check 3 Status]]="Continued", Table1[[#This Row],[Check 3 Students Summer]], 0)</f>
        <v>10</v>
      </c>
      <c r="CJ21" s="58">
        <f>Table1[[#This Row],[Check 3 Per Student Savings]]*CI21</f>
        <v>462.5</v>
      </c>
      <c r="CK21" s="21">
        <f>IF(Table1[[#This Row],[Check 3 Status]]="Continued", Table1[[#This Row],[Check 3 Students Fall]], 0)</f>
        <v>10</v>
      </c>
      <c r="CL21" s="58">
        <f>Table1[[#This Row],[Check 3 Per Student Savings]]*CK21</f>
        <v>462.5</v>
      </c>
      <c r="CM21" s="21">
        <f>IF(Table1[[#This Row],[Check 3 Status]]="Continued", Table1[[#This Row],[Check 3 Students Spring]], 0)</f>
        <v>0</v>
      </c>
      <c r="CN21" s="58">
        <f>Table1[[#This Row],[Check 3 Per Student Savings]]*CM21</f>
        <v>0</v>
      </c>
      <c r="CO21" s="21">
        <f t="shared" si="23"/>
        <v>20</v>
      </c>
      <c r="CP21" s="58">
        <f t="shared" si="24"/>
        <v>925</v>
      </c>
      <c r="CQ21" s="58" t="s">
        <v>142</v>
      </c>
      <c r="CR21" s="21">
        <v>10</v>
      </c>
      <c r="CS21" s="21">
        <v>10</v>
      </c>
      <c r="CT21" s="21">
        <v>0</v>
      </c>
      <c r="CU21" s="21">
        <v>0</v>
      </c>
      <c r="CV21" s="58">
        <v>0</v>
      </c>
      <c r="CW21" s="58">
        <f t="shared" si="26"/>
        <v>0</v>
      </c>
      <c r="CX21" s="58"/>
      <c r="CY21" s="21">
        <f>IF(Table1[[#This Row],[Check 4 Status]]="Continued", Table1[[#This Row],[Check 4 Students Summer]], 0)</f>
        <v>0</v>
      </c>
      <c r="CZ21" s="58">
        <f>Table1[[#This Row],[Check 4 Per Student Savings]]*CY21</f>
        <v>0</v>
      </c>
      <c r="DA21" s="21">
        <f>IF(Table1[[#This Row],[Check 4 Status]]="Continued", Table1[[#This Row],[Check 4 Students Fall]], 0)</f>
        <v>0</v>
      </c>
      <c r="DB21" s="58">
        <f>Table1[[#This Row],[Check 4 Per Student Savings]]*DA21</f>
        <v>0</v>
      </c>
      <c r="DC21" s="21">
        <f>IF(Table1[[#This Row],[Check 4 Status]]="Continued", Table1[[#This Row],[Check 4 Students Spring]], 0)</f>
        <v>0</v>
      </c>
      <c r="DD21" s="58">
        <f>Table1[[#This Row],[Check 4 Per Student Savings]]*DC21</f>
        <v>0</v>
      </c>
      <c r="DE21" s="58">
        <f t="shared" si="27"/>
        <v>0</v>
      </c>
      <c r="DF21" s="58">
        <f t="shared" si="28"/>
        <v>0</v>
      </c>
      <c r="DG2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1085</v>
      </c>
      <c r="DH2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58745</v>
      </c>
      <c r="DI21" s="58">
        <f>Table1[[#This Row],[Grand Total Savings]]/Table1[[#This Row],[Total Award]]</f>
        <v>5.4393518518518515</v>
      </c>
      <c r="DJ21" s="17"/>
      <c r="DK21" s="17"/>
      <c r="DL21" s="17"/>
      <c r="DM21" s="17"/>
      <c r="EC21" s="17"/>
      <c r="ED21" s="17"/>
      <c r="EE21" s="17"/>
      <c r="EF21" s="17"/>
    </row>
    <row r="22" spans="1:136" x14ac:dyDescent="0.25">
      <c r="A22" s="159" t="s">
        <v>267</v>
      </c>
      <c r="B22" s="17" t="s">
        <v>2011</v>
      </c>
      <c r="D22" s="97" t="s">
        <v>116</v>
      </c>
      <c r="E22" s="158">
        <v>42011</v>
      </c>
      <c r="F22" s="158">
        <v>42162</v>
      </c>
      <c r="G22" s="157" t="s">
        <v>117</v>
      </c>
      <c r="H22" s="95" t="s">
        <v>10</v>
      </c>
      <c r="I22" s="226" t="s">
        <v>118</v>
      </c>
      <c r="J22" s="17" t="s">
        <v>250</v>
      </c>
      <c r="K22" s="101">
        <v>10800</v>
      </c>
      <c r="L22" s="101"/>
      <c r="M22" s="101" t="s">
        <v>268</v>
      </c>
      <c r="N22" s="17" t="s">
        <v>269</v>
      </c>
      <c r="O22" s="101" t="s">
        <v>270</v>
      </c>
      <c r="P22" s="101" t="s">
        <v>271</v>
      </c>
      <c r="Q22" s="101" t="s">
        <v>272</v>
      </c>
      <c r="R22" s="101" t="s">
        <v>273</v>
      </c>
      <c r="S22" s="160" t="s">
        <v>36</v>
      </c>
      <c r="T22" s="17" t="s">
        <v>125</v>
      </c>
      <c r="U22" s="160" t="s">
        <v>274</v>
      </c>
      <c r="V22" s="17" t="s">
        <v>139</v>
      </c>
      <c r="W22" s="17" t="s">
        <v>127</v>
      </c>
      <c r="X22" s="17" t="s">
        <v>127</v>
      </c>
      <c r="Y22" s="58">
        <v>70000</v>
      </c>
      <c r="Z22" s="17">
        <v>400</v>
      </c>
      <c r="AA22" s="58">
        <f t="shared" si="0"/>
        <v>175</v>
      </c>
      <c r="AB22" s="21">
        <f t="shared" si="1"/>
        <v>133.33333333333334</v>
      </c>
      <c r="AC22" s="21">
        <f t="shared" si="2"/>
        <v>133.33333333333334</v>
      </c>
      <c r="AD22" s="21">
        <f t="shared" si="3"/>
        <v>133.33333333333334</v>
      </c>
      <c r="AE22" s="17" t="s">
        <v>128</v>
      </c>
      <c r="AF22" s="17" t="s">
        <v>129</v>
      </c>
      <c r="AG22" s="17"/>
      <c r="AI22" s="17" t="s">
        <v>130</v>
      </c>
      <c r="AJ22" s="21">
        <f>Table1[[#This Row],[Students Per Spring]]</f>
        <v>133.33333333333334</v>
      </c>
      <c r="AK22" s="58">
        <f t="shared" si="4"/>
        <v>23333.333333333336</v>
      </c>
      <c r="AL22" s="21">
        <f t="shared" si="5"/>
        <v>133.33333333333334</v>
      </c>
      <c r="AM22" s="58">
        <f t="shared" si="6"/>
        <v>23333.333333333336</v>
      </c>
      <c r="AN22" s="21">
        <f>IF(Table1[[#This Row],[Sustainability Check 1 (2017-2018) Status]]="Continued", Table1[[#This Row],[Students Per Summer]], 0)</f>
        <v>133.33333333333334</v>
      </c>
      <c r="AO22" s="58">
        <f t="shared" si="7"/>
        <v>23333.333333333336</v>
      </c>
      <c r="AP22" s="21">
        <f>IF(Table1[[#This Row],[Sustainability Check 1 (2017-2018) Status]]="Continued", Table1[[#This Row],[Students Per Fall]], 0)</f>
        <v>133.33333333333334</v>
      </c>
      <c r="AQ22" s="58">
        <f t="shared" si="8"/>
        <v>23333.333333333336</v>
      </c>
      <c r="AR22" s="21">
        <f>IF(Table1[[#This Row],[Sustainability Check 1 (2017-2018) Status]]="Continued", Table1[[#This Row],[Students Per Spring]], 0)</f>
        <v>133.33333333333334</v>
      </c>
      <c r="AS22" s="58">
        <f t="shared" si="9"/>
        <v>23333.333333333336</v>
      </c>
      <c r="AT22" s="21">
        <f t="shared" si="40"/>
        <v>400</v>
      </c>
      <c r="AU22" s="58">
        <f t="shared" si="29"/>
        <v>70000</v>
      </c>
      <c r="AV22" s="21">
        <f>IF(Table1[[#This Row],[Sustainability Check 1 (2017-2018) Status]]="Continued", Table1[[#This Row],[Students Per Summer]], 0)</f>
        <v>133.33333333333334</v>
      </c>
      <c r="AW22" s="58">
        <f t="shared" si="41"/>
        <v>23333.333333333336</v>
      </c>
      <c r="AX22" s="31">
        <f>IF(Table1[[#This Row],[Sustainability Check 1 (2017-2018) Status]]="Continued", Table1[[#This Row],[Students Per Fall]], 0)</f>
        <v>133.33333333333334</v>
      </c>
      <c r="AY22" s="58">
        <f t="shared" si="42"/>
        <v>23333.333333333336</v>
      </c>
      <c r="AZ22" s="31">
        <f>IF(Table1[[#This Row],[Sustainability Check 1 (2017-2018) Status]]="Continued", Table1[[#This Row],[Students Per Spring]], 0)</f>
        <v>133.33333333333334</v>
      </c>
      <c r="BA22" s="58">
        <f t="shared" si="43"/>
        <v>23333.333333333336</v>
      </c>
      <c r="BB22" s="31">
        <f t="shared" si="44"/>
        <v>400</v>
      </c>
      <c r="BC22" s="58">
        <f t="shared" si="45"/>
        <v>70000</v>
      </c>
      <c r="BD22" s="31">
        <f>IF(Table1[[#This Row],[Sustainability Check 1 (2017-2018) Status]]="Continued", Table1[[#This Row],[Students Per Summer]], 0)</f>
        <v>133.33333333333334</v>
      </c>
      <c r="BE22" s="58">
        <f t="shared" si="46"/>
        <v>23333.333333333336</v>
      </c>
      <c r="BF22" s="31">
        <f>IF(Table1[[#This Row],[Sustainability Check 1 (2017-2018) Status]]="Continued", Table1[[#This Row],[Students Per Fall]], 0)</f>
        <v>133.33333333333334</v>
      </c>
      <c r="BG22" s="58">
        <f t="shared" si="47"/>
        <v>23333.333333333336</v>
      </c>
      <c r="BH22" s="31">
        <f>IF(Table1[[#This Row],[Sustainability Check 1 (2017-2018) Status]]="Continued", Table1[[#This Row],[Students Per Spring]], 0)</f>
        <v>133.33333333333334</v>
      </c>
      <c r="BI22" s="58">
        <f t="shared" si="48"/>
        <v>23333.333333333336</v>
      </c>
      <c r="BJ22" s="31">
        <f t="shared" si="49"/>
        <v>400</v>
      </c>
      <c r="BK22" s="58">
        <f t="shared" si="50"/>
        <v>70000</v>
      </c>
      <c r="BL22" s="58" t="s">
        <v>130</v>
      </c>
      <c r="BM22" s="31">
        <v>5</v>
      </c>
      <c r="BN22" s="31">
        <v>25</v>
      </c>
      <c r="BO22" s="31">
        <v>50</v>
      </c>
      <c r="BP22" s="31">
        <f t="shared" si="30"/>
        <v>80</v>
      </c>
      <c r="BQ22" s="96">
        <v>175</v>
      </c>
      <c r="BR22" s="58">
        <f>Table1[[#This Row],[Check 2 Students Total]]*Table1[[#This Row],[Summer 2018 Price Check]]</f>
        <v>14000</v>
      </c>
      <c r="BS22" s="31">
        <f>IF(Table1[[#This Row],[Sustainability Check 2 (2018-2019) Status]]="Continued", Table1[[#This Row],[Check 2 Students Summer]], 0)</f>
        <v>5</v>
      </c>
      <c r="BT22" s="58">
        <f>Table1[[#This Row],[Summer 2018 Price Check]]*BS22</f>
        <v>875</v>
      </c>
      <c r="BU22" s="31">
        <f>IF(Table1[[#This Row],[Sustainability Check 2 (2018-2019) Status]]="Continued", Table1[[#This Row],[Check 2 Students Fall]], 0)</f>
        <v>25</v>
      </c>
      <c r="BV22" s="58">
        <f>Table1[[#This Row],[Summer 2018 Price Check]]*BU22</f>
        <v>4375</v>
      </c>
      <c r="BW22" s="21">
        <f>IF(Table1[[#This Row],[Sustainability Check 2 (2018-2019) Status]]="Continued", Table1[Check 2 Students Spring], 0)</f>
        <v>50</v>
      </c>
      <c r="BX22" s="58">
        <f>Table1[[#This Row],[Summer 2018 Price Check]]*Table1[[#This Row],[Spring 2019 Students]]</f>
        <v>8750</v>
      </c>
      <c r="BY22" s="31">
        <f t="shared" si="19"/>
        <v>80</v>
      </c>
      <c r="BZ22" s="58">
        <f t="shared" si="20"/>
        <v>14000</v>
      </c>
      <c r="CA22" s="58" t="s">
        <v>130</v>
      </c>
      <c r="CB22" s="21">
        <v>5</v>
      </c>
      <c r="CC22" s="21">
        <v>25</v>
      </c>
      <c r="CD22" s="21">
        <v>50</v>
      </c>
      <c r="CE22" s="21">
        <f t="shared" si="21"/>
        <v>80</v>
      </c>
      <c r="CF22" s="58">
        <v>175</v>
      </c>
      <c r="CG22" s="58">
        <f t="shared" si="22"/>
        <v>14000</v>
      </c>
      <c r="CH22" s="17" t="s">
        <v>128</v>
      </c>
      <c r="CI22" s="21">
        <f>IF(Table1[[#This Row],[Check 3 Status]]="Continued", Table1[[#This Row],[Check 3 Students Summer]], 0)</f>
        <v>5</v>
      </c>
      <c r="CJ22" s="58">
        <f>Table1[[#This Row],[Check 3 Per Student Savings]]*CI22</f>
        <v>875</v>
      </c>
      <c r="CK22" s="21">
        <f>IF(Table1[[#This Row],[Check 3 Status]]="Continued", Table1[[#This Row],[Check 3 Students Fall]], 0)</f>
        <v>25</v>
      </c>
      <c r="CL22" s="58">
        <f>Table1[[#This Row],[Check 3 Per Student Savings]]*CK22</f>
        <v>4375</v>
      </c>
      <c r="CM22" s="21">
        <f>IF(Table1[[#This Row],[Check 3 Status]]="Continued", Table1[[#This Row],[Check 3 Students Spring]], 0)</f>
        <v>50</v>
      </c>
      <c r="CN22" s="58">
        <f>Table1[[#This Row],[Check 3 Per Student Savings]]*CM22</f>
        <v>8750</v>
      </c>
      <c r="CO22" s="21">
        <f t="shared" si="23"/>
        <v>80</v>
      </c>
      <c r="CP22" s="58">
        <f t="shared" si="24"/>
        <v>14000</v>
      </c>
      <c r="CQ22" s="58" t="s">
        <v>130</v>
      </c>
      <c r="CR22" s="21">
        <v>5</v>
      </c>
      <c r="CS22" s="21">
        <v>25</v>
      </c>
      <c r="CT22" s="21">
        <v>50</v>
      </c>
      <c r="CU22" s="21">
        <f t="shared" si="25"/>
        <v>80</v>
      </c>
      <c r="CV22" s="58">
        <v>175</v>
      </c>
      <c r="CW22" s="58">
        <f t="shared" si="26"/>
        <v>14000</v>
      </c>
      <c r="CX22" s="58"/>
      <c r="CY22" s="21">
        <f>IF(Table1[[#This Row],[Check 4 Status]]="Continued", Table1[[#This Row],[Check 4 Students Summer]], 0)</f>
        <v>5</v>
      </c>
      <c r="CZ22" s="58">
        <f>Table1[[#This Row],[Check 4 Per Student Savings]]*CY22</f>
        <v>875</v>
      </c>
      <c r="DA22" s="21">
        <f>IF(Table1[[#This Row],[Check 4 Status]]="Continued", Table1[[#This Row],[Check 4 Students Fall]], 0)</f>
        <v>25</v>
      </c>
      <c r="DB22" s="58">
        <f>Table1[[#This Row],[Check 4 Per Student Savings]]*DA22</f>
        <v>4375</v>
      </c>
      <c r="DC22" s="21">
        <f>IF(Table1[[#This Row],[Check 4 Status]]="Continued", Table1[[#This Row],[Check 4 Students Spring]], 0)</f>
        <v>50</v>
      </c>
      <c r="DD22" s="58">
        <f>Table1[[#This Row],[Check 4 Per Student Savings]]*DC22</f>
        <v>8750</v>
      </c>
      <c r="DE22" s="58">
        <f t="shared" si="27"/>
        <v>80</v>
      </c>
      <c r="DF22" s="58">
        <f t="shared" si="28"/>
        <v>14000</v>
      </c>
      <c r="DG2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1573.3333333333335</v>
      </c>
      <c r="DH2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275333.33333333337</v>
      </c>
      <c r="DI22" s="58">
        <f>Table1[[#This Row],[Grand Total Savings]]/Table1[[#This Row],[Total Award]]</f>
        <v>25.493827160493829</v>
      </c>
      <c r="DJ22" s="17"/>
      <c r="DK22" s="17"/>
      <c r="DL22" s="17"/>
      <c r="DM22" s="17"/>
      <c r="EC22" s="17"/>
      <c r="ED22" s="17"/>
      <c r="EE22" s="17"/>
      <c r="EF22" s="17"/>
    </row>
    <row r="23" spans="1:136" x14ac:dyDescent="0.25">
      <c r="A23" s="159" t="s">
        <v>275</v>
      </c>
      <c r="B23" s="17" t="s">
        <v>2011</v>
      </c>
      <c r="D23" s="97" t="s">
        <v>116</v>
      </c>
      <c r="E23" s="158">
        <v>42010</v>
      </c>
      <c r="F23" s="158">
        <v>42163</v>
      </c>
      <c r="G23" s="157" t="s">
        <v>117</v>
      </c>
      <c r="H23" s="95" t="s">
        <v>10</v>
      </c>
      <c r="I23" s="226" t="s">
        <v>118</v>
      </c>
      <c r="J23" s="17" t="s">
        <v>276</v>
      </c>
      <c r="K23" s="101">
        <v>10800</v>
      </c>
      <c r="L23" s="101"/>
      <c r="M23" s="101" t="s">
        <v>277</v>
      </c>
      <c r="N23" s="128" t="s">
        <v>278</v>
      </c>
      <c r="O23" s="101" t="s">
        <v>279</v>
      </c>
      <c r="P23" s="101" t="s">
        <v>280</v>
      </c>
      <c r="Q23" s="101" t="s">
        <v>234</v>
      </c>
      <c r="R23" s="101" t="s">
        <v>129</v>
      </c>
      <c r="S23" s="160" t="s">
        <v>36</v>
      </c>
      <c r="T23" s="17" t="s">
        <v>129</v>
      </c>
      <c r="U23" s="101" t="s">
        <v>157</v>
      </c>
      <c r="V23" s="17" t="s">
        <v>150</v>
      </c>
      <c r="W23" s="17" t="s">
        <v>150</v>
      </c>
      <c r="X23" s="17" t="s">
        <v>140</v>
      </c>
      <c r="Y23" s="58">
        <v>80437.5</v>
      </c>
      <c r="Z23" s="31">
        <v>1625</v>
      </c>
      <c r="AA23" s="58">
        <f t="shared" si="0"/>
        <v>49.5</v>
      </c>
      <c r="AB23" s="21">
        <f t="shared" si="1"/>
        <v>541.66666666666663</v>
      </c>
      <c r="AC23" s="21">
        <f t="shared" si="2"/>
        <v>541.66666666666663</v>
      </c>
      <c r="AD23" s="21">
        <f t="shared" si="3"/>
        <v>541.66666666666663</v>
      </c>
      <c r="AE23" s="17" t="s">
        <v>128</v>
      </c>
      <c r="AF23" s="17" t="s">
        <v>129</v>
      </c>
      <c r="AG23" s="17"/>
      <c r="AI23" s="17" t="s">
        <v>130</v>
      </c>
      <c r="AJ23" s="21">
        <f>Table1[[#This Row],[Students Per Spring]]</f>
        <v>541.66666666666663</v>
      </c>
      <c r="AK23" s="58">
        <f t="shared" si="4"/>
        <v>26812.499999999996</v>
      </c>
      <c r="AL23" s="21">
        <f t="shared" si="5"/>
        <v>541.66666666666663</v>
      </c>
      <c r="AM23" s="58">
        <f t="shared" si="6"/>
        <v>26812.499999999996</v>
      </c>
      <c r="AN23" s="21">
        <f>IF(Table1[[#This Row],[Sustainability Check 1 (2017-2018) Status]]="Continued", Table1[[#This Row],[Students Per Summer]], 0)</f>
        <v>541.66666666666663</v>
      </c>
      <c r="AO23" s="58">
        <f t="shared" si="7"/>
        <v>26812.499999999996</v>
      </c>
      <c r="AP23" s="21">
        <f>IF(Table1[[#This Row],[Sustainability Check 1 (2017-2018) Status]]="Continued", Table1[[#This Row],[Students Per Fall]], 0)</f>
        <v>541.66666666666663</v>
      </c>
      <c r="AQ23" s="58">
        <f t="shared" si="8"/>
        <v>26812.499999999996</v>
      </c>
      <c r="AR23" s="21">
        <f>IF(Table1[[#This Row],[Sustainability Check 1 (2017-2018) Status]]="Continued", Table1[[#This Row],[Students Per Spring]], 0)</f>
        <v>541.66666666666663</v>
      </c>
      <c r="AS23" s="58">
        <f t="shared" si="9"/>
        <v>26812.499999999996</v>
      </c>
      <c r="AT23" s="21">
        <f t="shared" si="40"/>
        <v>1625</v>
      </c>
      <c r="AU23" s="58">
        <f t="shared" si="29"/>
        <v>80437.499999999985</v>
      </c>
      <c r="AV23" s="21">
        <f>IF(Table1[[#This Row],[Sustainability Check 1 (2017-2018) Status]]="Continued", Table1[[#This Row],[Students Per Summer]], 0)</f>
        <v>541.66666666666663</v>
      </c>
      <c r="AW23" s="58">
        <f t="shared" si="41"/>
        <v>26812.499999999996</v>
      </c>
      <c r="AX23" s="31">
        <f>IF(Table1[[#This Row],[Sustainability Check 1 (2017-2018) Status]]="Continued", Table1[[#This Row],[Students Per Fall]], 0)</f>
        <v>541.66666666666663</v>
      </c>
      <c r="AY23" s="58">
        <f t="shared" si="42"/>
        <v>26812.499999999996</v>
      </c>
      <c r="AZ23" s="31">
        <f>IF(Table1[[#This Row],[Sustainability Check 1 (2017-2018) Status]]="Continued", Table1[[#This Row],[Students Per Spring]], 0)</f>
        <v>541.66666666666663</v>
      </c>
      <c r="BA23" s="58">
        <f t="shared" si="43"/>
        <v>26812.499999999996</v>
      </c>
      <c r="BB23" s="31">
        <f t="shared" si="44"/>
        <v>1625</v>
      </c>
      <c r="BC23" s="58">
        <f t="shared" si="45"/>
        <v>80437.499999999985</v>
      </c>
      <c r="BD23" s="31">
        <f>IF(Table1[[#This Row],[Sustainability Check 1 (2017-2018) Status]]="Continued", Table1[[#This Row],[Students Per Summer]], 0)</f>
        <v>541.66666666666663</v>
      </c>
      <c r="BE23" s="58">
        <f t="shared" si="46"/>
        <v>26812.499999999996</v>
      </c>
      <c r="BF23" s="31">
        <f>IF(Table1[[#This Row],[Sustainability Check 1 (2017-2018) Status]]="Continued", Table1[[#This Row],[Students Per Fall]], 0)</f>
        <v>541.66666666666663</v>
      </c>
      <c r="BG23" s="58">
        <f t="shared" si="47"/>
        <v>26812.499999999996</v>
      </c>
      <c r="BH23" s="31">
        <v>271</v>
      </c>
      <c r="BI23" s="58">
        <f t="shared" si="48"/>
        <v>13414.5</v>
      </c>
      <c r="BJ23" s="31">
        <f t="shared" si="49"/>
        <v>1354.3333333333333</v>
      </c>
      <c r="BK23" s="58">
        <f t="shared" si="50"/>
        <v>67039.5</v>
      </c>
      <c r="BL23" s="58" t="s">
        <v>142</v>
      </c>
      <c r="BM23" s="31">
        <v>0</v>
      </c>
      <c r="BN23" s="31">
        <v>0</v>
      </c>
      <c r="BO23" s="31">
        <v>0</v>
      </c>
      <c r="BP23" s="31">
        <f t="shared" si="30"/>
        <v>0</v>
      </c>
      <c r="BQ23" s="96">
        <v>59.72</v>
      </c>
      <c r="BR23" s="58">
        <f>Table1[[#This Row],[Check 2 Students Total]]*Table1[[#This Row],[Summer 2018 Price Check]]</f>
        <v>0</v>
      </c>
      <c r="BS23" s="31">
        <f>IF(Table1[[#This Row],[Sustainability Check 2 (2018-2019) Status]]="Continued", Table1[[#This Row],[Check 2 Students Summer]], 0)</f>
        <v>0</v>
      </c>
      <c r="BT23" s="58">
        <f>Table1[[#This Row],[Summer 2018 Price Check]]*BS23</f>
        <v>0</v>
      </c>
      <c r="BU23" s="31">
        <f>IF(Table1[[#This Row],[Sustainability Check 2 (2018-2019) Status]]="Continued", Table1[[#This Row],[Check 2 Students Fall]], 0)</f>
        <v>0</v>
      </c>
      <c r="BV23" s="58">
        <f>Table1[[#This Row],[Summer 2018 Price Check]]*BU23</f>
        <v>0</v>
      </c>
      <c r="BW23" s="21">
        <f>IF(Table1[[#This Row],[Sustainability Check 2 (2018-2019) Status]]="Continued", Table1[Check 2 Students Spring], 0)</f>
        <v>0</v>
      </c>
      <c r="BX23" s="58">
        <f>Table1[[#This Row],[Summer 2018 Price Check]]*Table1[[#This Row],[Spring 2019 Students]]</f>
        <v>0</v>
      </c>
      <c r="BY23" s="31">
        <f t="shared" si="19"/>
        <v>0</v>
      </c>
      <c r="BZ23" s="58">
        <f t="shared" si="20"/>
        <v>0</v>
      </c>
      <c r="CA23" s="58" t="s">
        <v>142</v>
      </c>
      <c r="CB23" s="21">
        <v>0</v>
      </c>
      <c r="CC23" s="21">
        <v>0</v>
      </c>
      <c r="CD23" s="21">
        <v>0</v>
      </c>
      <c r="CE23" s="21">
        <f t="shared" si="21"/>
        <v>0</v>
      </c>
      <c r="CF23" s="58">
        <v>0</v>
      </c>
      <c r="CG23" s="58">
        <f t="shared" si="22"/>
        <v>0</v>
      </c>
      <c r="CH23" s="17" t="s">
        <v>128</v>
      </c>
      <c r="CI23" s="21">
        <f>IF(Table1[[#This Row],[Check 3 Status]]="Continued", Table1[[#This Row],[Check 3 Students Summer]], 0)</f>
        <v>0</v>
      </c>
      <c r="CJ23" s="58">
        <f>Table1[[#This Row],[Check 3 Per Student Savings]]*CI23</f>
        <v>0</v>
      </c>
      <c r="CK23" s="21">
        <f>IF(Table1[[#This Row],[Check 3 Status]]="Continued", Table1[[#This Row],[Check 3 Students Fall]], 0)</f>
        <v>0</v>
      </c>
      <c r="CL23" s="58">
        <f>Table1[[#This Row],[Check 3 Per Student Savings]]*CK23</f>
        <v>0</v>
      </c>
      <c r="CM23" s="21">
        <f>IF(Table1[[#This Row],[Check 3 Status]]="Continued", Table1[[#This Row],[Check 3 Students Spring]], 0)</f>
        <v>0</v>
      </c>
      <c r="CN23" s="58">
        <f>Table1[[#This Row],[Check 3 Per Student Savings]]*CM23</f>
        <v>0</v>
      </c>
      <c r="CO23" s="21">
        <f t="shared" si="23"/>
        <v>0</v>
      </c>
      <c r="CP23" s="58">
        <f t="shared" si="24"/>
        <v>0</v>
      </c>
      <c r="CQ23" s="58" t="s">
        <v>142</v>
      </c>
      <c r="CR23" s="21">
        <v>0</v>
      </c>
      <c r="CS23" s="21">
        <v>0</v>
      </c>
      <c r="CT23" s="21">
        <v>0</v>
      </c>
      <c r="CU23" s="21">
        <f t="shared" si="25"/>
        <v>0</v>
      </c>
      <c r="CV23" s="58">
        <v>0</v>
      </c>
      <c r="CW23" s="58">
        <f t="shared" si="26"/>
        <v>0</v>
      </c>
      <c r="CX23" s="58"/>
      <c r="CY23" s="21">
        <f>IF(Table1[[#This Row],[Check 4 Status]]="Continued", Table1[[#This Row],[Check 4 Students Summer]], 0)</f>
        <v>0</v>
      </c>
      <c r="CZ23" s="58">
        <f>Table1[[#This Row],[Check 4 Per Student Savings]]*CY23</f>
        <v>0</v>
      </c>
      <c r="DA23" s="21">
        <f>IF(Table1[[#This Row],[Check 4 Status]]="Continued", Table1[[#This Row],[Check 4 Students Fall]], 0)</f>
        <v>0</v>
      </c>
      <c r="DB23" s="58">
        <f>Table1[[#This Row],[Check 4 Per Student Savings]]*DA23</f>
        <v>0</v>
      </c>
      <c r="DC23" s="21">
        <f>IF(Table1[[#This Row],[Check 4 Status]]="Continued", Table1[[#This Row],[Check 4 Students Spring]], 0)</f>
        <v>0</v>
      </c>
      <c r="DD23" s="58">
        <f>Table1[[#This Row],[Check 4 Per Student Savings]]*DC23</f>
        <v>0</v>
      </c>
      <c r="DE23" s="58">
        <f t="shared" si="27"/>
        <v>0</v>
      </c>
      <c r="DF23" s="58">
        <f t="shared" si="28"/>
        <v>0</v>
      </c>
      <c r="DG2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5146</v>
      </c>
      <c r="DH2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254726.99999999997</v>
      </c>
      <c r="DI23" s="58">
        <f>Table1[[#This Row],[Grand Total Savings]]/Table1[[#This Row],[Total Award]]</f>
        <v>23.58583333333333</v>
      </c>
      <c r="DJ23" s="17"/>
      <c r="DK23" s="17"/>
      <c r="DL23" s="17"/>
      <c r="DM23" s="17"/>
      <c r="EC23" s="17"/>
      <c r="ED23" s="17"/>
      <c r="EE23" s="17"/>
      <c r="EF23" s="17"/>
    </row>
    <row r="24" spans="1:136" x14ac:dyDescent="0.25">
      <c r="A24" s="159" t="s">
        <v>281</v>
      </c>
      <c r="B24" s="17" t="s">
        <v>2011</v>
      </c>
      <c r="D24" s="97" t="s">
        <v>116</v>
      </c>
      <c r="E24" s="158">
        <v>42027</v>
      </c>
      <c r="F24" s="158">
        <v>42164</v>
      </c>
      <c r="G24" s="157" t="s">
        <v>117</v>
      </c>
      <c r="H24" s="95" t="s">
        <v>10</v>
      </c>
      <c r="I24" s="226" t="s">
        <v>118</v>
      </c>
      <c r="J24" s="17" t="s">
        <v>282</v>
      </c>
      <c r="K24" s="101">
        <v>10800</v>
      </c>
      <c r="L24" s="101"/>
      <c r="M24" s="101" t="s">
        <v>283</v>
      </c>
      <c r="N24" s="17" t="s">
        <v>284</v>
      </c>
      <c r="O24" s="101" t="s">
        <v>285</v>
      </c>
      <c r="P24" s="101" t="s">
        <v>286</v>
      </c>
      <c r="Q24" s="101" t="s">
        <v>137</v>
      </c>
      <c r="R24" s="101" t="s">
        <v>129</v>
      </c>
      <c r="S24" s="160" t="s">
        <v>36</v>
      </c>
      <c r="T24" s="17" t="s">
        <v>129</v>
      </c>
      <c r="U24" s="101" t="s">
        <v>287</v>
      </c>
      <c r="V24" s="17" t="s">
        <v>150</v>
      </c>
      <c r="W24" s="17" t="s">
        <v>140</v>
      </c>
      <c r="X24" s="17" t="s">
        <v>140</v>
      </c>
      <c r="Y24" s="58">
        <v>10686.55</v>
      </c>
      <c r="Z24" s="17">
        <v>35</v>
      </c>
      <c r="AA24" s="58">
        <f t="shared" si="0"/>
        <v>305.33</v>
      </c>
      <c r="AB24" s="21">
        <f t="shared" si="1"/>
        <v>11.666666666666666</v>
      </c>
      <c r="AC24" s="21">
        <f t="shared" si="2"/>
        <v>11.666666666666666</v>
      </c>
      <c r="AD24" s="21">
        <f t="shared" si="3"/>
        <v>11.666666666666666</v>
      </c>
      <c r="AE24" s="17" t="s">
        <v>128</v>
      </c>
      <c r="AF24" s="17" t="s">
        <v>129</v>
      </c>
      <c r="AG24" s="17"/>
      <c r="AI24" s="17" t="s">
        <v>130</v>
      </c>
      <c r="AJ24" s="21">
        <f>Table1[[#This Row],[Students Per Spring]]</f>
        <v>11.666666666666666</v>
      </c>
      <c r="AK24" s="58">
        <f t="shared" si="4"/>
        <v>3562.1833333333329</v>
      </c>
      <c r="AL24" s="21">
        <f t="shared" si="5"/>
        <v>11.666666666666666</v>
      </c>
      <c r="AM24" s="58">
        <f t="shared" si="6"/>
        <v>3562.1833333333329</v>
      </c>
      <c r="AN24" s="21">
        <f>IF(Table1[[#This Row],[Sustainability Check 1 (2017-2018) Status]]="Continued", Table1[[#This Row],[Students Per Summer]], 0)</f>
        <v>11.666666666666666</v>
      </c>
      <c r="AO24" s="58">
        <f t="shared" si="7"/>
        <v>3562.1833333333329</v>
      </c>
      <c r="AP24" s="21">
        <f>IF(Table1[[#This Row],[Sustainability Check 1 (2017-2018) Status]]="Continued", Table1[[#This Row],[Students Per Fall]], 0)</f>
        <v>11.666666666666666</v>
      </c>
      <c r="AQ24" s="58">
        <f t="shared" si="8"/>
        <v>3562.1833333333329</v>
      </c>
      <c r="AR24" s="21">
        <f>IF(Table1[[#This Row],[Sustainability Check 1 (2017-2018) Status]]="Continued", Table1[[#This Row],[Students Per Spring]], 0)</f>
        <v>11.666666666666666</v>
      </c>
      <c r="AS24" s="58">
        <f t="shared" si="9"/>
        <v>3562.1833333333329</v>
      </c>
      <c r="AT24" s="21">
        <f t="shared" si="40"/>
        <v>35</v>
      </c>
      <c r="AU24" s="58">
        <f t="shared" si="29"/>
        <v>10686.55</v>
      </c>
      <c r="AV24" s="21">
        <f>IF(Table1[[#This Row],[Sustainability Check 1 (2017-2018) Status]]="Continued", Table1[[#This Row],[Students Per Summer]], 0)</f>
        <v>11.666666666666666</v>
      </c>
      <c r="AW24" s="58">
        <f t="shared" si="41"/>
        <v>3562.1833333333329</v>
      </c>
      <c r="AX24" s="31">
        <f>IF(Table1[[#This Row],[Sustainability Check 1 (2017-2018) Status]]="Continued", Table1[[#This Row],[Students Per Fall]], 0)</f>
        <v>11.666666666666666</v>
      </c>
      <c r="AY24" s="58">
        <f t="shared" si="42"/>
        <v>3562.1833333333329</v>
      </c>
      <c r="AZ24" s="31">
        <f>IF(Table1[[#This Row],[Sustainability Check 1 (2017-2018) Status]]="Continued", Table1[[#This Row],[Students Per Spring]], 0)</f>
        <v>11.666666666666666</v>
      </c>
      <c r="BA24" s="58">
        <f t="shared" si="43"/>
        <v>3562.1833333333329</v>
      </c>
      <c r="BB24" s="31">
        <f t="shared" si="44"/>
        <v>35</v>
      </c>
      <c r="BC24" s="58">
        <f t="shared" si="45"/>
        <v>10686.55</v>
      </c>
      <c r="BD24" s="31">
        <f>IF(Table1[[#This Row],[Sustainability Check 1 (2017-2018) Status]]="Continued", Table1[[#This Row],[Students Per Summer]], 0)</f>
        <v>11.666666666666666</v>
      </c>
      <c r="BE24" s="58">
        <f t="shared" si="46"/>
        <v>3562.1833333333329</v>
      </c>
      <c r="BF24" s="31">
        <f>IF(Table1[[#This Row],[Sustainability Check 1 (2017-2018) Status]]="Continued", Table1[[#This Row],[Students Per Fall]], 0)</f>
        <v>11.666666666666666</v>
      </c>
      <c r="BG24" s="58">
        <f t="shared" si="47"/>
        <v>3562.1833333333329</v>
      </c>
      <c r="BH24" s="31">
        <f>IF(Table1[[#This Row],[Sustainability Check 1 (2017-2018) Status]]="Continued", Table1[[#This Row],[Students Per Spring]], 0)</f>
        <v>11.666666666666666</v>
      </c>
      <c r="BI24" s="58">
        <f t="shared" si="48"/>
        <v>3562.1833333333329</v>
      </c>
      <c r="BJ24" s="31">
        <f t="shared" si="49"/>
        <v>35</v>
      </c>
      <c r="BK24" s="58">
        <f t="shared" si="50"/>
        <v>10686.55</v>
      </c>
      <c r="BL24" s="58" t="s">
        <v>130</v>
      </c>
      <c r="BM24" s="31">
        <v>36</v>
      </c>
      <c r="BN24" s="31">
        <v>0</v>
      </c>
      <c r="BO24" s="31">
        <v>0</v>
      </c>
      <c r="BP24" s="31">
        <f t="shared" si="30"/>
        <v>36</v>
      </c>
      <c r="BQ24" s="58">
        <v>139.37</v>
      </c>
      <c r="BR24" s="58">
        <f>Table1[[#This Row],[Check 2 Students Total]]*Table1[[#This Row],[Summer 2018 Price Check]]</f>
        <v>5017.32</v>
      </c>
      <c r="BS24" s="31">
        <f>IF(Table1[[#This Row],[Sustainability Check 2 (2018-2019) Status]]="Continued", Table1[[#This Row],[Check 2 Students Summer]], 0)</f>
        <v>36</v>
      </c>
      <c r="BT24" s="58">
        <f>Table1[[#This Row],[Summer 2018 Price Check]]*BS24</f>
        <v>5017.32</v>
      </c>
      <c r="BU24" s="31">
        <f>IF(Table1[[#This Row],[Sustainability Check 2 (2018-2019) Status]]="Continued", Table1[[#This Row],[Check 2 Students Fall]], 0)</f>
        <v>0</v>
      </c>
      <c r="BV24" s="58">
        <f>Table1[[#This Row],[Summer 2018 Price Check]]*BU24</f>
        <v>0</v>
      </c>
      <c r="BW24" s="21">
        <f>IF(Table1[[#This Row],[Sustainability Check 2 (2018-2019) Status]]="Continued", Table1[Check 2 Students Spring], 0)</f>
        <v>0</v>
      </c>
      <c r="BX24" s="58">
        <f>Table1[[#This Row],[Summer 2018 Price Check]]*Table1[[#This Row],[Spring 2019 Students]]</f>
        <v>0</v>
      </c>
      <c r="BY24" s="31">
        <f t="shared" si="19"/>
        <v>36</v>
      </c>
      <c r="BZ24" s="58">
        <f t="shared" si="20"/>
        <v>5017.32</v>
      </c>
      <c r="CA24" s="58" t="s">
        <v>130</v>
      </c>
      <c r="CB24" s="21">
        <v>0</v>
      </c>
      <c r="CC24" s="21">
        <v>0</v>
      </c>
      <c r="CD24" s="21">
        <v>40</v>
      </c>
      <c r="CE24" s="21">
        <f t="shared" si="21"/>
        <v>40</v>
      </c>
      <c r="CF24" s="58">
        <v>230</v>
      </c>
      <c r="CG24" s="58">
        <f t="shared" si="22"/>
        <v>9200</v>
      </c>
      <c r="CH24" s="17" t="s">
        <v>128</v>
      </c>
      <c r="CI24" s="21">
        <f>IF(Table1[[#This Row],[Check 3 Status]]="Continued", Table1[[#This Row],[Check 3 Students Summer]], 0)</f>
        <v>0</v>
      </c>
      <c r="CJ24" s="58">
        <f>Table1[[#This Row],[Check 3 Per Student Savings]]*CI24</f>
        <v>0</v>
      </c>
      <c r="CK24" s="21">
        <f>IF(Table1[[#This Row],[Check 3 Status]]="Continued", Table1[[#This Row],[Check 3 Students Fall]], 0)</f>
        <v>0</v>
      </c>
      <c r="CL24" s="58">
        <f>Table1[[#This Row],[Check 3 Per Student Savings]]*CK24</f>
        <v>0</v>
      </c>
      <c r="CM24" s="21">
        <f>IF(Table1[[#This Row],[Check 3 Status]]="Continued", Table1[[#This Row],[Check 3 Students Spring]], 0)</f>
        <v>40</v>
      </c>
      <c r="CN24" s="58">
        <f>Table1[[#This Row],[Check 3 Per Student Savings]]*CM24</f>
        <v>9200</v>
      </c>
      <c r="CO24" s="21">
        <f t="shared" si="23"/>
        <v>40</v>
      </c>
      <c r="CP24" s="58">
        <f t="shared" si="24"/>
        <v>9200</v>
      </c>
      <c r="CQ24" s="58" t="s">
        <v>130</v>
      </c>
      <c r="CR24" s="21">
        <v>0</v>
      </c>
      <c r="CS24" s="21">
        <v>0</v>
      </c>
      <c r="CT24" s="21">
        <v>40</v>
      </c>
      <c r="CU24" s="21">
        <f t="shared" si="25"/>
        <v>40</v>
      </c>
      <c r="CV24" s="58">
        <v>230</v>
      </c>
      <c r="CW24" s="58">
        <f t="shared" si="26"/>
        <v>9200</v>
      </c>
      <c r="CX24" s="58"/>
      <c r="CY24" s="21">
        <f>IF(Table1[[#This Row],[Check 4 Status]]="Continued", Table1[[#This Row],[Check 4 Students Summer]], 0)</f>
        <v>0</v>
      </c>
      <c r="CZ24" s="58">
        <f>Table1[[#This Row],[Check 4 Per Student Savings]]*CY24</f>
        <v>0</v>
      </c>
      <c r="DA24" s="21">
        <f>IF(Table1[[#This Row],[Check 4 Status]]="Continued", Table1[[#This Row],[Check 4 Students Fall]], 0)</f>
        <v>0</v>
      </c>
      <c r="DB24" s="58">
        <f>Table1[[#This Row],[Check 4 Per Student Savings]]*DA24</f>
        <v>0</v>
      </c>
      <c r="DC24" s="21">
        <f>IF(Table1[[#This Row],[Check 4 Status]]="Continued", Table1[[#This Row],[Check 4 Students Spring]], 0)</f>
        <v>40</v>
      </c>
      <c r="DD24" s="58">
        <f>Table1[[#This Row],[Check 4 Per Student Savings]]*DC24</f>
        <v>9200</v>
      </c>
      <c r="DE24" s="58">
        <f t="shared" si="27"/>
        <v>40</v>
      </c>
      <c r="DF24" s="58">
        <f t="shared" si="28"/>
        <v>9200</v>
      </c>
      <c r="DG2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232.66666666666666</v>
      </c>
      <c r="DH2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59039.153333333328</v>
      </c>
      <c r="DI24" s="58">
        <f>Table1[[#This Row],[Grand Total Savings]]/Table1[[#This Row],[Total Award]]</f>
        <v>5.4665882716049374</v>
      </c>
      <c r="DJ24" s="17"/>
      <c r="DK24" s="17"/>
      <c r="DL24" s="17"/>
      <c r="DM24" s="17"/>
      <c r="EC24" s="17"/>
      <c r="ED24" s="17"/>
      <c r="EE24" s="17"/>
      <c r="EF24" s="17"/>
    </row>
    <row r="25" spans="1:136" x14ac:dyDescent="0.25">
      <c r="A25" s="159" t="s">
        <v>288</v>
      </c>
      <c r="B25" s="17" t="s">
        <v>2011</v>
      </c>
      <c r="D25" s="97" t="s">
        <v>116</v>
      </c>
      <c r="E25" s="158">
        <v>42010</v>
      </c>
      <c r="F25" s="158">
        <v>42163</v>
      </c>
      <c r="G25" s="159" t="s">
        <v>117</v>
      </c>
      <c r="H25" s="95" t="s">
        <v>10</v>
      </c>
      <c r="I25" s="226" t="s">
        <v>118</v>
      </c>
      <c r="J25" s="17" t="s">
        <v>132</v>
      </c>
      <c r="K25" s="101">
        <v>10800</v>
      </c>
      <c r="L25" s="101"/>
      <c r="M25" s="101" t="s">
        <v>289</v>
      </c>
      <c r="N25" s="17" t="s">
        <v>290</v>
      </c>
      <c r="O25" s="101" t="s">
        <v>291</v>
      </c>
      <c r="P25" s="101" t="s">
        <v>292</v>
      </c>
      <c r="Q25" s="101" t="s">
        <v>177</v>
      </c>
      <c r="R25" s="101" t="s">
        <v>129</v>
      </c>
      <c r="S25" s="160" t="s">
        <v>36</v>
      </c>
      <c r="T25" s="17" t="s">
        <v>129</v>
      </c>
      <c r="U25" s="101" t="s">
        <v>157</v>
      </c>
      <c r="V25" s="17" t="s">
        <v>150</v>
      </c>
      <c r="W25" s="17" t="s">
        <v>150</v>
      </c>
      <c r="X25" s="17" t="s">
        <v>150</v>
      </c>
      <c r="Y25" s="58">
        <v>16833.75</v>
      </c>
      <c r="Z25" s="17">
        <v>125</v>
      </c>
      <c r="AA25" s="58">
        <f t="shared" si="0"/>
        <v>134.66999999999999</v>
      </c>
      <c r="AB25" s="21">
        <f t="shared" si="1"/>
        <v>41.666666666666664</v>
      </c>
      <c r="AC25" s="21">
        <f t="shared" si="2"/>
        <v>41.666666666666664</v>
      </c>
      <c r="AD25" s="21">
        <f t="shared" si="3"/>
        <v>41.666666666666664</v>
      </c>
      <c r="AE25" s="17" t="s">
        <v>128</v>
      </c>
      <c r="AF25" s="17" t="s">
        <v>129</v>
      </c>
      <c r="AG25" s="17"/>
      <c r="AI25" s="17" t="s">
        <v>130</v>
      </c>
      <c r="AJ25" s="21">
        <f>Table1[[#This Row],[Students Per Spring]]</f>
        <v>41.666666666666664</v>
      </c>
      <c r="AK25" s="58">
        <f t="shared" si="4"/>
        <v>5611.2499999999991</v>
      </c>
      <c r="AL25" s="21">
        <f t="shared" si="5"/>
        <v>41.666666666666664</v>
      </c>
      <c r="AM25" s="58">
        <f t="shared" si="6"/>
        <v>5611.2499999999991</v>
      </c>
      <c r="AN25" s="21">
        <f>IF(Table1[[#This Row],[Sustainability Check 1 (2017-2018) Status]]="Continued", Table1[[#This Row],[Students Per Summer]], 0)</f>
        <v>41.666666666666664</v>
      </c>
      <c r="AO25" s="58">
        <f t="shared" si="7"/>
        <v>5611.2499999999991</v>
      </c>
      <c r="AP25" s="21">
        <f>IF(Table1[[#This Row],[Sustainability Check 1 (2017-2018) Status]]="Continued", Table1[[#This Row],[Students Per Fall]], 0)</f>
        <v>41.666666666666664</v>
      </c>
      <c r="AQ25" s="58">
        <f t="shared" si="8"/>
        <v>5611.2499999999991</v>
      </c>
      <c r="AR25" s="21">
        <f>IF(Table1[[#This Row],[Sustainability Check 1 (2017-2018) Status]]="Continued", Table1[[#This Row],[Students Per Spring]], 0)</f>
        <v>41.666666666666664</v>
      </c>
      <c r="AS25" s="58">
        <f t="shared" si="9"/>
        <v>5611.2499999999991</v>
      </c>
      <c r="AT25" s="21">
        <f t="shared" si="40"/>
        <v>125</v>
      </c>
      <c r="AU25" s="58">
        <f t="shared" si="29"/>
        <v>16833.749999999996</v>
      </c>
      <c r="AV25" s="21">
        <f>IF(Table1[[#This Row],[Sustainability Check 1 (2017-2018) Status]]="Continued", Table1[[#This Row],[Students Per Summer]], 0)</f>
        <v>41.666666666666664</v>
      </c>
      <c r="AW25" s="58">
        <f t="shared" si="41"/>
        <v>5611.2499999999991</v>
      </c>
      <c r="AX25" s="31">
        <f>IF(Table1[[#This Row],[Sustainability Check 1 (2017-2018) Status]]="Continued", Table1[[#This Row],[Students Per Fall]], 0)</f>
        <v>41.666666666666664</v>
      </c>
      <c r="AY25" s="58">
        <f t="shared" si="42"/>
        <v>5611.2499999999991</v>
      </c>
      <c r="AZ25" s="31">
        <f>IF(Table1[[#This Row],[Sustainability Check 1 (2017-2018) Status]]="Continued", Table1[[#This Row],[Students Per Spring]], 0)</f>
        <v>41.666666666666664</v>
      </c>
      <c r="BA25" s="58">
        <f t="shared" si="43"/>
        <v>5611.2499999999991</v>
      </c>
      <c r="BB25" s="31">
        <f t="shared" si="44"/>
        <v>125</v>
      </c>
      <c r="BC25" s="58">
        <f t="shared" si="45"/>
        <v>16833.749999999996</v>
      </c>
      <c r="BD25" s="31">
        <f>IF(Table1[[#This Row],[Sustainability Check 1 (2017-2018) Status]]="Continued", Table1[[#This Row],[Students Per Summer]], 0)</f>
        <v>41.666666666666664</v>
      </c>
      <c r="BE25" s="58">
        <f t="shared" si="46"/>
        <v>5611.2499999999991</v>
      </c>
      <c r="BF25" s="31">
        <f>IF(Table1[[#This Row],[Sustainability Check 1 (2017-2018) Status]]="Continued", Table1[[#This Row],[Students Per Fall]], 0)</f>
        <v>41.666666666666664</v>
      </c>
      <c r="BG25" s="58">
        <f t="shared" si="47"/>
        <v>5611.2499999999991</v>
      </c>
      <c r="BH25" s="31">
        <f>IF(Table1[[#This Row],[Sustainability Check 1 (2017-2018) Status]]="Continued", Table1[[#This Row],[Students Per Spring]], 0)</f>
        <v>41.666666666666664</v>
      </c>
      <c r="BI25" s="58">
        <f t="shared" si="48"/>
        <v>5611.2499999999991</v>
      </c>
      <c r="BJ25" s="31">
        <f t="shared" si="49"/>
        <v>125</v>
      </c>
      <c r="BK25" s="58">
        <f t="shared" si="50"/>
        <v>16833.749999999996</v>
      </c>
      <c r="BL25" s="58" t="s">
        <v>130</v>
      </c>
      <c r="BM25" s="31">
        <v>36</v>
      </c>
      <c r="BN25" s="31">
        <v>0</v>
      </c>
      <c r="BO25" s="31">
        <v>0</v>
      </c>
      <c r="BP25" s="31">
        <f t="shared" si="30"/>
        <v>36</v>
      </c>
      <c r="BQ25" s="96">
        <v>143.07</v>
      </c>
      <c r="BR25" s="58">
        <f>Table1[[#This Row],[Check 2 Students Total]]*Table1[[#This Row],[Summer 2018 Price Check]]</f>
        <v>5150.5199999999995</v>
      </c>
      <c r="BS25" s="31">
        <f>IF(Table1[[#This Row],[Sustainability Check 2 (2018-2019) Status]]="Continued", Table1[[#This Row],[Check 2 Students Summer]], 0)</f>
        <v>36</v>
      </c>
      <c r="BT25" s="58">
        <f>Table1[[#This Row],[Summer 2018 Price Check]]*BS25</f>
        <v>5150.5199999999995</v>
      </c>
      <c r="BU25" s="31">
        <f>IF(Table1[[#This Row],[Sustainability Check 2 (2018-2019) Status]]="Continued", Table1[[#This Row],[Check 2 Students Fall]], 0)</f>
        <v>0</v>
      </c>
      <c r="BV25" s="58">
        <f>Table1[[#This Row],[Summer 2018 Price Check]]*BU25</f>
        <v>0</v>
      </c>
      <c r="BW25" s="21">
        <f>IF(Table1[[#This Row],[Sustainability Check 2 (2018-2019) Status]]="Continued", Table1[Check 2 Students Spring], 0)</f>
        <v>0</v>
      </c>
      <c r="BX25" s="58">
        <f>Table1[[#This Row],[Summer 2018 Price Check]]*Table1[[#This Row],[Spring 2019 Students]]</f>
        <v>0</v>
      </c>
      <c r="BY25" s="31">
        <f t="shared" si="19"/>
        <v>36</v>
      </c>
      <c r="BZ25" s="58">
        <f t="shared" si="20"/>
        <v>5150.5199999999995</v>
      </c>
      <c r="CA25" s="58" t="s">
        <v>130</v>
      </c>
      <c r="CB25" s="21">
        <v>31</v>
      </c>
      <c r="CC25" s="21">
        <v>10</v>
      </c>
      <c r="CD25" s="21">
        <v>52</v>
      </c>
      <c r="CE25" s="21">
        <f t="shared" si="21"/>
        <v>93</v>
      </c>
      <c r="CF25" s="58">
        <v>146.65</v>
      </c>
      <c r="CG25" s="58">
        <f t="shared" si="22"/>
        <v>13638.45</v>
      </c>
      <c r="CH25" s="17" t="s">
        <v>128</v>
      </c>
      <c r="CI25" s="21">
        <f>IF(Table1[[#This Row],[Check 3 Status]]="Continued", Table1[[#This Row],[Check 3 Students Summer]], 0)</f>
        <v>31</v>
      </c>
      <c r="CJ25" s="58">
        <f>Table1[[#This Row],[Check 3 Per Student Savings]]*CI25</f>
        <v>4546.1500000000005</v>
      </c>
      <c r="CK25" s="21">
        <f>IF(Table1[[#This Row],[Check 3 Status]]="Continued", Table1[[#This Row],[Check 3 Students Fall]], 0)</f>
        <v>10</v>
      </c>
      <c r="CL25" s="58">
        <f>Table1[[#This Row],[Check 3 Per Student Savings]]*CK25</f>
        <v>1466.5</v>
      </c>
      <c r="CM25" s="21">
        <f>IF(Table1[[#This Row],[Check 3 Status]]="Continued", Table1[[#This Row],[Check 3 Students Spring]], 0)</f>
        <v>52</v>
      </c>
      <c r="CN25" s="58">
        <f>Table1[[#This Row],[Check 3 Per Student Savings]]*CM25</f>
        <v>7625.8</v>
      </c>
      <c r="CO25" s="21">
        <f t="shared" si="23"/>
        <v>93</v>
      </c>
      <c r="CP25" s="58">
        <f t="shared" si="24"/>
        <v>13638.45</v>
      </c>
      <c r="CQ25" s="58" t="s">
        <v>130</v>
      </c>
      <c r="CR25" s="21">
        <v>31</v>
      </c>
      <c r="CS25" s="21">
        <v>10</v>
      </c>
      <c r="CT25" s="21">
        <v>52</v>
      </c>
      <c r="CU25" s="21">
        <f t="shared" si="25"/>
        <v>93</v>
      </c>
      <c r="CV25" s="58">
        <v>146.65</v>
      </c>
      <c r="CW25" s="58">
        <f t="shared" si="26"/>
        <v>13638.45</v>
      </c>
      <c r="CX25" s="58"/>
      <c r="CY25" s="21">
        <f>IF(Table1[[#This Row],[Check 4 Status]]="Continued", Table1[[#This Row],[Check 4 Students Summer]], 0)</f>
        <v>31</v>
      </c>
      <c r="CZ25" s="58">
        <f>Table1[[#This Row],[Check 4 Per Student Savings]]*CY25</f>
        <v>4546.1500000000005</v>
      </c>
      <c r="DA25" s="21">
        <f>IF(Table1[[#This Row],[Check 4 Status]]="Continued", Table1[[#This Row],[Check 4 Students Fall]], 0)</f>
        <v>10</v>
      </c>
      <c r="DB25" s="58">
        <f>Table1[[#This Row],[Check 4 Per Student Savings]]*DA25</f>
        <v>1466.5</v>
      </c>
      <c r="DC25" s="21">
        <f>IF(Table1[[#This Row],[Check 4 Status]]="Continued", Table1[[#This Row],[Check 4 Students Spring]], 0)</f>
        <v>52</v>
      </c>
      <c r="DD25" s="58">
        <f>Table1[[#This Row],[Check 4 Per Student Savings]]*DC25</f>
        <v>7625.8</v>
      </c>
      <c r="DE25" s="58">
        <f t="shared" si="27"/>
        <v>93</v>
      </c>
      <c r="DF25" s="58">
        <f t="shared" si="28"/>
        <v>13638.45</v>
      </c>
      <c r="DG2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638.66666666666663</v>
      </c>
      <c r="DH2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88539.919999999984</v>
      </c>
      <c r="DI25" s="58">
        <f>Table1[[#This Row],[Grand Total Savings]]/Table1[[#This Row],[Total Award]]</f>
        <v>8.1981407407407385</v>
      </c>
      <c r="DJ25" s="17"/>
      <c r="DK25" s="17"/>
      <c r="DL25" s="17"/>
      <c r="DM25" s="17"/>
      <c r="EC25" s="17"/>
      <c r="ED25" s="17"/>
      <c r="EE25" s="17"/>
      <c r="EF25" s="17"/>
    </row>
    <row r="26" spans="1:136" x14ac:dyDescent="0.25">
      <c r="A26" s="159" t="s">
        <v>293</v>
      </c>
      <c r="B26" s="17" t="s">
        <v>2011</v>
      </c>
      <c r="D26" s="97" t="s">
        <v>116</v>
      </c>
      <c r="E26" s="158">
        <v>41960</v>
      </c>
      <c r="F26" s="158">
        <v>42163</v>
      </c>
      <c r="G26" s="159" t="s">
        <v>117</v>
      </c>
      <c r="H26" s="95" t="s">
        <v>10</v>
      </c>
      <c r="I26" s="226" t="s">
        <v>118</v>
      </c>
      <c r="J26" s="17" t="s">
        <v>243</v>
      </c>
      <c r="K26" s="101">
        <v>10800</v>
      </c>
      <c r="L26" s="101"/>
      <c r="M26" s="101" t="s">
        <v>294</v>
      </c>
      <c r="N26" s="17" t="s">
        <v>295</v>
      </c>
      <c r="O26" s="101" t="s">
        <v>296</v>
      </c>
      <c r="P26" s="101" t="s">
        <v>297</v>
      </c>
      <c r="Q26" s="101" t="s">
        <v>192</v>
      </c>
      <c r="R26" s="101" t="s">
        <v>298</v>
      </c>
      <c r="S26" s="101" t="s">
        <v>129</v>
      </c>
      <c r="T26" s="17" t="s">
        <v>125</v>
      </c>
      <c r="U26" s="160" t="s">
        <v>193</v>
      </c>
      <c r="V26" s="17" t="s">
        <v>127</v>
      </c>
      <c r="W26" s="17" t="s">
        <v>139</v>
      </c>
      <c r="X26" s="17" t="s">
        <v>139</v>
      </c>
      <c r="Y26" s="58">
        <v>162000</v>
      </c>
      <c r="Z26" s="17">
        <v>960</v>
      </c>
      <c r="AA26" s="58">
        <f t="shared" si="0"/>
        <v>168.75</v>
      </c>
      <c r="AB26" s="21">
        <f t="shared" si="1"/>
        <v>320</v>
      </c>
      <c r="AC26" s="21">
        <f t="shared" si="2"/>
        <v>320</v>
      </c>
      <c r="AD26" s="21">
        <f t="shared" si="3"/>
        <v>320</v>
      </c>
      <c r="AE26" s="17" t="s">
        <v>128</v>
      </c>
      <c r="AF26" s="17" t="s">
        <v>129</v>
      </c>
      <c r="AG26" s="17"/>
      <c r="AI26" s="17" t="s">
        <v>130</v>
      </c>
      <c r="AJ26" s="21">
        <f>Table1[[#This Row],[Students Per Spring]]</f>
        <v>320</v>
      </c>
      <c r="AK26" s="58">
        <f t="shared" si="4"/>
        <v>54000</v>
      </c>
      <c r="AL26" s="21">
        <f t="shared" si="5"/>
        <v>320</v>
      </c>
      <c r="AM26" s="58">
        <f t="shared" si="6"/>
        <v>54000</v>
      </c>
      <c r="AN26" s="21">
        <f>IF(Table1[[#This Row],[Sustainability Check 1 (2017-2018) Status]]="Continued", Table1[[#This Row],[Students Per Summer]], 0)</f>
        <v>320</v>
      </c>
      <c r="AO26" s="58">
        <f t="shared" si="7"/>
        <v>54000</v>
      </c>
      <c r="AP26" s="21">
        <f>IF(Table1[[#This Row],[Sustainability Check 1 (2017-2018) Status]]="Continued", Table1[[#This Row],[Students Per Fall]], 0)</f>
        <v>320</v>
      </c>
      <c r="AQ26" s="58">
        <f t="shared" si="8"/>
        <v>54000</v>
      </c>
      <c r="AR26" s="21">
        <f>IF(Table1[[#This Row],[Sustainability Check 1 (2017-2018) Status]]="Continued", Table1[[#This Row],[Students Per Spring]], 0)</f>
        <v>320</v>
      </c>
      <c r="AS26" s="58">
        <f t="shared" si="9"/>
        <v>54000</v>
      </c>
      <c r="AT26" s="21">
        <f t="shared" si="40"/>
        <v>960</v>
      </c>
      <c r="AU26" s="58">
        <f t="shared" si="29"/>
        <v>162000</v>
      </c>
      <c r="AV26" s="21">
        <f>IF(Table1[[#This Row],[Sustainability Check 1 (2017-2018) Status]]="Continued", Table1[[#This Row],[Students Per Summer]], 0)</f>
        <v>320</v>
      </c>
      <c r="AW26" s="58">
        <f t="shared" si="41"/>
        <v>54000</v>
      </c>
      <c r="AX26" s="31">
        <f>IF(Table1[[#This Row],[Sustainability Check 1 (2017-2018) Status]]="Continued", Table1[[#This Row],[Students Per Fall]], 0)</f>
        <v>320</v>
      </c>
      <c r="AY26" s="58">
        <f t="shared" si="42"/>
        <v>54000</v>
      </c>
      <c r="AZ26" s="31">
        <f>IF(Table1[[#This Row],[Sustainability Check 1 (2017-2018) Status]]="Continued", Table1[[#This Row],[Students Per Spring]], 0)</f>
        <v>320</v>
      </c>
      <c r="BA26" s="58">
        <f t="shared" si="43"/>
        <v>54000</v>
      </c>
      <c r="BB26" s="31">
        <f t="shared" si="44"/>
        <v>960</v>
      </c>
      <c r="BC26" s="58">
        <f t="shared" si="45"/>
        <v>162000</v>
      </c>
      <c r="BD26" s="31">
        <f>IF(Table1[[#This Row],[Sustainability Check 1 (2017-2018) Status]]="Continued", Table1[[#This Row],[Students Per Summer]], 0)</f>
        <v>320</v>
      </c>
      <c r="BE26" s="58">
        <f t="shared" si="46"/>
        <v>54000</v>
      </c>
      <c r="BF26" s="31">
        <f>IF(Table1[[#This Row],[Sustainability Check 1 (2017-2018) Status]]="Continued", Table1[[#This Row],[Students Per Fall]], 0)</f>
        <v>320</v>
      </c>
      <c r="BG26" s="58">
        <f t="shared" si="47"/>
        <v>54000</v>
      </c>
      <c r="BH26" s="31">
        <f>IF(Table1[[#This Row],[Sustainability Check 1 (2017-2018) Status]]="Continued", Table1[[#This Row],[Students Per Spring]], 0)</f>
        <v>320</v>
      </c>
      <c r="BI26" s="58">
        <f t="shared" si="48"/>
        <v>54000</v>
      </c>
      <c r="BJ26" s="31">
        <f t="shared" si="49"/>
        <v>960</v>
      </c>
      <c r="BK26" s="58">
        <f t="shared" si="50"/>
        <v>162000</v>
      </c>
      <c r="BL26" s="58" t="s">
        <v>130</v>
      </c>
      <c r="BM26" s="31">
        <v>0</v>
      </c>
      <c r="BN26" s="31">
        <v>93</v>
      </c>
      <c r="BO26" s="31">
        <v>93</v>
      </c>
      <c r="BP26" s="31">
        <f t="shared" si="30"/>
        <v>186</v>
      </c>
      <c r="BQ26" s="96">
        <v>128.75</v>
      </c>
      <c r="BR26" s="58">
        <f>Table1[[#This Row],[Check 2 Students Total]]*Table1[[#This Row],[Summer 2018 Price Check]]</f>
        <v>23947.5</v>
      </c>
      <c r="BS26" s="31">
        <f>IF(Table1[[#This Row],[Sustainability Check 2 (2018-2019) Status]]="Continued", Table1[[#This Row],[Check 2 Students Summer]], 0)</f>
        <v>0</v>
      </c>
      <c r="BT26" s="58">
        <f>Table1[[#This Row],[Summer 2018 Price Check]]*BS26</f>
        <v>0</v>
      </c>
      <c r="BU26" s="31">
        <f>IF(Table1[[#This Row],[Sustainability Check 2 (2018-2019) Status]]="Continued", Table1[[#This Row],[Check 2 Students Fall]], 0)</f>
        <v>93</v>
      </c>
      <c r="BV26" s="58">
        <f>Table1[[#This Row],[Summer 2018 Price Check]]*BU26</f>
        <v>11973.75</v>
      </c>
      <c r="BW26" s="21">
        <f>IF(Table1[[#This Row],[Sustainability Check 2 (2018-2019) Status]]="Continued", Table1[Check 2 Students Spring], 0)</f>
        <v>93</v>
      </c>
      <c r="BX26" s="58">
        <f>Table1[[#This Row],[Summer 2018 Price Check]]*Table1[[#This Row],[Spring 2019 Students]]</f>
        <v>11973.75</v>
      </c>
      <c r="BY26" s="31">
        <f t="shared" si="19"/>
        <v>186</v>
      </c>
      <c r="BZ26" s="58">
        <f t="shared" si="20"/>
        <v>23947.5</v>
      </c>
      <c r="CA26" s="58" t="s">
        <v>142</v>
      </c>
      <c r="CB26" s="21">
        <v>0</v>
      </c>
      <c r="CC26" s="21">
        <v>0</v>
      </c>
      <c r="CD26" s="21">
        <v>0</v>
      </c>
      <c r="CE26" s="21">
        <f t="shared" si="21"/>
        <v>0</v>
      </c>
      <c r="CF26" s="58">
        <v>0</v>
      </c>
      <c r="CG26" s="58">
        <f t="shared" si="22"/>
        <v>0</v>
      </c>
      <c r="CH26" s="17" t="s">
        <v>128</v>
      </c>
      <c r="CI26" s="21">
        <f>IF(Table1[[#This Row],[Check 3 Status]]="Continued", Table1[[#This Row],[Check 3 Students Summer]], 0)</f>
        <v>0</v>
      </c>
      <c r="CJ26" s="58">
        <f>Table1[[#This Row],[Check 3 Per Student Savings]]*CI26</f>
        <v>0</v>
      </c>
      <c r="CK26" s="21">
        <f>IF(Table1[[#This Row],[Check 3 Status]]="Continued", Table1[[#This Row],[Check 3 Students Fall]], 0)</f>
        <v>0</v>
      </c>
      <c r="CL26" s="58">
        <f>Table1[[#This Row],[Check 3 Per Student Savings]]*CK26</f>
        <v>0</v>
      </c>
      <c r="CM26" s="21">
        <f>IF(Table1[[#This Row],[Check 3 Status]]="Continued", Table1[[#This Row],[Check 3 Students Spring]], 0)</f>
        <v>0</v>
      </c>
      <c r="CN26" s="58">
        <f>Table1[[#This Row],[Check 3 Per Student Savings]]*CM26</f>
        <v>0</v>
      </c>
      <c r="CO26" s="21">
        <f t="shared" si="23"/>
        <v>0</v>
      </c>
      <c r="CP26" s="58">
        <f t="shared" si="24"/>
        <v>0</v>
      </c>
      <c r="CQ26" s="58" t="s">
        <v>142</v>
      </c>
      <c r="CR26" s="21">
        <v>0</v>
      </c>
      <c r="CS26" s="21">
        <v>0</v>
      </c>
      <c r="CT26" s="21">
        <v>0</v>
      </c>
      <c r="CU26" s="21">
        <f t="shared" si="25"/>
        <v>0</v>
      </c>
      <c r="CV26" s="58">
        <v>0</v>
      </c>
      <c r="CW26" s="58">
        <f t="shared" si="26"/>
        <v>0</v>
      </c>
      <c r="CX26" s="58"/>
      <c r="CY26" s="21">
        <f>IF(Table1[[#This Row],[Check 4 Status]]="Continued", Table1[[#This Row],[Check 4 Students Summer]], 0)</f>
        <v>0</v>
      </c>
      <c r="CZ26" s="58">
        <f>Table1[[#This Row],[Check 4 Per Student Savings]]*CY26</f>
        <v>0</v>
      </c>
      <c r="DA26" s="21">
        <f>IF(Table1[[#This Row],[Check 4 Status]]="Continued", Table1[[#This Row],[Check 4 Students Fall]], 0)</f>
        <v>0</v>
      </c>
      <c r="DB26" s="58">
        <f>Table1[[#This Row],[Check 4 Per Student Savings]]*DA26</f>
        <v>0</v>
      </c>
      <c r="DC26" s="21">
        <f>IF(Table1[[#This Row],[Check 4 Status]]="Continued", Table1[[#This Row],[Check 4 Students Spring]], 0)</f>
        <v>0</v>
      </c>
      <c r="DD26" s="58">
        <f>Table1[[#This Row],[Check 4 Per Student Savings]]*DC26</f>
        <v>0</v>
      </c>
      <c r="DE26" s="58">
        <f t="shared" si="27"/>
        <v>0</v>
      </c>
      <c r="DF26" s="58">
        <f t="shared" si="28"/>
        <v>0</v>
      </c>
      <c r="DG2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3386</v>
      </c>
      <c r="DH2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563947.5</v>
      </c>
      <c r="DI26" s="58">
        <f>Table1[[#This Row],[Grand Total Savings]]/Table1[[#This Row],[Total Award]]</f>
        <v>52.21736111111111</v>
      </c>
      <c r="DJ26" s="17"/>
      <c r="DK26" s="17"/>
      <c r="DL26" s="17"/>
      <c r="DM26" s="17"/>
      <c r="EC26" s="17"/>
      <c r="ED26" s="17"/>
      <c r="EE26" s="17"/>
      <c r="EF26" s="17"/>
    </row>
    <row r="27" spans="1:136" x14ac:dyDescent="0.25">
      <c r="A27" s="159" t="s">
        <v>299</v>
      </c>
      <c r="B27" s="17" t="s">
        <v>2011</v>
      </c>
      <c r="D27" s="97" t="s">
        <v>116</v>
      </c>
      <c r="E27" s="158">
        <v>42011</v>
      </c>
      <c r="F27" s="158">
        <v>42163</v>
      </c>
      <c r="G27" s="159" t="s">
        <v>117</v>
      </c>
      <c r="H27" s="95" t="s">
        <v>10</v>
      </c>
      <c r="I27" s="226" t="s">
        <v>118</v>
      </c>
      <c r="J27" s="17" t="s">
        <v>132</v>
      </c>
      <c r="K27" s="101">
        <v>10800</v>
      </c>
      <c r="L27" s="101"/>
      <c r="M27" s="101" t="s">
        <v>300</v>
      </c>
      <c r="N27" s="17" t="s">
        <v>301</v>
      </c>
      <c r="O27" s="101" t="s">
        <v>302</v>
      </c>
      <c r="P27" s="101" t="s">
        <v>303</v>
      </c>
      <c r="Q27" s="101" t="s">
        <v>304</v>
      </c>
      <c r="R27" s="101" t="s">
        <v>302</v>
      </c>
      <c r="S27" s="101" t="s">
        <v>129</v>
      </c>
      <c r="T27" s="17" t="s">
        <v>129</v>
      </c>
      <c r="U27" s="160" t="s">
        <v>305</v>
      </c>
      <c r="V27" s="17" t="s">
        <v>150</v>
      </c>
      <c r="W27" s="17" t="s">
        <v>139</v>
      </c>
      <c r="X27" s="17" t="s">
        <v>139</v>
      </c>
      <c r="Y27" s="58">
        <v>184320</v>
      </c>
      <c r="Z27" s="17">
        <v>768</v>
      </c>
      <c r="AA27" s="58">
        <f t="shared" si="0"/>
        <v>240</v>
      </c>
      <c r="AB27" s="21">
        <f t="shared" si="1"/>
        <v>256</v>
      </c>
      <c r="AC27" s="21">
        <f t="shared" si="2"/>
        <v>256</v>
      </c>
      <c r="AD27" s="21">
        <f t="shared" si="3"/>
        <v>256</v>
      </c>
      <c r="AE27" s="17" t="s">
        <v>128</v>
      </c>
      <c r="AF27" s="17" t="s">
        <v>129</v>
      </c>
      <c r="AG27" s="17"/>
      <c r="AI27" s="17" t="s">
        <v>142</v>
      </c>
      <c r="AJ27" s="21">
        <f>Table1[[#This Row],[Students Per Spring]]</f>
        <v>256</v>
      </c>
      <c r="AK27" s="58">
        <f t="shared" si="4"/>
        <v>61440</v>
      </c>
      <c r="AL27" s="21">
        <f t="shared" si="5"/>
        <v>256</v>
      </c>
      <c r="AM27" s="58">
        <f t="shared" si="6"/>
        <v>61440</v>
      </c>
      <c r="AN27" s="21">
        <f>IF(Table1[[#This Row],[Sustainability Check 1 (2017-2018) Status]]="Continued", Table1[[#This Row],[Students Per Summer]], 0)</f>
        <v>0</v>
      </c>
      <c r="AO27" s="58">
        <f t="shared" si="7"/>
        <v>0</v>
      </c>
      <c r="AP27" s="21">
        <f>IF(Table1[[#This Row],[Sustainability Check 1 (2017-2018) Status]]="Continued", Table1[[#This Row],[Students Per Fall]], 0)</f>
        <v>0</v>
      </c>
      <c r="AQ27" s="58">
        <f t="shared" si="8"/>
        <v>0</v>
      </c>
      <c r="AR27" s="21">
        <f>IF(Table1[[#This Row],[Sustainability Check 1 (2017-2018) Status]]="Continued", Table1[[#This Row],[Students Per Spring]], 0)</f>
        <v>0</v>
      </c>
      <c r="AS27" s="58">
        <f t="shared" si="9"/>
        <v>0</v>
      </c>
      <c r="AT27" s="21">
        <f t="shared" si="40"/>
        <v>0</v>
      </c>
      <c r="AU27" s="58">
        <f t="shared" si="29"/>
        <v>0</v>
      </c>
      <c r="AV27" s="21">
        <f>IF(Table1[[#This Row],[Sustainability Check 1 (2017-2018) Status]]="Continued", Table1[[#This Row],[Students Per Summer]], 0)</f>
        <v>0</v>
      </c>
      <c r="AW27" s="58">
        <f t="shared" si="41"/>
        <v>0</v>
      </c>
      <c r="AX27" s="31">
        <f>IF(Table1[[#This Row],[Sustainability Check 1 (2017-2018) Status]]="Continued", Table1[[#This Row],[Students Per Fall]], 0)</f>
        <v>0</v>
      </c>
      <c r="AY27" s="58">
        <f t="shared" si="42"/>
        <v>0</v>
      </c>
      <c r="AZ27" s="31">
        <f>IF(Table1[[#This Row],[Sustainability Check 1 (2017-2018) Status]]="Continued", Table1[[#This Row],[Students Per Spring]], 0)</f>
        <v>0</v>
      </c>
      <c r="BA27" s="58">
        <f t="shared" si="43"/>
        <v>0</v>
      </c>
      <c r="BB27" s="31">
        <f t="shared" si="44"/>
        <v>0</v>
      </c>
      <c r="BC27" s="58">
        <f t="shared" si="45"/>
        <v>0</v>
      </c>
      <c r="BD27" s="31">
        <f>IF(Table1[[#This Row],[Sustainability Check 1 (2017-2018) Status]]="Continued", Table1[[#This Row],[Students Per Summer]], 0)</f>
        <v>0</v>
      </c>
      <c r="BE27" s="58">
        <f t="shared" si="46"/>
        <v>0</v>
      </c>
      <c r="BF27" s="31">
        <f>IF(Table1[[#This Row],[Sustainability Check 1 (2017-2018) Status]]="Continued", Table1[[#This Row],[Students Per Fall]], 0)</f>
        <v>0</v>
      </c>
      <c r="BG27" s="58">
        <f t="shared" si="47"/>
        <v>0</v>
      </c>
      <c r="BH27" s="31">
        <f>IF(Table1[[#This Row],[Sustainability Check 1 (2017-2018) Status]]="Continued", Table1[[#This Row],[Students Per Spring]], 0)</f>
        <v>0</v>
      </c>
      <c r="BI27" s="58">
        <f t="shared" si="48"/>
        <v>0</v>
      </c>
      <c r="BJ27" s="31">
        <f t="shared" si="49"/>
        <v>0</v>
      </c>
      <c r="BK27" s="58">
        <f t="shared" si="50"/>
        <v>0</v>
      </c>
      <c r="BL27" s="58" t="s">
        <v>142</v>
      </c>
      <c r="BM27" s="31">
        <v>0</v>
      </c>
      <c r="BN27" s="31">
        <v>0</v>
      </c>
      <c r="BO27" s="31">
        <v>0</v>
      </c>
      <c r="BP27" s="31">
        <f t="shared" si="30"/>
        <v>0</v>
      </c>
      <c r="BQ27" s="96">
        <v>289.95</v>
      </c>
      <c r="BR27" s="58">
        <f>Table1[[#This Row],[Check 2 Students Total]]*Table1[[#This Row],[Summer 2018 Price Check]]</f>
        <v>0</v>
      </c>
      <c r="BS27" s="31">
        <f>IF(Table1[[#This Row],[Sustainability Check 2 (2018-2019) Status]]="Continued", Table1[[#This Row],[Check 2 Students Summer]], 0)</f>
        <v>0</v>
      </c>
      <c r="BT27" s="58">
        <f>Table1[[#This Row],[Summer 2018 Price Check]]*BS27</f>
        <v>0</v>
      </c>
      <c r="BU27" s="31">
        <f>IF(Table1[[#This Row],[Sustainability Check 2 (2018-2019) Status]]="Continued", Table1[[#This Row],[Check 2 Students Fall]], 0)</f>
        <v>0</v>
      </c>
      <c r="BV27" s="58">
        <f>Table1[[#This Row],[Summer 2018 Price Check]]*BU27</f>
        <v>0</v>
      </c>
      <c r="BW27" s="21">
        <f>IF(Table1[[#This Row],[Sustainability Check 2 (2018-2019) Status]]="Continued", Table1[Check 2 Students Spring], 0)</f>
        <v>0</v>
      </c>
      <c r="BX27" s="58">
        <f>Table1[[#This Row],[Summer 2018 Price Check]]*Table1[[#This Row],[Spring 2019 Students]]</f>
        <v>0</v>
      </c>
      <c r="BY27" s="31">
        <f t="shared" si="19"/>
        <v>0</v>
      </c>
      <c r="BZ27" s="58">
        <f t="shared" si="20"/>
        <v>0</v>
      </c>
      <c r="CA27" s="58" t="s">
        <v>142</v>
      </c>
      <c r="CB27" s="21">
        <v>0</v>
      </c>
      <c r="CC27" s="21">
        <v>0</v>
      </c>
      <c r="CD27" s="21">
        <v>0</v>
      </c>
      <c r="CE27" s="21">
        <f t="shared" si="21"/>
        <v>0</v>
      </c>
      <c r="CF27" s="58">
        <v>0</v>
      </c>
      <c r="CG27" s="58">
        <f t="shared" si="22"/>
        <v>0</v>
      </c>
      <c r="CH27" s="17" t="s">
        <v>128</v>
      </c>
      <c r="CI27" s="21">
        <f>IF(Table1[[#This Row],[Check 3 Status]]="Continued", Table1[[#This Row],[Check 3 Students Summer]], 0)</f>
        <v>0</v>
      </c>
      <c r="CJ27" s="58">
        <f>Table1[[#This Row],[Check 3 Per Student Savings]]*CI27</f>
        <v>0</v>
      </c>
      <c r="CK27" s="21">
        <f>IF(Table1[[#This Row],[Check 3 Status]]="Continued", Table1[[#This Row],[Check 3 Students Fall]], 0)</f>
        <v>0</v>
      </c>
      <c r="CL27" s="58">
        <f>Table1[[#This Row],[Check 3 Per Student Savings]]*CK27</f>
        <v>0</v>
      </c>
      <c r="CM27" s="21">
        <f>IF(Table1[[#This Row],[Check 3 Status]]="Continued", Table1[[#This Row],[Check 3 Students Spring]], 0)</f>
        <v>0</v>
      </c>
      <c r="CN27" s="58">
        <f>Table1[[#This Row],[Check 3 Per Student Savings]]*CM27</f>
        <v>0</v>
      </c>
      <c r="CO27" s="21">
        <f t="shared" si="23"/>
        <v>0</v>
      </c>
      <c r="CP27" s="58">
        <f t="shared" si="24"/>
        <v>0</v>
      </c>
      <c r="CQ27" s="58" t="s">
        <v>142</v>
      </c>
      <c r="CR27" s="21">
        <v>0</v>
      </c>
      <c r="CS27" s="21">
        <v>0</v>
      </c>
      <c r="CT27" s="21">
        <v>0</v>
      </c>
      <c r="CU27" s="21">
        <f t="shared" si="25"/>
        <v>0</v>
      </c>
      <c r="CV27" s="58">
        <v>0</v>
      </c>
      <c r="CW27" s="58">
        <f t="shared" si="26"/>
        <v>0</v>
      </c>
      <c r="CX27" s="58"/>
      <c r="CY27" s="21">
        <f>IF(Table1[[#This Row],[Check 4 Status]]="Continued", Table1[[#This Row],[Check 4 Students Summer]], 0)</f>
        <v>0</v>
      </c>
      <c r="CZ27" s="58">
        <f>Table1[[#This Row],[Check 4 Per Student Savings]]*CY27</f>
        <v>0</v>
      </c>
      <c r="DA27" s="21">
        <f>IF(Table1[[#This Row],[Check 4 Status]]="Continued", Table1[[#This Row],[Check 4 Students Fall]], 0)</f>
        <v>0</v>
      </c>
      <c r="DB27" s="58">
        <f>Table1[[#This Row],[Check 4 Per Student Savings]]*DA27</f>
        <v>0</v>
      </c>
      <c r="DC27" s="21">
        <f>IF(Table1[[#This Row],[Check 4 Status]]="Continued", Table1[[#This Row],[Check 4 Students Spring]], 0)</f>
        <v>0</v>
      </c>
      <c r="DD27" s="58">
        <f>Table1[[#This Row],[Check 4 Per Student Savings]]*DC27</f>
        <v>0</v>
      </c>
      <c r="DE27" s="58">
        <f t="shared" si="27"/>
        <v>0</v>
      </c>
      <c r="DF27" s="58">
        <f t="shared" si="28"/>
        <v>0</v>
      </c>
      <c r="DG2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256</v>
      </c>
      <c r="DH2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61440</v>
      </c>
      <c r="DI27" s="58">
        <f>Table1[[#This Row],[Grand Total Savings]]/Table1[[#This Row],[Total Award]]</f>
        <v>5.6888888888888891</v>
      </c>
      <c r="DJ27" s="17"/>
      <c r="DK27" s="17"/>
      <c r="DL27" s="17"/>
      <c r="DM27" s="17"/>
      <c r="EC27" s="17"/>
      <c r="ED27" s="17"/>
      <c r="EE27" s="17"/>
      <c r="EF27" s="17"/>
    </row>
    <row r="28" spans="1:136" x14ac:dyDescent="0.25">
      <c r="A28" s="157" t="s">
        <v>306</v>
      </c>
      <c r="B28" s="17" t="s">
        <v>2011</v>
      </c>
      <c r="D28" s="97" t="s">
        <v>116</v>
      </c>
      <c r="E28" s="158">
        <v>41962</v>
      </c>
      <c r="F28" s="158">
        <v>42163</v>
      </c>
      <c r="G28" s="159" t="s">
        <v>117</v>
      </c>
      <c r="H28" s="95" t="s">
        <v>10</v>
      </c>
      <c r="I28" s="226" t="s">
        <v>118</v>
      </c>
      <c r="J28" s="17" t="s">
        <v>2000</v>
      </c>
      <c r="K28" s="101">
        <v>10800</v>
      </c>
      <c r="L28" s="101"/>
      <c r="M28" s="101" t="s">
        <v>307</v>
      </c>
      <c r="N28" s="17" t="s">
        <v>308</v>
      </c>
      <c r="O28" s="101" t="s">
        <v>309</v>
      </c>
      <c r="P28" s="101" t="s">
        <v>310</v>
      </c>
      <c r="Q28" s="101" t="s">
        <v>148</v>
      </c>
      <c r="R28" s="101" t="s">
        <v>309</v>
      </c>
      <c r="S28" s="160" t="s">
        <v>36</v>
      </c>
      <c r="T28" s="17" t="s">
        <v>129</v>
      </c>
      <c r="U28" s="160" t="s">
        <v>311</v>
      </c>
      <c r="V28" s="17" t="s">
        <v>127</v>
      </c>
      <c r="W28" s="17" t="s">
        <v>127</v>
      </c>
      <c r="X28" s="17" t="s">
        <v>127</v>
      </c>
      <c r="Y28" s="58">
        <v>52318.400000000001</v>
      </c>
      <c r="Z28" s="17">
        <v>608</v>
      </c>
      <c r="AA28" s="58">
        <f t="shared" si="0"/>
        <v>86.05</v>
      </c>
      <c r="AB28" s="21">
        <f t="shared" si="1"/>
        <v>202.66666666666666</v>
      </c>
      <c r="AC28" s="21">
        <f t="shared" si="2"/>
        <v>202.66666666666666</v>
      </c>
      <c r="AD28" s="21">
        <f t="shared" si="3"/>
        <v>202.66666666666666</v>
      </c>
      <c r="AE28" s="17" t="s">
        <v>128</v>
      </c>
      <c r="AF28" s="17" t="s">
        <v>129</v>
      </c>
      <c r="AG28" s="17"/>
      <c r="AI28" s="17" t="s">
        <v>142</v>
      </c>
      <c r="AJ28" s="21">
        <f>Table1[[#This Row],[Students Per Spring]]</f>
        <v>202.66666666666666</v>
      </c>
      <c r="AK28" s="58">
        <f t="shared" si="4"/>
        <v>17439.466666666664</v>
      </c>
      <c r="AL28" s="21">
        <f t="shared" si="5"/>
        <v>202.66666666666666</v>
      </c>
      <c r="AM28" s="58">
        <f t="shared" si="6"/>
        <v>17439.466666666664</v>
      </c>
      <c r="AN28" s="21">
        <f>IF(Table1[[#This Row],[Sustainability Check 1 (2017-2018) Status]]="Continued", Table1[[#This Row],[Students Per Summer]], 0)</f>
        <v>0</v>
      </c>
      <c r="AO28" s="58">
        <f t="shared" si="7"/>
        <v>0</v>
      </c>
      <c r="AP28" s="21">
        <f>IF(Table1[[#This Row],[Sustainability Check 1 (2017-2018) Status]]="Continued", Table1[[#This Row],[Students Per Fall]], 0)</f>
        <v>0</v>
      </c>
      <c r="AQ28" s="58">
        <f t="shared" si="8"/>
        <v>0</v>
      </c>
      <c r="AR28" s="21">
        <f>IF(Table1[[#This Row],[Sustainability Check 1 (2017-2018) Status]]="Continued", Table1[[#This Row],[Students Per Spring]], 0)</f>
        <v>0</v>
      </c>
      <c r="AS28" s="58">
        <f t="shared" si="9"/>
        <v>0</v>
      </c>
      <c r="AT28" s="21">
        <f t="shared" si="40"/>
        <v>0</v>
      </c>
      <c r="AU28" s="58">
        <f t="shared" si="29"/>
        <v>0</v>
      </c>
      <c r="AV28" s="21">
        <f>IF(Table1[[#This Row],[Sustainability Check 1 (2017-2018) Status]]="Continued", Table1[[#This Row],[Students Per Summer]], 0)</f>
        <v>0</v>
      </c>
      <c r="AW28" s="58">
        <f t="shared" si="41"/>
        <v>0</v>
      </c>
      <c r="AX28" s="31">
        <f>IF(Table1[[#This Row],[Sustainability Check 1 (2017-2018) Status]]="Continued", Table1[[#This Row],[Students Per Fall]], 0)</f>
        <v>0</v>
      </c>
      <c r="AY28" s="58">
        <f t="shared" si="42"/>
        <v>0</v>
      </c>
      <c r="AZ28" s="31">
        <f>IF(Table1[[#This Row],[Sustainability Check 1 (2017-2018) Status]]="Continued", Table1[[#This Row],[Students Per Spring]], 0)</f>
        <v>0</v>
      </c>
      <c r="BA28" s="58">
        <f t="shared" si="43"/>
        <v>0</v>
      </c>
      <c r="BB28" s="31">
        <f t="shared" si="44"/>
        <v>0</v>
      </c>
      <c r="BC28" s="58">
        <f t="shared" si="45"/>
        <v>0</v>
      </c>
      <c r="BD28" s="31">
        <f>IF(Table1[[#This Row],[Sustainability Check 1 (2017-2018) Status]]="Continued", Table1[[#This Row],[Students Per Summer]], 0)</f>
        <v>0</v>
      </c>
      <c r="BE28" s="58">
        <f t="shared" si="46"/>
        <v>0</v>
      </c>
      <c r="BF28" s="31">
        <f>IF(Table1[[#This Row],[Sustainability Check 1 (2017-2018) Status]]="Continued", Table1[[#This Row],[Students Per Fall]], 0)</f>
        <v>0</v>
      </c>
      <c r="BG28" s="58">
        <f t="shared" si="47"/>
        <v>0</v>
      </c>
      <c r="BH28" s="31">
        <f>IF(Table1[[#This Row],[Sustainability Check 1 (2017-2018) Status]]="Continued", Table1[[#This Row],[Students Per Spring]], 0)</f>
        <v>0</v>
      </c>
      <c r="BI28" s="58">
        <f t="shared" si="48"/>
        <v>0</v>
      </c>
      <c r="BJ28" s="31">
        <f t="shared" si="49"/>
        <v>0</v>
      </c>
      <c r="BK28" s="58">
        <f t="shared" si="50"/>
        <v>0</v>
      </c>
      <c r="BL28" s="58" t="s">
        <v>142</v>
      </c>
      <c r="BM28" s="31">
        <v>0</v>
      </c>
      <c r="BN28" s="31">
        <v>0</v>
      </c>
      <c r="BO28" s="31">
        <v>0</v>
      </c>
      <c r="BP28" s="31">
        <v>0</v>
      </c>
      <c r="BQ28" s="96">
        <v>103.95</v>
      </c>
      <c r="BR28" s="58">
        <f>Table1[[#This Row],[Check 2 Students Total]]*Table1[[#This Row],[Summer 2018 Price Check]]</f>
        <v>0</v>
      </c>
      <c r="BS28" s="31">
        <f>IF(Table1[[#This Row],[Sustainability Check 2 (2018-2019) Status]]="Continued", Table1[[#This Row],[Check 2 Students Summer]], 0)</f>
        <v>0</v>
      </c>
      <c r="BT28" s="58">
        <f>Table1[[#This Row],[Summer 2018 Price Check]]*BS28</f>
        <v>0</v>
      </c>
      <c r="BU28" s="31">
        <f>IF(Table1[[#This Row],[Sustainability Check 2 (2018-2019) Status]]="Continued", Table1[[#This Row],[Check 2 Students Fall]], 0)</f>
        <v>0</v>
      </c>
      <c r="BV28" s="58">
        <f>Table1[[#This Row],[Summer 2018 Price Check]]*BU28</f>
        <v>0</v>
      </c>
      <c r="BW28" s="21">
        <f>IF(Table1[[#This Row],[Sustainability Check 2 (2018-2019) Status]]="Continued", Table1[Check 2 Students Spring], 0)</f>
        <v>0</v>
      </c>
      <c r="BX28" s="58">
        <f>Table1[[#This Row],[Summer 2018 Price Check]]*Table1[[#This Row],[Spring 2019 Students]]</f>
        <v>0</v>
      </c>
      <c r="BY28" s="31">
        <f t="shared" si="19"/>
        <v>0</v>
      </c>
      <c r="BZ28" s="58">
        <f t="shared" si="20"/>
        <v>0</v>
      </c>
      <c r="CA28" s="58" t="s">
        <v>142</v>
      </c>
      <c r="CB28" s="21">
        <v>0</v>
      </c>
      <c r="CC28" s="21">
        <v>0</v>
      </c>
      <c r="CD28" s="21">
        <v>0</v>
      </c>
      <c r="CE28" s="21">
        <f t="shared" si="21"/>
        <v>0</v>
      </c>
      <c r="CF28" s="58">
        <v>0</v>
      </c>
      <c r="CG28" s="58">
        <f t="shared" si="22"/>
        <v>0</v>
      </c>
      <c r="CH28" s="17" t="s">
        <v>128</v>
      </c>
      <c r="CI28" s="21">
        <f>IF(Table1[[#This Row],[Check 3 Status]]="Continued", Table1[[#This Row],[Check 3 Students Summer]], 0)</f>
        <v>0</v>
      </c>
      <c r="CJ28" s="58">
        <f>Table1[[#This Row],[Check 3 Per Student Savings]]*CI28</f>
        <v>0</v>
      </c>
      <c r="CK28" s="21">
        <f>IF(Table1[[#This Row],[Check 3 Status]]="Continued", Table1[[#This Row],[Check 3 Students Fall]], 0)</f>
        <v>0</v>
      </c>
      <c r="CL28" s="58">
        <f>Table1[[#This Row],[Check 3 Per Student Savings]]*CK28</f>
        <v>0</v>
      </c>
      <c r="CM28" s="21">
        <f>IF(Table1[[#This Row],[Check 3 Status]]="Continued", Table1[[#This Row],[Check 3 Students Spring]], 0)</f>
        <v>0</v>
      </c>
      <c r="CN28" s="58">
        <f>Table1[[#This Row],[Check 3 Per Student Savings]]*CM28</f>
        <v>0</v>
      </c>
      <c r="CO28" s="21">
        <f t="shared" si="23"/>
        <v>0</v>
      </c>
      <c r="CP28" s="58">
        <f t="shared" si="24"/>
        <v>0</v>
      </c>
      <c r="CQ28" s="58" t="s">
        <v>142</v>
      </c>
      <c r="CR28" s="21">
        <v>0</v>
      </c>
      <c r="CS28" s="21">
        <v>0</v>
      </c>
      <c r="CT28" s="21">
        <v>0</v>
      </c>
      <c r="CU28" s="21">
        <f t="shared" si="25"/>
        <v>0</v>
      </c>
      <c r="CV28" s="58">
        <v>0</v>
      </c>
      <c r="CW28" s="58">
        <f t="shared" si="26"/>
        <v>0</v>
      </c>
      <c r="CX28" s="58"/>
      <c r="CY28" s="21">
        <f>IF(Table1[[#This Row],[Check 4 Status]]="Continued", Table1[[#This Row],[Check 4 Students Summer]], 0)</f>
        <v>0</v>
      </c>
      <c r="CZ28" s="58">
        <f>Table1[[#This Row],[Check 4 Per Student Savings]]*CY28</f>
        <v>0</v>
      </c>
      <c r="DA28" s="21">
        <f>IF(Table1[[#This Row],[Check 4 Status]]="Continued", Table1[[#This Row],[Check 4 Students Fall]], 0)</f>
        <v>0</v>
      </c>
      <c r="DB28" s="58">
        <f>Table1[[#This Row],[Check 4 Per Student Savings]]*DA28</f>
        <v>0</v>
      </c>
      <c r="DC28" s="21">
        <f>IF(Table1[[#This Row],[Check 4 Status]]="Continued", Table1[[#This Row],[Check 4 Students Spring]], 0)</f>
        <v>0</v>
      </c>
      <c r="DD28" s="58">
        <f>Table1[[#This Row],[Check 4 Per Student Savings]]*DC28</f>
        <v>0</v>
      </c>
      <c r="DE28" s="58">
        <f t="shared" si="27"/>
        <v>0</v>
      </c>
      <c r="DF28" s="58">
        <f t="shared" si="28"/>
        <v>0</v>
      </c>
      <c r="DG2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202.66666666666666</v>
      </c>
      <c r="DH2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17439.466666666664</v>
      </c>
      <c r="DI28" s="58">
        <f>Table1[[#This Row],[Grand Total Savings]]/Table1[[#This Row],[Total Award]]</f>
        <v>1.6147654320987652</v>
      </c>
      <c r="DJ28" s="17"/>
      <c r="DK28" s="17"/>
      <c r="DL28" s="17"/>
      <c r="DM28" s="17"/>
      <c r="EC28" s="17"/>
      <c r="ED28" s="17"/>
      <c r="EE28" s="17"/>
      <c r="EF28" s="17"/>
    </row>
    <row r="29" spans="1:136" x14ac:dyDescent="0.25">
      <c r="A29" s="157" t="s">
        <v>312</v>
      </c>
      <c r="B29" s="17" t="s">
        <v>2011</v>
      </c>
      <c r="D29" s="97" t="s">
        <v>116</v>
      </c>
      <c r="E29" s="158">
        <v>41962</v>
      </c>
      <c r="F29" s="158">
        <v>42163</v>
      </c>
      <c r="G29" s="159" t="s">
        <v>117</v>
      </c>
      <c r="H29" s="95" t="s">
        <v>10</v>
      </c>
      <c r="I29" s="226" t="s">
        <v>118</v>
      </c>
      <c r="J29" s="17" t="s">
        <v>2000</v>
      </c>
      <c r="K29" s="101">
        <v>10800</v>
      </c>
      <c r="L29" s="101"/>
      <c r="M29" s="101" t="s">
        <v>313</v>
      </c>
      <c r="N29" s="17" t="s">
        <v>314</v>
      </c>
      <c r="O29" s="101" t="s">
        <v>315</v>
      </c>
      <c r="P29" s="101" t="s">
        <v>316</v>
      </c>
      <c r="Q29" s="101" t="s">
        <v>317</v>
      </c>
      <c r="R29" s="101" t="s">
        <v>315</v>
      </c>
      <c r="S29" s="160" t="s">
        <v>36</v>
      </c>
      <c r="T29" s="17" t="s">
        <v>129</v>
      </c>
      <c r="U29" s="101" t="s">
        <v>157</v>
      </c>
      <c r="V29" s="17" t="s">
        <v>150</v>
      </c>
      <c r="W29" s="17" t="s">
        <v>139</v>
      </c>
      <c r="X29" s="17" t="s">
        <v>139</v>
      </c>
      <c r="Y29" s="58">
        <v>128497.38</v>
      </c>
      <c r="Z29" s="17">
        <v>418</v>
      </c>
      <c r="AA29" s="58">
        <f t="shared" si="0"/>
        <v>307.41000000000003</v>
      </c>
      <c r="AB29" s="21">
        <f t="shared" si="1"/>
        <v>139.33333333333334</v>
      </c>
      <c r="AC29" s="21">
        <f t="shared" si="2"/>
        <v>139.33333333333334</v>
      </c>
      <c r="AD29" s="21">
        <f t="shared" si="3"/>
        <v>139.33333333333334</v>
      </c>
      <c r="AE29" s="17" t="s">
        <v>128</v>
      </c>
      <c r="AF29" s="17" t="s">
        <v>129</v>
      </c>
      <c r="AG29" s="17"/>
      <c r="AI29" s="17" t="s">
        <v>142</v>
      </c>
      <c r="AJ29" s="21">
        <f>Table1[[#This Row],[Students Per Spring]]</f>
        <v>139.33333333333334</v>
      </c>
      <c r="AK29" s="58">
        <f t="shared" si="4"/>
        <v>42832.460000000006</v>
      </c>
      <c r="AL29" s="21">
        <f t="shared" si="5"/>
        <v>139.33333333333334</v>
      </c>
      <c r="AM29" s="58">
        <f t="shared" si="6"/>
        <v>42832.460000000006</v>
      </c>
      <c r="AN29" s="21">
        <f>IF(Table1[[#This Row],[Sustainability Check 1 (2017-2018) Status]]="Continued", Table1[[#This Row],[Students Per Summer]], 0)</f>
        <v>0</v>
      </c>
      <c r="AO29" s="58">
        <f t="shared" si="7"/>
        <v>0</v>
      </c>
      <c r="AP29" s="21">
        <f>IF(Table1[[#This Row],[Sustainability Check 1 (2017-2018) Status]]="Continued", Table1[[#This Row],[Students Per Fall]], 0)</f>
        <v>0</v>
      </c>
      <c r="AQ29" s="58">
        <f t="shared" si="8"/>
        <v>0</v>
      </c>
      <c r="AR29" s="21">
        <f>IF(Table1[[#This Row],[Sustainability Check 1 (2017-2018) Status]]="Continued", Table1[[#This Row],[Students Per Spring]], 0)</f>
        <v>0</v>
      </c>
      <c r="AS29" s="58">
        <f t="shared" si="9"/>
        <v>0</v>
      </c>
      <c r="AT29" s="21">
        <f t="shared" si="40"/>
        <v>0</v>
      </c>
      <c r="AU29" s="58">
        <f t="shared" si="29"/>
        <v>0</v>
      </c>
      <c r="AV29" s="21">
        <f>IF(Table1[[#This Row],[Sustainability Check 1 (2017-2018) Status]]="Continued", Table1[[#This Row],[Students Per Summer]], 0)</f>
        <v>0</v>
      </c>
      <c r="AW29" s="58">
        <f t="shared" si="41"/>
        <v>0</v>
      </c>
      <c r="AX29" s="31">
        <f>IF(Table1[[#This Row],[Sustainability Check 1 (2017-2018) Status]]="Continued", Table1[[#This Row],[Students Per Fall]], 0)</f>
        <v>0</v>
      </c>
      <c r="AY29" s="58">
        <f t="shared" si="42"/>
        <v>0</v>
      </c>
      <c r="AZ29" s="31">
        <f>IF(Table1[[#This Row],[Sustainability Check 1 (2017-2018) Status]]="Continued", Table1[[#This Row],[Students Per Spring]], 0)</f>
        <v>0</v>
      </c>
      <c r="BA29" s="58">
        <f t="shared" si="43"/>
        <v>0</v>
      </c>
      <c r="BB29" s="31">
        <f t="shared" si="44"/>
        <v>0</v>
      </c>
      <c r="BC29" s="58">
        <f t="shared" si="45"/>
        <v>0</v>
      </c>
      <c r="BD29" s="31">
        <f>IF(Table1[[#This Row],[Sustainability Check 1 (2017-2018) Status]]="Continued", Table1[[#This Row],[Students Per Summer]], 0)</f>
        <v>0</v>
      </c>
      <c r="BE29" s="58">
        <f t="shared" si="46"/>
        <v>0</v>
      </c>
      <c r="BF29" s="31">
        <f>IF(Table1[[#This Row],[Sustainability Check 1 (2017-2018) Status]]="Continued", Table1[[#This Row],[Students Per Fall]], 0)</f>
        <v>0</v>
      </c>
      <c r="BG29" s="58">
        <f t="shared" si="47"/>
        <v>0</v>
      </c>
      <c r="BH29" s="31">
        <f>IF(Table1[[#This Row],[Sustainability Check 1 (2017-2018) Status]]="Continued", Table1[[#This Row],[Students Per Spring]], 0)</f>
        <v>0</v>
      </c>
      <c r="BI29" s="58">
        <f t="shared" si="48"/>
        <v>0</v>
      </c>
      <c r="BJ29" s="31">
        <f t="shared" si="49"/>
        <v>0</v>
      </c>
      <c r="BK29" s="58">
        <f t="shared" si="50"/>
        <v>0</v>
      </c>
      <c r="BL29" s="58" t="s">
        <v>142</v>
      </c>
      <c r="BM29" s="31">
        <v>0</v>
      </c>
      <c r="BN29" s="31">
        <v>0</v>
      </c>
      <c r="BO29" s="31">
        <v>0</v>
      </c>
      <c r="BP29" s="31">
        <f t="shared" ref="BP29:BP61" si="51">SUM(BM29:BO29)</f>
        <v>0</v>
      </c>
      <c r="BQ29" s="96">
        <v>399.95</v>
      </c>
      <c r="BR29" s="58">
        <f>Table1[[#This Row],[Check 2 Students Total]]*Table1[[#This Row],[Summer 2018 Price Check]]</f>
        <v>0</v>
      </c>
      <c r="BS29" s="31">
        <f>IF(Table1[[#This Row],[Sustainability Check 2 (2018-2019) Status]]="Continued", Table1[[#This Row],[Check 2 Students Summer]], 0)</f>
        <v>0</v>
      </c>
      <c r="BT29" s="58">
        <f>Table1[[#This Row],[Summer 2018 Price Check]]*BS29</f>
        <v>0</v>
      </c>
      <c r="BU29" s="31">
        <f>IF(Table1[[#This Row],[Sustainability Check 2 (2018-2019) Status]]="Continued", Table1[[#This Row],[Check 2 Students Fall]], 0)</f>
        <v>0</v>
      </c>
      <c r="BV29" s="58">
        <f>Table1[[#This Row],[Summer 2018 Price Check]]*BU29</f>
        <v>0</v>
      </c>
      <c r="BW29" s="21">
        <f>IF(Table1[[#This Row],[Sustainability Check 2 (2018-2019) Status]]="Continued", Table1[Check 2 Students Spring], 0)</f>
        <v>0</v>
      </c>
      <c r="BX29" s="58">
        <f>Table1[[#This Row],[Summer 2018 Price Check]]*Table1[[#This Row],[Spring 2019 Students]]</f>
        <v>0</v>
      </c>
      <c r="BY29" s="31">
        <f t="shared" si="19"/>
        <v>0</v>
      </c>
      <c r="BZ29" s="58">
        <f t="shared" si="20"/>
        <v>0</v>
      </c>
      <c r="CA29" s="58" t="s">
        <v>142</v>
      </c>
      <c r="CB29" s="21">
        <v>0</v>
      </c>
      <c r="CC29" s="21">
        <v>0</v>
      </c>
      <c r="CD29" s="21">
        <v>0</v>
      </c>
      <c r="CE29" s="21">
        <f t="shared" si="21"/>
        <v>0</v>
      </c>
      <c r="CF29" s="58">
        <v>0</v>
      </c>
      <c r="CG29" s="58">
        <f t="shared" si="22"/>
        <v>0</v>
      </c>
      <c r="CH29" s="17" t="s">
        <v>128</v>
      </c>
      <c r="CI29" s="21">
        <f>IF(Table1[[#This Row],[Check 3 Status]]="Continued", Table1[[#This Row],[Check 3 Students Summer]], 0)</f>
        <v>0</v>
      </c>
      <c r="CJ29" s="58">
        <f>Table1[[#This Row],[Check 3 Per Student Savings]]*CI29</f>
        <v>0</v>
      </c>
      <c r="CK29" s="21">
        <f>IF(Table1[[#This Row],[Check 3 Status]]="Continued", Table1[[#This Row],[Check 3 Students Fall]], 0)</f>
        <v>0</v>
      </c>
      <c r="CL29" s="58">
        <f>Table1[[#This Row],[Check 3 Per Student Savings]]*CK29</f>
        <v>0</v>
      </c>
      <c r="CM29" s="21">
        <f>IF(Table1[[#This Row],[Check 3 Status]]="Continued", Table1[[#This Row],[Check 3 Students Spring]], 0)</f>
        <v>0</v>
      </c>
      <c r="CN29" s="58">
        <f>Table1[[#This Row],[Check 3 Per Student Savings]]*CM29</f>
        <v>0</v>
      </c>
      <c r="CO29" s="21">
        <f t="shared" si="23"/>
        <v>0</v>
      </c>
      <c r="CP29" s="58">
        <f t="shared" si="24"/>
        <v>0</v>
      </c>
      <c r="CQ29" s="58" t="s">
        <v>142</v>
      </c>
      <c r="CR29" s="21">
        <v>0</v>
      </c>
      <c r="CS29" s="21">
        <v>0</v>
      </c>
      <c r="CT29" s="21">
        <v>0</v>
      </c>
      <c r="CU29" s="21">
        <f t="shared" si="25"/>
        <v>0</v>
      </c>
      <c r="CV29" s="58">
        <v>0</v>
      </c>
      <c r="CW29" s="58">
        <f t="shared" si="26"/>
        <v>0</v>
      </c>
      <c r="CX29" s="58"/>
      <c r="CY29" s="21">
        <f>IF(Table1[[#This Row],[Check 4 Status]]="Continued", Table1[[#This Row],[Check 4 Students Summer]], 0)</f>
        <v>0</v>
      </c>
      <c r="CZ29" s="58">
        <f>Table1[[#This Row],[Check 4 Per Student Savings]]*CY29</f>
        <v>0</v>
      </c>
      <c r="DA29" s="21">
        <f>IF(Table1[[#This Row],[Check 4 Status]]="Continued", Table1[[#This Row],[Check 4 Students Fall]], 0)</f>
        <v>0</v>
      </c>
      <c r="DB29" s="58">
        <f>Table1[[#This Row],[Check 4 Per Student Savings]]*DA29</f>
        <v>0</v>
      </c>
      <c r="DC29" s="21">
        <f>IF(Table1[[#This Row],[Check 4 Status]]="Continued", Table1[[#This Row],[Check 4 Students Spring]], 0)</f>
        <v>0</v>
      </c>
      <c r="DD29" s="58">
        <f>Table1[[#This Row],[Check 4 Per Student Savings]]*DC29</f>
        <v>0</v>
      </c>
      <c r="DE29" s="58">
        <f t="shared" si="27"/>
        <v>0</v>
      </c>
      <c r="DF29" s="58">
        <f t="shared" si="28"/>
        <v>0</v>
      </c>
      <c r="DG2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139.33333333333334</v>
      </c>
      <c r="DH2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42832.460000000006</v>
      </c>
      <c r="DI29" s="58">
        <f>Table1[[#This Row],[Grand Total Savings]]/Table1[[#This Row],[Total Award]]</f>
        <v>3.9659685185185189</v>
      </c>
      <c r="DJ29" s="17"/>
      <c r="DK29" s="17"/>
      <c r="DL29" s="17"/>
      <c r="DM29" s="17"/>
      <c r="EC29" s="17"/>
      <c r="ED29" s="17"/>
      <c r="EE29" s="17"/>
      <c r="EF29" s="17"/>
    </row>
    <row r="30" spans="1:136" x14ac:dyDescent="0.25">
      <c r="A30" s="157" t="s">
        <v>318</v>
      </c>
      <c r="B30" s="17" t="s">
        <v>2011</v>
      </c>
      <c r="D30" s="97" t="s">
        <v>116</v>
      </c>
      <c r="E30" s="158">
        <v>42009</v>
      </c>
      <c r="F30" s="158">
        <v>42163</v>
      </c>
      <c r="G30" s="159" t="s">
        <v>117</v>
      </c>
      <c r="H30" s="95" t="s">
        <v>10</v>
      </c>
      <c r="I30" s="226" t="s">
        <v>118</v>
      </c>
      <c r="J30" s="17" t="s">
        <v>166</v>
      </c>
      <c r="K30" s="101">
        <v>10800</v>
      </c>
      <c r="L30" s="101"/>
      <c r="M30" s="101" t="s">
        <v>319</v>
      </c>
      <c r="N30" s="17" t="s">
        <v>320</v>
      </c>
      <c r="O30" s="101" t="s">
        <v>321</v>
      </c>
      <c r="P30" s="101" t="s">
        <v>322</v>
      </c>
      <c r="Q30" s="101" t="s">
        <v>192</v>
      </c>
      <c r="R30" s="101" t="s">
        <v>129</v>
      </c>
      <c r="S30" s="101" t="s">
        <v>129</v>
      </c>
      <c r="T30" s="17" t="s">
        <v>125</v>
      </c>
      <c r="U30" s="160" t="s">
        <v>255</v>
      </c>
      <c r="V30" s="17" t="s">
        <v>150</v>
      </c>
      <c r="W30" s="17" t="s">
        <v>150</v>
      </c>
      <c r="X30" s="17" t="s">
        <v>150</v>
      </c>
      <c r="Y30" s="58">
        <v>215040</v>
      </c>
      <c r="Z30" s="17">
        <v>560</v>
      </c>
      <c r="AA30" s="58">
        <f t="shared" si="0"/>
        <v>384</v>
      </c>
      <c r="AB30" s="21">
        <f t="shared" si="1"/>
        <v>186.66666666666666</v>
      </c>
      <c r="AC30" s="21">
        <f t="shared" si="2"/>
        <v>186.66666666666666</v>
      </c>
      <c r="AD30" s="21">
        <f t="shared" si="3"/>
        <v>186.66666666666666</v>
      </c>
      <c r="AE30" s="17" t="s">
        <v>128</v>
      </c>
      <c r="AF30" s="17" t="s">
        <v>129</v>
      </c>
      <c r="AG30" s="17"/>
      <c r="AI30" s="17" t="s">
        <v>130</v>
      </c>
      <c r="AJ30" s="21">
        <f>Table1[[#This Row],[Students Per Spring]]</f>
        <v>186.66666666666666</v>
      </c>
      <c r="AK30" s="58">
        <f t="shared" si="4"/>
        <v>71680</v>
      </c>
      <c r="AL30" s="21">
        <f t="shared" si="5"/>
        <v>186.66666666666666</v>
      </c>
      <c r="AM30" s="58">
        <f t="shared" si="6"/>
        <v>71680</v>
      </c>
      <c r="AN30" s="21">
        <f>IF(Table1[[#This Row],[Sustainability Check 1 (2017-2018) Status]]="Continued", Table1[[#This Row],[Students Per Summer]], 0)</f>
        <v>186.66666666666666</v>
      </c>
      <c r="AO30" s="58">
        <f t="shared" si="7"/>
        <v>71680</v>
      </c>
      <c r="AP30" s="21">
        <f>IF(Table1[[#This Row],[Sustainability Check 1 (2017-2018) Status]]="Continued", Table1[[#This Row],[Students Per Fall]], 0)</f>
        <v>186.66666666666666</v>
      </c>
      <c r="AQ30" s="58">
        <f t="shared" si="8"/>
        <v>71680</v>
      </c>
      <c r="AR30" s="21">
        <f>IF(Table1[[#This Row],[Sustainability Check 1 (2017-2018) Status]]="Continued", Table1[[#This Row],[Students Per Spring]], 0)</f>
        <v>186.66666666666666</v>
      </c>
      <c r="AS30" s="58">
        <f t="shared" si="9"/>
        <v>71680</v>
      </c>
      <c r="AT30" s="21">
        <f t="shared" si="40"/>
        <v>560</v>
      </c>
      <c r="AU30" s="58">
        <f t="shared" si="29"/>
        <v>215040</v>
      </c>
      <c r="AV30" s="21">
        <f>IF(Table1[[#This Row],[Sustainability Check 1 (2017-2018) Status]]="Continued", Table1[[#This Row],[Students Per Summer]], 0)</f>
        <v>186.66666666666666</v>
      </c>
      <c r="AW30" s="58">
        <f t="shared" si="41"/>
        <v>71680</v>
      </c>
      <c r="AX30" s="31">
        <f>IF(Table1[[#This Row],[Sustainability Check 1 (2017-2018) Status]]="Continued", Table1[[#This Row],[Students Per Fall]], 0)</f>
        <v>186.66666666666666</v>
      </c>
      <c r="AY30" s="58">
        <f t="shared" si="42"/>
        <v>71680</v>
      </c>
      <c r="AZ30" s="31">
        <f>IF(Table1[[#This Row],[Sustainability Check 1 (2017-2018) Status]]="Continued", Table1[[#This Row],[Students Per Spring]], 0)</f>
        <v>186.66666666666666</v>
      </c>
      <c r="BA30" s="58">
        <f t="shared" si="43"/>
        <v>71680</v>
      </c>
      <c r="BB30" s="31">
        <f t="shared" si="44"/>
        <v>560</v>
      </c>
      <c r="BC30" s="58">
        <f t="shared" si="45"/>
        <v>215040</v>
      </c>
      <c r="BD30" s="31">
        <f>IF(Table1[[#This Row],[Sustainability Check 1 (2017-2018) Status]]="Continued", Table1[[#This Row],[Students Per Summer]], 0)</f>
        <v>186.66666666666666</v>
      </c>
      <c r="BE30" s="58">
        <f t="shared" si="46"/>
        <v>71680</v>
      </c>
      <c r="BF30" s="31">
        <f>IF(Table1[[#This Row],[Sustainability Check 1 (2017-2018) Status]]="Continued", Table1[[#This Row],[Students Per Fall]], 0)</f>
        <v>186.66666666666666</v>
      </c>
      <c r="BG30" s="58">
        <f t="shared" si="47"/>
        <v>71680</v>
      </c>
      <c r="BH30" s="31">
        <f>IF(Table1[[#This Row],[Sustainability Check 1 (2017-2018) Status]]="Continued", Table1[[#This Row],[Students Per Spring]], 0)</f>
        <v>186.66666666666666</v>
      </c>
      <c r="BI30" s="58">
        <f t="shared" si="48"/>
        <v>71680</v>
      </c>
      <c r="BJ30" s="31">
        <f t="shared" si="49"/>
        <v>560</v>
      </c>
      <c r="BK30" s="58">
        <f t="shared" si="50"/>
        <v>215040</v>
      </c>
      <c r="BL30" s="58" t="s">
        <v>130</v>
      </c>
      <c r="BM30" s="31">
        <v>153</v>
      </c>
      <c r="BN30" s="31">
        <v>39</v>
      </c>
      <c r="BO30" s="31">
        <v>165</v>
      </c>
      <c r="BP30" s="31">
        <f t="shared" si="51"/>
        <v>357</v>
      </c>
      <c r="BQ30" s="58">
        <v>411.2</v>
      </c>
      <c r="BR30" s="58">
        <f>Table1[[#This Row],[Check 2 Students Total]]*Table1[[#This Row],[Summer 2018 Price Check]]</f>
        <v>146798.39999999999</v>
      </c>
      <c r="BS30" s="31">
        <f>IF(Table1[[#This Row],[Sustainability Check 2 (2018-2019) Status]]="Continued", Table1[[#This Row],[Check 2 Students Summer]], 0)</f>
        <v>153</v>
      </c>
      <c r="BT30" s="58">
        <f>Table1[[#This Row],[Summer 2018 Price Check]]*BS30</f>
        <v>62913.599999999999</v>
      </c>
      <c r="BU30" s="31">
        <f>IF(Table1[[#This Row],[Sustainability Check 2 (2018-2019) Status]]="Continued", Table1[[#This Row],[Check 2 Students Fall]], 0)</f>
        <v>39</v>
      </c>
      <c r="BV30" s="58">
        <f>Table1[[#This Row],[Summer 2018 Price Check]]*BU30</f>
        <v>16036.8</v>
      </c>
      <c r="BW30" s="21">
        <f>IF(Table1[[#This Row],[Sustainability Check 2 (2018-2019) Status]]="Continued", Table1[Check 2 Students Spring], 0)</f>
        <v>165</v>
      </c>
      <c r="BX30" s="58">
        <f>Table1[[#This Row],[Summer 2018 Price Check]]*Table1[[#This Row],[Spring 2019 Students]]</f>
        <v>67848</v>
      </c>
      <c r="BY30" s="31">
        <f t="shared" si="19"/>
        <v>357</v>
      </c>
      <c r="BZ30" s="58">
        <f t="shared" si="20"/>
        <v>146798.39999999999</v>
      </c>
      <c r="CA30" s="58" t="s">
        <v>130</v>
      </c>
      <c r="CB30" s="21">
        <v>21</v>
      </c>
      <c r="CC30" s="21">
        <v>74</v>
      </c>
      <c r="CD30" s="21">
        <v>0</v>
      </c>
      <c r="CE30" s="21">
        <f t="shared" si="21"/>
        <v>95</v>
      </c>
      <c r="CF30" s="58">
        <v>336.84</v>
      </c>
      <c r="CG30" s="58">
        <f t="shared" si="22"/>
        <v>31999.8</v>
      </c>
      <c r="CH30" s="17" t="s">
        <v>128</v>
      </c>
      <c r="CI30" s="21">
        <f>IF(Table1[[#This Row],[Check 3 Status]]="Continued", Table1[[#This Row],[Check 3 Students Summer]], 0)</f>
        <v>21</v>
      </c>
      <c r="CJ30" s="58">
        <f>Table1[[#This Row],[Check 3 Per Student Savings]]*CI30</f>
        <v>7073.6399999999994</v>
      </c>
      <c r="CK30" s="21">
        <f>IF(Table1[[#This Row],[Check 3 Status]]="Continued", Table1[[#This Row],[Check 3 Students Fall]], 0)</f>
        <v>74</v>
      </c>
      <c r="CL30" s="58">
        <f>Table1[[#This Row],[Check 3 Per Student Savings]]*CK30</f>
        <v>24926.16</v>
      </c>
      <c r="CM30" s="21">
        <f>IF(Table1[[#This Row],[Check 3 Status]]="Continued", Table1[[#This Row],[Check 3 Students Spring]], 0)</f>
        <v>0</v>
      </c>
      <c r="CN30" s="58">
        <f>Table1[[#This Row],[Check 3 Per Student Savings]]*CM30</f>
        <v>0</v>
      </c>
      <c r="CO30" s="21">
        <f t="shared" si="23"/>
        <v>95</v>
      </c>
      <c r="CP30" s="58">
        <f t="shared" si="24"/>
        <v>31999.8</v>
      </c>
      <c r="CQ30" s="58" t="s">
        <v>142</v>
      </c>
      <c r="CR30" s="21">
        <v>21</v>
      </c>
      <c r="CS30" s="21">
        <v>74</v>
      </c>
      <c r="CT30" s="21">
        <v>0</v>
      </c>
      <c r="CU30" s="21">
        <v>0</v>
      </c>
      <c r="CV30" s="58">
        <v>0</v>
      </c>
      <c r="CW30" s="58">
        <f t="shared" si="26"/>
        <v>0</v>
      </c>
      <c r="CX30" s="58"/>
      <c r="CY30" s="21">
        <f>IF(Table1[[#This Row],[Check 4 Status]]="Continued", Table1[[#This Row],[Check 4 Students Summer]], 0)</f>
        <v>0</v>
      </c>
      <c r="CZ30" s="58">
        <f>Table1[[#This Row],[Check 4 Per Student Savings]]*CY30</f>
        <v>0</v>
      </c>
      <c r="DA30" s="21">
        <f>IF(Table1[[#This Row],[Check 4 Status]]="Continued", Table1[[#This Row],[Check 4 Students Fall]], 0)</f>
        <v>0</v>
      </c>
      <c r="DB30" s="58">
        <f>Table1[[#This Row],[Check 4 Per Student Savings]]*DA30</f>
        <v>0</v>
      </c>
      <c r="DC30" s="21">
        <f>IF(Table1[[#This Row],[Check 4 Status]]="Continued", Table1[[#This Row],[Check 4 Students Spring]], 0)</f>
        <v>0</v>
      </c>
      <c r="DD30" s="58">
        <f>Table1[[#This Row],[Check 4 Per Student Savings]]*DC30</f>
        <v>0</v>
      </c>
      <c r="DE30" s="58">
        <f t="shared" si="27"/>
        <v>0</v>
      </c>
      <c r="DF30" s="58">
        <f t="shared" si="28"/>
        <v>0</v>
      </c>
      <c r="DG3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2318.6666666666665</v>
      </c>
      <c r="DH3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895598.20000000007</v>
      </c>
      <c r="DI30" s="58">
        <f>Table1[[#This Row],[Grand Total Savings]]/Table1[[#This Row],[Total Award]]</f>
        <v>82.925759259259266</v>
      </c>
      <c r="DJ30" s="17"/>
      <c r="DK30" s="17"/>
      <c r="DL30" s="17"/>
      <c r="DM30" s="17"/>
      <c r="EC30" s="17"/>
      <c r="ED30" s="17"/>
      <c r="EE30" s="17"/>
      <c r="EF30" s="17"/>
    </row>
    <row r="31" spans="1:136" x14ac:dyDescent="0.25">
      <c r="A31" s="157" t="s">
        <v>323</v>
      </c>
      <c r="B31" s="17" t="s">
        <v>2011</v>
      </c>
      <c r="D31" s="97" t="s">
        <v>116</v>
      </c>
      <c r="E31" s="158">
        <v>42010</v>
      </c>
      <c r="F31" s="158">
        <v>42527</v>
      </c>
      <c r="G31" s="159" t="s">
        <v>117</v>
      </c>
      <c r="H31" s="95" t="s">
        <v>10</v>
      </c>
      <c r="I31" s="226" t="s">
        <v>118</v>
      </c>
      <c r="J31" s="17" t="s">
        <v>324</v>
      </c>
      <c r="K31" s="101">
        <v>10800</v>
      </c>
      <c r="L31" s="101"/>
      <c r="M31" s="101" t="s">
        <v>325</v>
      </c>
      <c r="N31" s="17" t="s">
        <v>326</v>
      </c>
      <c r="O31" s="101" t="s">
        <v>327</v>
      </c>
      <c r="P31" s="101" t="s">
        <v>328</v>
      </c>
      <c r="Q31" s="101" t="s">
        <v>248</v>
      </c>
      <c r="R31" s="101" t="s">
        <v>327</v>
      </c>
      <c r="S31" s="160" t="s">
        <v>36</v>
      </c>
      <c r="T31" s="17" t="s">
        <v>129</v>
      </c>
      <c r="U31" s="101" t="s">
        <v>287</v>
      </c>
      <c r="V31" s="101" t="s">
        <v>150</v>
      </c>
      <c r="W31" s="101" t="s">
        <v>127</v>
      </c>
      <c r="X31" s="101" t="s">
        <v>127</v>
      </c>
      <c r="Y31" s="58">
        <v>142333.75</v>
      </c>
      <c r="Z31" s="31">
        <v>1625</v>
      </c>
      <c r="AA31" s="58">
        <v>60.4</v>
      </c>
      <c r="AB31" s="21">
        <f t="shared" si="1"/>
        <v>541.66666666666663</v>
      </c>
      <c r="AC31" s="21">
        <f t="shared" si="2"/>
        <v>541.66666666666663</v>
      </c>
      <c r="AD31" s="21">
        <f t="shared" si="3"/>
        <v>541.66666666666663</v>
      </c>
      <c r="AE31" s="17" t="s">
        <v>208</v>
      </c>
      <c r="AF31" s="17" t="s">
        <v>129</v>
      </c>
      <c r="AG31" s="17"/>
      <c r="AI31" s="17" t="s">
        <v>130</v>
      </c>
      <c r="AJ31" s="21">
        <v>0</v>
      </c>
      <c r="AK31" s="58">
        <v>0</v>
      </c>
      <c r="AL31" s="21">
        <v>0</v>
      </c>
      <c r="AM31" s="58">
        <f t="shared" ref="AM31:AM62" si="52">AK31</f>
        <v>0</v>
      </c>
      <c r="AN31" s="21">
        <v>0</v>
      </c>
      <c r="AO31" s="58">
        <f t="shared" si="7"/>
        <v>0</v>
      </c>
      <c r="AP31" s="21">
        <f>Table1[[#This Row],[Students Per Fall]]</f>
        <v>541.66666666666663</v>
      </c>
      <c r="AQ31" s="58">
        <f t="shared" si="8"/>
        <v>32716.666666666664</v>
      </c>
      <c r="AR31" s="21">
        <f>IF(Table1[[#This Row],[Sustainability Check 1 (2017-2018) Status]]="Continued", Table1[[#This Row],[Students Per Spring]], 0)</f>
        <v>541.66666666666663</v>
      </c>
      <c r="AS31" s="58">
        <f t="shared" si="9"/>
        <v>32716.666666666664</v>
      </c>
      <c r="AT31" s="21">
        <f t="shared" si="40"/>
        <v>1083.3333333333333</v>
      </c>
      <c r="AU31" s="58">
        <f t="shared" si="29"/>
        <v>65433.333333333328</v>
      </c>
      <c r="AV31" s="21">
        <f>IF(Table1[[#This Row],[Sustainability Check 1 (2017-2018) Status]]="Continued", Table1[[#This Row],[Students Per Summer]], 0)</f>
        <v>541.66666666666663</v>
      </c>
      <c r="AW31" s="58">
        <f t="shared" si="41"/>
        <v>32716.666666666664</v>
      </c>
      <c r="AX31" s="31">
        <f>IF(Table1[[#This Row],[Sustainability Check 1 (2017-2018) Status]]="Continued", Table1[[#This Row],[Students Per Fall]], 0)</f>
        <v>541.66666666666663</v>
      </c>
      <c r="AY31" s="58">
        <f t="shared" si="42"/>
        <v>32716.666666666664</v>
      </c>
      <c r="AZ31" s="31">
        <f>IF(Table1[[#This Row],[Sustainability Check 1 (2017-2018) Status]]="Continued", Table1[[#This Row],[Students Per Spring]], 0)</f>
        <v>541.66666666666663</v>
      </c>
      <c r="BA31" s="58">
        <f t="shared" si="43"/>
        <v>32716.666666666664</v>
      </c>
      <c r="BB31" s="31">
        <f t="shared" si="44"/>
        <v>1625</v>
      </c>
      <c r="BC31" s="58">
        <f t="shared" si="45"/>
        <v>98150</v>
      </c>
      <c r="BD31" s="31">
        <f>IF(Table1[[#This Row],[Sustainability Check 1 (2017-2018) Status]]="Continued", Table1[[#This Row],[Students Per Summer]], 0)</f>
        <v>541.66666666666663</v>
      </c>
      <c r="BE31" s="58">
        <f t="shared" si="46"/>
        <v>32716.666666666664</v>
      </c>
      <c r="BF31" s="31">
        <f>IF(Table1[[#This Row],[Sustainability Check 1 (2017-2018) Status]]="Continued", Table1[[#This Row],[Students Per Fall]], 0)</f>
        <v>541.66666666666663</v>
      </c>
      <c r="BG31" s="58">
        <f t="shared" si="47"/>
        <v>32716.666666666664</v>
      </c>
      <c r="BH31" s="31">
        <f>IF(Table1[[#This Row],[Sustainability Check 1 (2017-2018) Status]]="Continued", Table1[[#This Row],[Students Per Spring]], 0)</f>
        <v>541.66666666666663</v>
      </c>
      <c r="BI31" s="58">
        <f t="shared" si="48"/>
        <v>32716.666666666664</v>
      </c>
      <c r="BJ31" s="31">
        <f t="shared" si="49"/>
        <v>1625</v>
      </c>
      <c r="BK31" s="58">
        <f t="shared" si="50"/>
        <v>98150</v>
      </c>
      <c r="BL31" s="58" t="s">
        <v>130</v>
      </c>
      <c r="BM31" s="31">
        <v>100</v>
      </c>
      <c r="BN31" s="31">
        <v>650</v>
      </c>
      <c r="BO31" s="31">
        <v>650</v>
      </c>
      <c r="BP31" s="31">
        <f t="shared" si="51"/>
        <v>1400</v>
      </c>
      <c r="BQ31" s="96">
        <v>60.4</v>
      </c>
      <c r="BR31" s="58">
        <f>Table1[[#This Row],[Check 2 Students Total]]*Table1[[#This Row],[Summer 2018 Price Check]]</f>
        <v>84560</v>
      </c>
      <c r="BS31" s="31">
        <f>IF(Table1[[#This Row],[Sustainability Check 2 (2018-2019) Status]]="Continued", Table1[[#This Row],[Check 2 Students Summer]], 0)</f>
        <v>100</v>
      </c>
      <c r="BT31" s="58">
        <f>Table1[[#This Row],[Summer 2018 Price Check]]*BS31</f>
        <v>6040</v>
      </c>
      <c r="BU31" s="31">
        <f>IF(Table1[[#This Row],[Sustainability Check 2 (2018-2019) Status]]="Continued", Table1[[#This Row],[Check 2 Students Fall]], 0)</f>
        <v>650</v>
      </c>
      <c r="BV31" s="58">
        <f>Table1[[#This Row],[Summer 2018 Price Check]]*BU31</f>
        <v>39260</v>
      </c>
      <c r="BW31" s="21">
        <f>IF(Table1[[#This Row],[Sustainability Check 2 (2018-2019) Status]]="Continued", Table1[Check 2 Students Spring], 0)</f>
        <v>650</v>
      </c>
      <c r="BX31" s="58">
        <f>Table1[[#This Row],[Summer 2018 Price Check]]*Table1[[#This Row],[Spring 2019 Students]]</f>
        <v>39260</v>
      </c>
      <c r="BY31" s="31">
        <f t="shared" si="19"/>
        <v>1400</v>
      </c>
      <c r="BZ31" s="58">
        <f t="shared" si="20"/>
        <v>84560</v>
      </c>
      <c r="CA31" s="58" t="s">
        <v>1777</v>
      </c>
      <c r="CB31" s="21"/>
      <c r="CC31" s="21"/>
      <c r="CD31" s="21"/>
      <c r="CE31" s="21">
        <f t="shared" si="21"/>
        <v>0</v>
      </c>
      <c r="CF31" s="58"/>
      <c r="CG31" s="58">
        <f t="shared" si="22"/>
        <v>0</v>
      </c>
      <c r="CH31" s="17" t="s">
        <v>208</v>
      </c>
      <c r="CI31" s="21">
        <f>IF(Table1[[#This Row],[Check 3 Status]]="Continued", Table1[[#This Row],[Check 3 Students Summer]], 0)</f>
        <v>0</v>
      </c>
      <c r="CJ31" s="58">
        <f>Table1[[#This Row],[Check 3 Per Student Savings]]*CI31</f>
        <v>0</v>
      </c>
      <c r="CK31" s="21">
        <f>IF(Table1[[#This Row],[Check 3 Status]]="Continued", Table1[[#This Row],[Check 3 Students Fall]], 0)</f>
        <v>0</v>
      </c>
      <c r="CL31" s="58">
        <f>Table1[[#This Row],[Check 3 Per Student Savings]]*CK31</f>
        <v>0</v>
      </c>
      <c r="CM31" s="21">
        <f>IF(Table1[[#This Row],[Check 3 Status]]="Continued", Table1[[#This Row],[Check 3 Students Spring]], 0)</f>
        <v>0</v>
      </c>
      <c r="CN31" s="58">
        <f>Table1[[#This Row],[Check 3 Per Student Savings]]*CM31</f>
        <v>0</v>
      </c>
      <c r="CO31" s="21">
        <f t="shared" si="23"/>
        <v>0</v>
      </c>
      <c r="CP31" s="58">
        <f t="shared" si="24"/>
        <v>0</v>
      </c>
      <c r="CQ31" s="58" t="s">
        <v>1777</v>
      </c>
      <c r="CR31" s="21"/>
      <c r="CS31" s="21"/>
      <c r="CT31" s="21"/>
      <c r="CU31" s="21">
        <f t="shared" si="25"/>
        <v>0</v>
      </c>
      <c r="CV31" s="58">
        <v>0</v>
      </c>
      <c r="CW31" s="58">
        <f t="shared" si="26"/>
        <v>0</v>
      </c>
      <c r="CX31" s="58"/>
      <c r="CY31" s="21">
        <f>IF(Table1[[#This Row],[Check 4 Status]]="Continued", Table1[[#This Row],[Check 4 Students Summer]], 0)</f>
        <v>0</v>
      </c>
      <c r="CZ31" s="58">
        <f>Table1[[#This Row],[Check 4 Per Student Savings]]*CY31</f>
        <v>0</v>
      </c>
      <c r="DA31" s="21">
        <f>IF(Table1[[#This Row],[Check 4 Status]]="Continued", Table1[[#This Row],[Check 4 Students Fall]], 0)</f>
        <v>0</v>
      </c>
      <c r="DB31" s="58">
        <f>Table1[[#This Row],[Check 4 Per Student Savings]]*DA31</f>
        <v>0</v>
      </c>
      <c r="DC31" s="21">
        <f>IF(Table1[[#This Row],[Check 4 Status]]="Continued", Table1[[#This Row],[Check 4 Students Spring]], 0)</f>
        <v>0</v>
      </c>
      <c r="DD31" s="58">
        <f>Table1[[#This Row],[Check 4 Per Student Savings]]*DC31</f>
        <v>0</v>
      </c>
      <c r="DE31" s="58">
        <f t="shared" si="27"/>
        <v>0</v>
      </c>
      <c r="DF31" s="58">
        <f t="shared" si="28"/>
        <v>0</v>
      </c>
      <c r="DG3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5733.333333333333</v>
      </c>
      <c r="DH3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346293.33333333331</v>
      </c>
      <c r="DI31" s="58">
        <f>Table1[[#This Row],[Grand Total Savings]]/Table1[[#This Row],[Total Award]]</f>
        <v>32.064197530864199</v>
      </c>
      <c r="DJ31" s="17"/>
      <c r="DK31" s="17"/>
      <c r="DL31" s="17"/>
      <c r="DM31" s="17"/>
      <c r="EC31" s="17"/>
      <c r="ED31" s="17"/>
      <c r="EE31" s="17"/>
      <c r="EF31" s="17"/>
    </row>
    <row r="32" spans="1:136" x14ac:dyDescent="0.25">
      <c r="A32" s="157" t="s">
        <v>329</v>
      </c>
      <c r="B32" s="17" t="s">
        <v>2011</v>
      </c>
      <c r="D32" s="97">
        <v>510038</v>
      </c>
      <c r="E32" s="158">
        <v>42306</v>
      </c>
      <c r="F32" s="158">
        <v>42380</v>
      </c>
      <c r="G32" s="159" t="s">
        <v>330</v>
      </c>
      <c r="H32" s="95" t="s">
        <v>10</v>
      </c>
      <c r="I32" s="226" t="s">
        <v>118</v>
      </c>
      <c r="J32" s="17" t="s">
        <v>172</v>
      </c>
      <c r="K32" s="107">
        <v>10800</v>
      </c>
      <c r="L32" s="107"/>
      <c r="M32" s="101" t="s">
        <v>331</v>
      </c>
      <c r="N32" s="101" t="s">
        <v>332</v>
      </c>
      <c r="O32" s="101" t="s">
        <v>315</v>
      </c>
      <c r="P32" s="101" t="s">
        <v>333</v>
      </c>
      <c r="Q32" s="101" t="s">
        <v>317</v>
      </c>
      <c r="R32" s="101" t="s">
        <v>315</v>
      </c>
      <c r="S32" s="160" t="s">
        <v>36</v>
      </c>
      <c r="T32" s="17" t="s">
        <v>129</v>
      </c>
      <c r="U32" s="101" t="s">
        <v>287</v>
      </c>
      <c r="V32" s="17" t="s">
        <v>150</v>
      </c>
      <c r="W32" s="17" t="s">
        <v>150</v>
      </c>
      <c r="X32" s="17" t="s">
        <v>150</v>
      </c>
      <c r="Y32" s="58">
        <v>600000</v>
      </c>
      <c r="Z32" s="31">
        <v>2600</v>
      </c>
      <c r="AA32" s="58">
        <f t="shared" ref="AA32:AA46" si="53">Y32/Z32</f>
        <v>230.76923076923077</v>
      </c>
      <c r="AB32" s="21">
        <f t="shared" si="1"/>
        <v>866.66666666666663</v>
      </c>
      <c r="AC32" s="21">
        <f t="shared" si="2"/>
        <v>866.66666666666663</v>
      </c>
      <c r="AD32" s="21">
        <f t="shared" si="3"/>
        <v>866.66666666666663</v>
      </c>
      <c r="AE32" s="17" t="s">
        <v>208</v>
      </c>
      <c r="AF32" s="17" t="s">
        <v>129</v>
      </c>
      <c r="AG32" s="17"/>
      <c r="AI32" s="17" t="s">
        <v>130</v>
      </c>
      <c r="AJ32" s="21">
        <v>0</v>
      </c>
      <c r="AK32" s="58">
        <v>0</v>
      </c>
      <c r="AL32" s="21">
        <v>0</v>
      </c>
      <c r="AM32" s="58">
        <f t="shared" si="52"/>
        <v>0</v>
      </c>
      <c r="AN32" s="21">
        <v>0</v>
      </c>
      <c r="AO32" s="58">
        <f t="shared" si="7"/>
        <v>0</v>
      </c>
      <c r="AP32" s="21">
        <f>Table1[[#This Row],[Students Per Fall]]</f>
        <v>866.66666666666663</v>
      </c>
      <c r="AQ32" s="58">
        <f t="shared" si="8"/>
        <v>200000</v>
      </c>
      <c r="AR32" s="21">
        <f>IF(Table1[[#This Row],[Sustainability Check 1 (2017-2018) Status]]="Continued", Table1[[#This Row],[Students Per Spring]], 0)</f>
        <v>866.66666666666663</v>
      </c>
      <c r="AS32" s="58">
        <f t="shared" si="9"/>
        <v>200000</v>
      </c>
      <c r="AT32" s="21">
        <f t="shared" si="40"/>
        <v>1733.3333333333333</v>
      </c>
      <c r="AU32" s="58">
        <f t="shared" si="29"/>
        <v>400000</v>
      </c>
      <c r="AV32" s="21">
        <f>IF(Table1[[#This Row],[Sustainability Check 1 (2017-2018) Status]]="Continued", Table1[[#This Row],[Students Per Summer]], 0)</f>
        <v>866.66666666666663</v>
      </c>
      <c r="AW32" s="58">
        <f t="shared" si="41"/>
        <v>200000</v>
      </c>
      <c r="AX32" s="31">
        <f>IF(Table1[[#This Row],[Sustainability Check 1 (2017-2018) Status]]="Continued", Table1[[#This Row],[Students Per Fall]], 0)</f>
        <v>866.66666666666663</v>
      </c>
      <c r="AY32" s="58">
        <f t="shared" si="42"/>
        <v>200000</v>
      </c>
      <c r="AZ32" s="31">
        <f>IF(Table1[[#This Row],[Sustainability Check 1 (2017-2018) Status]]="Continued", Table1[[#This Row],[Students Per Spring]], 0)</f>
        <v>866.66666666666663</v>
      </c>
      <c r="BA32" s="58">
        <f t="shared" si="43"/>
        <v>200000</v>
      </c>
      <c r="BB32" s="31">
        <f t="shared" si="44"/>
        <v>2600</v>
      </c>
      <c r="BC32" s="58">
        <f t="shared" si="45"/>
        <v>600000</v>
      </c>
      <c r="BD32" s="31">
        <f>IF(Table1[[#This Row],[Sustainability Check 1 (2017-2018) Status]]="Continued", Table1[[#This Row],[Students Per Summer]], 0)</f>
        <v>866.66666666666663</v>
      </c>
      <c r="BE32" s="58">
        <f t="shared" si="46"/>
        <v>200000</v>
      </c>
      <c r="BF32" s="31">
        <f>IF(Table1[[#This Row],[Sustainability Check 1 (2017-2018) Status]]="Continued", Table1[[#This Row],[Students Per Fall]], 0)</f>
        <v>866.66666666666663</v>
      </c>
      <c r="BG32" s="58">
        <f t="shared" si="47"/>
        <v>200000</v>
      </c>
      <c r="BH32" s="31">
        <f>IF(Table1[[#This Row],[Sustainability Check 1 (2017-2018) Status]]="Continued", Table1[[#This Row],[Students Per Spring]], 0)</f>
        <v>866.66666666666663</v>
      </c>
      <c r="BI32" s="58">
        <f t="shared" si="48"/>
        <v>200000</v>
      </c>
      <c r="BJ32" s="31">
        <f t="shared" si="49"/>
        <v>2600</v>
      </c>
      <c r="BK32" s="58">
        <f t="shared" si="50"/>
        <v>600000</v>
      </c>
      <c r="BL32" s="58" t="s">
        <v>130</v>
      </c>
      <c r="BM32" s="31">
        <v>0</v>
      </c>
      <c r="BN32" s="31">
        <v>150</v>
      </c>
      <c r="BO32" s="31">
        <v>50</v>
      </c>
      <c r="BP32" s="31">
        <f t="shared" si="51"/>
        <v>200</v>
      </c>
      <c r="BQ32" s="96">
        <v>299.95</v>
      </c>
      <c r="BR32" s="58">
        <f>Table1[[#This Row],[Check 2 Students Total]]*Table1[[#This Row],[Summer 2018 Price Check]]</f>
        <v>59990</v>
      </c>
      <c r="BS32" s="31">
        <f>IF(Table1[[#This Row],[Sustainability Check 2 (2018-2019) Status]]="Continued", Table1[[#This Row],[Check 2 Students Summer]], 0)</f>
        <v>0</v>
      </c>
      <c r="BT32" s="58">
        <f>Table1[[#This Row],[Summer 2018 Price Check]]*BS32</f>
        <v>0</v>
      </c>
      <c r="BU32" s="31">
        <f>IF(Table1[[#This Row],[Sustainability Check 2 (2018-2019) Status]]="Continued", Table1[[#This Row],[Check 2 Students Fall]], 0)</f>
        <v>150</v>
      </c>
      <c r="BV32" s="58">
        <f>Table1[[#This Row],[Summer 2018 Price Check]]*BU32</f>
        <v>44992.5</v>
      </c>
      <c r="BW32" s="21">
        <f>IF(Table1[[#This Row],[Sustainability Check 2 (2018-2019) Status]]="Continued", Table1[Check 2 Students Spring], 0)</f>
        <v>50</v>
      </c>
      <c r="BX32" s="58">
        <f>Table1[[#This Row],[Summer 2018 Price Check]]*Table1[[#This Row],[Spring 2019 Students]]</f>
        <v>14997.5</v>
      </c>
      <c r="BY32" s="31">
        <f t="shared" si="19"/>
        <v>200</v>
      </c>
      <c r="BZ32" s="58">
        <f t="shared" si="20"/>
        <v>59990</v>
      </c>
      <c r="CA32" s="58" t="s">
        <v>130</v>
      </c>
      <c r="CB32" s="21">
        <v>0</v>
      </c>
      <c r="CC32" s="21">
        <v>180</v>
      </c>
      <c r="CD32" s="21">
        <v>100</v>
      </c>
      <c r="CE32" s="21">
        <f t="shared" si="21"/>
        <v>280</v>
      </c>
      <c r="CF32" s="58">
        <v>100</v>
      </c>
      <c r="CG32" s="58">
        <f t="shared" si="22"/>
        <v>28000</v>
      </c>
      <c r="CH32" s="17" t="s">
        <v>208</v>
      </c>
      <c r="CI32" s="21">
        <f>IF(Table1[[#This Row],[Check 3 Status]]="Continued", Table1[[#This Row],[Check 3 Students Summer]], 0)</f>
        <v>0</v>
      </c>
      <c r="CJ32" s="58">
        <f>Table1[[#This Row],[Check 3 Per Student Savings]]*CI32</f>
        <v>0</v>
      </c>
      <c r="CK32" s="21">
        <f>IF(Table1[[#This Row],[Check 3 Status]]="Continued", Table1[[#This Row],[Check 3 Students Fall]], 0)</f>
        <v>180</v>
      </c>
      <c r="CL32" s="58">
        <f>Table1[[#This Row],[Check 3 Per Student Savings]]*CK32</f>
        <v>18000</v>
      </c>
      <c r="CM32" s="21">
        <f>IF(Table1[[#This Row],[Check 3 Status]]="Continued", Table1[[#This Row],[Check 3 Students Spring]], 0)</f>
        <v>100</v>
      </c>
      <c r="CN32" s="58">
        <f>Table1[[#This Row],[Check 3 Per Student Savings]]*CM32</f>
        <v>10000</v>
      </c>
      <c r="CO32" s="21">
        <f t="shared" si="23"/>
        <v>280</v>
      </c>
      <c r="CP32" s="58">
        <f t="shared" si="24"/>
        <v>28000</v>
      </c>
      <c r="CQ32" s="58" t="s">
        <v>130</v>
      </c>
      <c r="CR32" s="21">
        <v>0</v>
      </c>
      <c r="CS32" s="21">
        <v>180</v>
      </c>
      <c r="CT32" s="21">
        <v>100</v>
      </c>
      <c r="CU32" s="21">
        <f t="shared" si="25"/>
        <v>280</v>
      </c>
      <c r="CV32" s="58">
        <v>100</v>
      </c>
      <c r="CW32" s="58">
        <f t="shared" si="26"/>
        <v>28000</v>
      </c>
      <c r="CX32" s="58"/>
      <c r="CY32" s="21">
        <f>IF(Table1[[#This Row],[Check 4 Status]]="Continued", Table1[[#This Row],[Check 4 Students Summer]], 0)</f>
        <v>0</v>
      </c>
      <c r="CZ32" s="58">
        <f>Table1[[#This Row],[Check 4 Per Student Savings]]*CY32</f>
        <v>0</v>
      </c>
      <c r="DA32" s="21">
        <f>IF(Table1[[#This Row],[Check 4 Status]]="Continued", Table1[[#This Row],[Check 4 Students Fall]], 0)</f>
        <v>180</v>
      </c>
      <c r="DB32" s="58">
        <f>Table1[[#This Row],[Check 4 Per Student Savings]]*DA32</f>
        <v>18000</v>
      </c>
      <c r="DC32" s="21">
        <f>IF(Table1[[#This Row],[Check 4 Status]]="Continued", Table1[[#This Row],[Check 4 Students Spring]], 0)</f>
        <v>100</v>
      </c>
      <c r="DD32" s="58">
        <f>Table1[[#This Row],[Check 4 Per Student Savings]]*DC32</f>
        <v>10000</v>
      </c>
      <c r="DE32" s="58">
        <f t="shared" si="27"/>
        <v>280</v>
      </c>
      <c r="DF32" s="58">
        <f t="shared" si="28"/>
        <v>28000</v>
      </c>
      <c r="DG3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7693.333333333333</v>
      </c>
      <c r="DH3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1715990</v>
      </c>
      <c r="DI32" s="58">
        <f>Table1[[#This Row],[Grand Total Savings]]/Table1[[#This Row],[Total Award]]</f>
        <v>158.88796296296297</v>
      </c>
      <c r="DJ32" s="17"/>
      <c r="DK32" s="17"/>
      <c r="DL32" s="17"/>
      <c r="DM32" s="17"/>
      <c r="EC32" s="17"/>
      <c r="ED32" s="17"/>
      <c r="EE32" s="17"/>
      <c r="EF32" s="17"/>
    </row>
    <row r="33" spans="1:136" x14ac:dyDescent="0.25">
      <c r="A33" s="159" t="s">
        <v>334</v>
      </c>
      <c r="B33" s="17" t="s">
        <v>2011</v>
      </c>
      <c r="D33" s="97">
        <v>510032</v>
      </c>
      <c r="E33" s="158">
        <v>42111</v>
      </c>
      <c r="F33" s="158">
        <v>42380</v>
      </c>
      <c r="G33" s="159" t="s">
        <v>330</v>
      </c>
      <c r="H33" s="95" t="s">
        <v>10</v>
      </c>
      <c r="I33" s="226" t="s">
        <v>118</v>
      </c>
      <c r="J33" s="17" t="s">
        <v>179</v>
      </c>
      <c r="K33" s="107">
        <v>10800</v>
      </c>
      <c r="L33" s="107"/>
      <c r="M33" s="101" t="s">
        <v>335</v>
      </c>
      <c r="N33" s="101" t="s">
        <v>336</v>
      </c>
      <c r="O33" s="101" t="s">
        <v>337</v>
      </c>
      <c r="P33" s="101" t="s">
        <v>338</v>
      </c>
      <c r="Q33" s="101" t="s">
        <v>148</v>
      </c>
      <c r="R33" s="101" t="s">
        <v>215</v>
      </c>
      <c r="S33" s="160" t="s">
        <v>36</v>
      </c>
      <c r="T33" s="17" t="s">
        <v>129</v>
      </c>
      <c r="U33" s="160" t="s">
        <v>216</v>
      </c>
      <c r="V33" s="17" t="s">
        <v>150</v>
      </c>
      <c r="W33" s="17" t="s">
        <v>127</v>
      </c>
      <c r="X33" s="17" t="s">
        <v>127</v>
      </c>
      <c r="Y33" s="58">
        <v>79600.5</v>
      </c>
      <c r="Z33" s="17">
        <v>525</v>
      </c>
      <c r="AA33" s="58">
        <f t="shared" si="53"/>
        <v>151.62</v>
      </c>
      <c r="AB33" s="21">
        <f t="shared" si="1"/>
        <v>175</v>
      </c>
      <c r="AC33" s="21">
        <f t="shared" si="2"/>
        <v>175</v>
      </c>
      <c r="AD33" s="21">
        <f t="shared" si="3"/>
        <v>175</v>
      </c>
      <c r="AE33" s="17" t="s">
        <v>208</v>
      </c>
      <c r="AF33" s="17" t="s">
        <v>129</v>
      </c>
      <c r="AG33" s="17"/>
      <c r="AI33" s="17" t="s">
        <v>142</v>
      </c>
      <c r="AJ33" s="21">
        <v>0</v>
      </c>
      <c r="AK33" s="58">
        <v>0</v>
      </c>
      <c r="AL33" s="21">
        <v>0</v>
      </c>
      <c r="AM33" s="58">
        <f t="shared" si="52"/>
        <v>0</v>
      </c>
      <c r="AN33" s="21">
        <v>0</v>
      </c>
      <c r="AO33" s="58">
        <f t="shared" si="7"/>
        <v>0</v>
      </c>
      <c r="AP33" s="21">
        <f>Table1[[#This Row],[Students Per Fall]]</f>
        <v>175</v>
      </c>
      <c r="AQ33" s="58">
        <f t="shared" si="8"/>
        <v>26533.5</v>
      </c>
      <c r="AR33" s="21">
        <f>IF(Table1[[#This Row],[Sustainability Check 1 (2017-2018) Status]]="Continued", Table1[[#This Row],[Students Per Spring]], 0)</f>
        <v>0</v>
      </c>
      <c r="AS33" s="58">
        <f t="shared" si="9"/>
        <v>0</v>
      </c>
      <c r="AT33" s="21">
        <f t="shared" si="40"/>
        <v>175</v>
      </c>
      <c r="AU33" s="58">
        <f t="shared" si="29"/>
        <v>26533.5</v>
      </c>
      <c r="AV33" s="21">
        <f>IF(Table1[[#This Row],[Sustainability Check 1 (2017-2018) Status]]="Continued", Table1[[#This Row],[Students Per Summer]], 0)</f>
        <v>0</v>
      </c>
      <c r="AW33" s="58">
        <f t="shared" si="41"/>
        <v>0</v>
      </c>
      <c r="AX33" s="31">
        <f>IF(Table1[[#This Row],[Sustainability Check 1 (2017-2018) Status]]="Continued", Table1[[#This Row],[Students Per Fall]], 0)</f>
        <v>0</v>
      </c>
      <c r="AY33" s="58">
        <f t="shared" si="42"/>
        <v>0</v>
      </c>
      <c r="AZ33" s="31">
        <f>IF(Table1[[#This Row],[Sustainability Check 1 (2017-2018) Status]]="Continued", Table1[[#This Row],[Students Per Spring]], 0)</f>
        <v>0</v>
      </c>
      <c r="BA33" s="58">
        <f t="shared" si="43"/>
        <v>0</v>
      </c>
      <c r="BB33" s="31">
        <f t="shared" si="44"/>
        <v>0</v>
      </c>
      <c r="BC33" s="58">
        <f t="shared" si="45"/>
        <v>0</v>
      </c>
      <c r="BD33" s="31">
        <f>IF(Table1[[#This Row],[Sustainability Check 1 (2017-2018) Status]]="Continued", Table1[[#This Row],[Students Per Summer]], 0)</f>
        <v>0</v>
      </c>
      <c r="BE33" s="58">
        <f t="shared" si="46"/>
        <v>0</v>
      </c>
      <c r="BF33" s="31">
        <f>IF(Table1[[#This Row],[Sustainability Check 1 (2017-2018) Status]]="Continued", Table1[[#This Row],[Students Per Fall]], 0)</f>
        <v>0</v>
      </c>
      <c r="BG33" s="58">
        <f t="shared" si="47"/>
        <v>0</v>
      </c>
      <c r="BH33" s="31">
        <f>IF(Table1[[#This Row],[Sustainability Check 1 (2017-2018) Status]]="Continued", Table1[[#This Row],[Students Per Spring]], 0)</f>
        <v>0</v>
      </c>
      <c r="BI33" s="58">
        <f t="shared" si="48"/>
        <v>0</v>
      </c>
      <c r="BJ33" s="31">
        <f t="shared" si="49"/>
        <v>0</v>
      </c>
      <c r="BK33" s="58">
        <f t="shared" si="50"/>
        <v>0</v>
      </c>
      <c r="BL33" s="58" t="s">
        <v>142</v>
      </c>
      <c r="BM33" s="31">
        <v>0</v>
      </c>
      <c r="BN33" s="31">
        <v>0</v>
      </c>
      <c r="BO33" s="31">
        <v>0</v>
      </c>
      <c r="BP33" s="31">
        <f t="shared" si="51"/>
        <v>0</v>
      </c>
      <c r="BQ33" s="96">
        <v>277.2</v>
      </c>
      <c r="BR33" s="58">
        <f>Table1[[#This Row],[Check 2 Students Total]]*Table1[[#This Row],[Summer 2018 Price Check]]</f>
        <v>0</v>
      </c>
      <c r="BS33" s="31">
        <f>IF(Table1[[#This Row],[Sustainability Check 2 (2018-2019) Status]]="Continued", Table1[[#This Row],[Check 2 Students Summer]], 0)</f>
        <v>0</v>
      </c>
      <c r="BT33" s="58">
        <f>Table1[[#This Row],[Summer 2018 Price Check]]*BS33</f>
        <v>0</v>
      </c>
      <c r="BU33" s="31">
        <f>IF(Table1[[#This Row],[Sustainability Check 2 (2018-2019) Status]]="Continued", Table1[[#This Row],[Check 2 Students Fall]], 0)</f>
        <v>0</v>
      </c>
      <c r="BV33" s="58">
        <f>Table1[[#This Row],[Summer 2018 Price Check]]*BU33</f>
        <v>0</v>
      </c>
      <c r="BW33" s="21">
        <f>IF(Table1[[#This Row],[Sustainability Check 2 (2018-2019) Status]]="Continued", Table1[Check 2 Students Spring], 0)</f>
        <v>0</v>
      </c>
      <c r="BX33" s="58">
        <f>Table1[[#This Row],[Summer 2018 Price Check]]*Table1[[#This Row],[Spring 2019 Students]]</f>
        <v>0</v>
      </c>
      <c r="BY33" s="31">
        <f t="shared" si="19"/>
        <v>0</v>
      </c>
      <c r="BZ33" s="58">
        <f t="shared" si="20"/>
        <v>0</v>
      </c>
      <c r="CA33" s="58" t="s">
        <v>142</v>
      </c>
      <c r="CB33" s="21">
        <v>0</v>
      </c>
      <c r="CC33" s="21">
        <v>0</v>
      </c>
      <c r="CD33" s="21">
        <v>0</v>
      </c>
      <c r="CE33" s="21">
        <f t="shared" si="21"/>
        <v>0</v>
      </c>
      <c r="CF33" s="58">
        <v>0</v>
      </c>
      <c r="CG33" s="58">
        <f t="shared" si="22"/>
        <v>0</v>
      </c>
      <c r="CH33" s="17" t="s">
        <v>208</v>
      </c>
      <c r="CI33" s="21">
        <f>IF(Table1[[#This Row],[Check 3 Status]]="Continued", Table1[[#This Row],[Check 3 Students Summer]], 0)</f>
        <v>0</v>
      </c>
      <c r="CJ33" s="58">
        <f>Table1[[#This Row],[Check 3 Per Student Savings]]*CI33</f>
        <v>0</v>
      </c>
      <c r="CK33" s="21">
        <f>IF(Table1[[#This Row],[Check 3 Status]]="Continued", Table1[[#This Row],[Check 3 Students Fall]], 0)</f>
        <v>0</v>
      </c>
      <c r="CL33" s="58">
        <f>Table1[[#This Row],[Check 3 Per Student Savings]]*CK33</f>
        <v>0</v>
      </c>
      <c r="CM33" s="21">
        <f>IF(Table1[[#This Row],[Check 3 Status]]="Continued", Table1[[#This Row],[Check 3 Students Spring]], 0)</f>
        <v>0</v>
      </c>
      <c r="CN33" s="58">
        <f>Table1[[#This Row],[Check 3 Per Student Savings]]*CM33</f>
        <v>0</v>
      </c>
      <c r="CO33" s="21">
        <f t="shared" si="23"/>
        <v>0</v>
      </c>
      <c r="CP33" s="58">
        <f t="shared" si="24"/>
        <v>0</v>
      </c>
      <c r="CQ33" s="58" t="s">
        <v>142</v>
      </c>
      <c r="CR33" s="21">
        <v>0</v>
      </c>
      <c r="CS33" s="21">
        <v>0</v>
      </c>
      <c r="CT33" s="21">
        <v>0</v>
      </c>
      <c r="CU33" s="21">
        <f t="shared" si="25"/>
        <v>0</v>
      </c>
      <c r="CV33" s="58">
        <v>0</v>
      </c>
      <c r="CW33" s="58">
        <f t="shared" si="26"/>
        <v>0</v>
      </c>
      <c r="CX33" s="58"/>
      <c r="CY33" s="21">
        <f>IF(Table1[[#This Row],[Check 4 Status]]="Continued", Table1[[#This Row],[Check 4 Students Summer]], 0)</f>
        <v>0</v>
      </c>
      <c r="CZ33" s="58">
        <f>Table1[[#This Row],[Check 4 Per Student Savings]]*CY33</f>
        <v>0</v>
      </c>
      <c r="DA33" s="21">
        <f>IF(Table1[[#This Row],[Check 4 Status]]="Continued", Table1[[#This Row],[Check 4 Students Fall]], 0)</f>
        <v>0</v>
      </c>
      <c r="DB33" s="58">
        <f>Table1[[#This Row],[Check 4 Per Student Savings]]*DA33</f>
        <v>0</v>
      </c>
      <c r="DC33" s="21">
        <f>IF(Table1[[#This Row],[Check 4 Status]]="Continued", Table1[[#This Row],[Check 4 Students Spring]], 0)</f>
        <v>0</v>
      </c>
      <c r="DD33" s="58">
        <f>Table1[[#This Row],[Check 4 Per Student Savings]]*DC33</f>
        <v>0</v>
      </c>
      <c r="DE33" s="58">
        <f t="shared" si="27"/>
        <v>0</v>
      </c>
      <c r="DF33" s="58">
        <f t="shared" si="28"/>
        <v>0</v>
      </c>
      <c r="DG3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175</v>
      </c>
      <c r="DH3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26533.5</v>
      </c>
      <c r="DI33" s="58">
        <f>Table1[[#This Row],[Grand Total Savings]]/Table1[[#This Row],[Total Award]]</f>
        <v>2.4568055555555555</v>
      </c>
      <c r="DJ33" s="17"/>
      <c r="DK33" s="17"/>
      <c r="DL33" s="17"/>
      <c r="DM33" s="17"/>
      <c r="EC33" s="17"/>
      <c r="ED33" s="17"/>
      <c r="EE33" s="17"/>
      <c r="EF33" s="17"/>
    </row>
    <row r="34" spans="1:136" x14ac:dyDescent="0.25">
      <c r="A34" s="159" t="s">
        <v>339</v>
      </c>
      <c r="B34" s="17" t="s">
        <v>2011</v>
      </c>
      <c r="D34" s="97">
        <v>510035</v>
      </c>
      <c r="E34" s="158">
        <v>42380</v>
      </c>
      <c r="F34" s="158">
        <v>42619</v>
      </c>
      <c r="G34" s="159" t="s">
        <v>330</v>
      </c>
      <c r="H34" s="95" t="s">
        <v>10</v>
      </c>
      <c r="I34" s="226" t="s">
        <v>118</v>
      </c>
      <c r="J34" s="17" t="s">
        <v>243</v>
      </c>
      <c r="K34" s="107">
        <v>10800</v>
      </c>
      <c r="L34" s="107"/>
      <c r="M34" s="101" t="s">
        <v>340</v>
      </c>
      <c r="N34" s="101" t="s">
        <v>341</v>
      </c>
      <c r="O34" s="101" t="s">
        <v>342</v>
      </c>
      <c r="P34" s="101" t="s">
        <v>343</v>
      </c>
      <c r="Q34" s="101" t="s">
        <v>206</v>
      </c>
      <c r="R34" s="101" t="s">
        <v>129</v>
      </c>
      <c r="S34" s="160" t="s">
        <v>36</v>
      </c>
      <c r="T34" s="17" t="s">
        <v>129</v>
      </c>
      <c r="U34" s="101" t="s">
        <v>157</v>
      </c>
      <c r="V34" s="17" t="s">
        <v>150</v>
      </c>
      <c r="W34" s="17" t="s">
        <v>127</v>
      </c>
      <c r="X34" s="17" t="s">
        <v>127</v>
      </c>
      <c r="Y34" s="58">
        <v>14100</v>
      </c>
      <c r="Z34" s="17">
        <v>30</v>
      </c>
      <c r="AA34" s="58">
        <f t="shared" si="53"/>
        <v>470</v>
      </c>
      <c r="AB34" s="21">
        <f t="shared" si="1"/>
        <v>10</v>
      </c>
      <c r="AC34" s="21">
        <f t="shared" si="2"/>
        <v>10</v>
      </c>
      <c r="AD34" s="21">
        <f t="shared" si="3"/>
        <v>10</v>
      </c>
      <c r="AE34" s="17" t="s">
        <v>208</v>
      </c>
      <c r="AF34" s="17" t="s">
        <v>129</v>
      </c>
      <c r="AG34" s="17"/>
      <c r="AI34" s="17" t="s">
        <v>130</v>
      </c>
      <c r="AJ34" s="21">
        <v>0</v>
      </c>
      <c r="AK34" s="58">
        <v>0</v>
      </c>
      <c r="AL34" s="21">
        <v>0</v>
      </c>
      <c r="AM34" s="58">
        <f t="shared" si="52"/>
        <v>0</v>
      </c>
      <c r="AN34" s="21">
        <v>0</v>
      </c>
      <c r="AO34" s="58">
        <f t="shared" ref="AO34:AO65" si="54">$AA34*AN34</f>
        <v>0</v>
      </c>
      <c r="AP34" s="21">
        <f>Table1[[#This Row],[Students Per Fall]]</f>
        <v>10</v>
      </c>
      <c r="AQ34" s="58">
        <f t="shared" ref="AQ34:AQ65" si="55">$AA34*AP34</f>
        <v>4700</v>
      </c>
      <c r="AR34" s="21">
        <f>IF(Table1[[#This Row],[Sustainability Check 1 (2017-2018) Status]]="Continued", Table1[[#This Row],[Students Per Spring]], 0)</f>
        <v>10</v>
      </c>
      <c r="AS34" s="58">
        <f t="shared" ref="AS34:AS65" si="56">$AA34*AR34</f>
        <v>4700</v>
      </c>
      <c r="AT34" s="21">
        <f t="shared" si="40"/>
        <v>20</v>
      </c>
      <c r="AU34" s="58">
        <f t="shared" si="29"/>
        <v>9400</v>
      </c>
      <c r="AV34" s="21">
        <f>IF(Table1[[#This Row],[Sustainability Check 1 (2017-2018) Status]]="Continued", Table1[[#This Row],[Students Per Summer]], 0)</f>
        <v>10</v>
      </c>
      <c r="AW34" s="58">
        <f t="shared" si="41"/>
        <v>4700</v>
      </c>
      <c r="AX34" s="31">
        <f>IF(Table1[[#This Row],[Sustainability Check 1 (2017-2018) Status]]="Continued", Table1[[#This Row],[Students Per Fall]], 0)</f>
        <v>10</v>
      </c>
      <c r="AY34" s="58">
        <f t="shared" si="42"/>
        <v>4700</v>
      </c>
      <c r="AZ34" s="31">
        <f>IF(Table1[[#This Row],[Sustainability Check 1 (2017-2018) Status]]="Continued", Table1[[#This Row],[Students Per Spring]], 0)</f>
        <v>10</v>
      </c>
      <c r="BA34" s="58">
        <f t="shared" si="43"/>
        <v>4700</v>
      </c>
      <c r="BB34" s="31">
        <f t="shared" si="44"/>
        <v>30</v>
      </c>
      <c r="BC34" s="58">
        <f t="shared" si="45"/>
        <v>14100</v>
      </c>
      <c r="BD34" s="31">
        <f>IF(Table1[[#This Row],[Sustainability Check 1 (2017-2018) Status]]="Continued", Table1[[#This Row],[Students Per Summer]], 0)</f>
        <v>10</v>
      </c>
      <c r="BE34" s="58">
        <f t="shared" si="46"/>
        <v>4700</v>
      </c>
      <c r="BF34" s="31">
        <f>IF(Table1[[#This Row],[Sustainability Check 1 (2017-2018) Status]]="Continued", Table1[[#This Row],[Students Per Fall]], 0)</f>
        <v>10</v>
      </c>
      <c r="BG34" s="58">
        <f t="shared" si="47"/>
        <v>4700</v>
      </c>
      <c r="BH34" s="31">
        <f>IF(Table1[[#This Row],[Sustainability Check 1 (2017-2018) Status]]="Continued", Table1[[#This Row],[Students Per Spring]], 0)</f>
        <v>10</v>
      </c>
      <c r="BI34" s="58">
        <f t="shared" si="48"/>
        <v>4700</v>
      </c>
      <c r="BJ34" s="31">
        <f t="shared" si="49"/>
        <v>30</v>
      </c>
      <c r="BK34" s="58">
        <f t="shared" si="50"/>
        <v>14100</v>
      </c>
      <c r="BL34" s="58" t="s">
        <v>130</v>
      </c>
      <c r="BM34" s="31">
        <v>0</v>
      </c>
      <c r="BN34" s="31">
        <v>38</v>
      </c>
      <c r="BO34" s="31">
        <v>38</v>
      </c>
      <c r="BP34" s="31">
        <f t="shared" si="51"/>
        <v>76</v>
      </c>
      <c r="BQ34" s="58">
        <v>299.05</v>
      </c>
      <c r="BR34" s="58">
        <f>Table1[[#This Row],[Check 2 Students Total]]*Table1[[#This Row],[Summer 2018 Price Check]]</f>
        <v>22727.8</v>
      </c>
      <c r="BS34" s="31">
        <f>IF(Table1[[#This Row],[Sustainability Check 2 (2018-2019) Status]]="Continued", Table1[[#This Row],[Check 2 Students Summer]], 0)</f>
        <v>0</v>
      </c>
      <c r="BT34" s="58">
        <f>Table1[[#This Row],[Summer 2018 Price Check]]*BS34</f>
        <v>0</v>
      </c>
      <c r="BU34" s="31">
        <f>IF(Table1[[#This Row],[Sustainability Check 2 (2018-2019) Status]]="Continued", Table1[[#This Row],[Check 2 Students Fall]], 0)</f>
        <v>38</v>
      </c>
      <c r="BV34" s="58">
        <f>Table1[[#This Row],[Summer 2018 Price Check]]*BU34</f>
        <v>11363.9</v>
      </c>
      <c r="BW34" s="21">
        <f>IF(Table1[[#This Row],[Sustainability Check 2 (2018-2019) Status]]="Continued", Table1[Check 2 Students Spring], 0)</f>
        <v>38</v>
      </c>
      <c r="BX34" s="58">
        <f>Table1[[#This Row],[Summer 2018 Price Check]]*Table1[[#This Row],[Spring 2019 Students]]</f>
        <v>11363.9</v>
      </c>
      <c r="BY34" s="31">
        <f t="shared" si="19"/>
        <v>76</v>
      </c>
      <c r="BZ34" s="58">
        <f t="shared" si="20"/>
        <v>22727.8</v>
      </c>
      <c r="CA34" s="58" t="s">
        <v>130</v>
      </c>
      <c r="CB34" s="21">
        <v>0</v>
      </c>
      <c r="CC34" s="21">
        <v>38</v>
      </c>
      <c r="CD34" s="21">
        <v>38</v>
      </c>
      <c r="CE34" s="21">
        <f t="shared" ref="CE34:CE65" si="57">CB34+CC34+CD34</f>
        <v>76</v>
      </c>
      <c r="CF34" s="58">
        <v>470</v>
      </c>
      <c r="CG34" s="58">
        <f t="shared" si="22"/>
        <v>35720</v>
      </c>
      <c r="CH34" s="17" t="s">
        <v>208</v>
      </c>
      <c r="CI34" s="21">
        <f>IF(Table1[[#This Row],[Check 3 Status]]="Continued", Table1[[#This Row],[Check 3 Students Summer]], 0)</f>
        <v>0</v>
      </c>
      <c r="CJ34" s="58">
        <f>Table1[[#This Row],[Check 3 Per Student Savings]]*CI34</f>
        <v>0</v>
      </c>
      <c r="CK34" s="21">
        <f>IF(Table1[[#This Row],[Check 3 Status]]="Continued", Table1[[#This Row],[Check 3 Students Fall]], 0)</f>
        <v>38</v>
      </c>
      <c r="CL34" s="58">
        <f>Table1[[#This Row],[Check 3 Per Student Savings]]*CK34</f>
        <v>17860</v>
      </c>
      <c r="CM34" s="21">
        <f>IF(Table1[[#This Row],[Check 3 Status]]="Continued", Table1[[#This Row],[Check 3 Students Spring]], 0)</f>
        <v>38</v>
      </c>
      <c r="CN34" s="58">
        <f>Table1[[#This Row],[Check 3 Per Student Savings]]*CM34</f>
        <v>17860</v>
      </c>
      <c r="CO34" s="21">
        <f t="shared" si="23"/>
        <v>76</v>
      </c>
      <c r="CP34" s="58">
        <f t="shared" si="24"/>
        <v>35720</v>
      </c>
      <c r="CQ34" s="58" t="s">
        <v>130</v>
      </c>
      <c r="CR34" s="21">
        <v>0</v>
      </c>
      <c r="CS34" s="21">
        <v>38</v>
      </c>
      <c r="CT34" s="21">
        <v>38</v>
      </c>
      <c r="CU34" s="21">
        <f t="shared" si="25"/>
        <v>76</v>
      </c>
      <c r="CV34" s="58">
        <v>470</v>
      </c>
      <c r="CW34" s="58">
        <f t="shared" si="26"/>
        <v>35720</v>
      </c>
      <c r="CX34" s="58"/>
      <c r="CY34" s="21">
        <f>IF(Table1[[#This Row],[Check 4 Status]]="Continued", Table1[[#This Row],[Check 4 Students Summer]], 0)</f>
        <v>0</v>
      </c>
      <c r="CZ34" s="58">
        <f>Table1[[#This Row],[Check 4 Per Student Savings]]*CY34</f>
        <v>0</v>
      </c>
      <c r="DA34" s="21">
        <f>IF(Table1[[#This Row],[Check 4 Status]]="Continued", Table1[[#This Row],[Check 4 Students Fall]], 0)</f>
        <v>38</v>
      </c>
      <c r="DB34" s="58">
        <f>Table1[[#This Row],[Check 4 Per Student Savings]]*DA34</f>
        <v>17860</v>
      </c>
      <c r="DC34" s="21">
        <f>IF(Table1[[#This Row],[Check 4 Status]]="Continued", Table1[[#This Row],[Check 4 Students Spring]], 0)</f>
        <v>38</v>
      </c>
      <c r="DD34" s="58">
        <f>Table1[[#This Row],[Check 4 Per Student Savings]]*DC34</f>
        <v>17860</v>
      </c>
      <c r="DE34" s="58">
        <f t="shared" si="27"/>
        <v>76</v>
      </c>
      <c r="DF34" s="58">
        <f t="shared" si="28"/>
        <v>35720</v>
      </c>
      <c r="DG3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308</v>
      </c>
      <c r="DH3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131767.79999999999</v>
      </c>
      <c r="DI34" s="58">
        <f>Table1[[#This Row],[Grand Total Savings]]/Table1[[#This Row],[Total Award]]</f>
        <v>12.200722222222222</v>
      </c>
      <c r="DJ34" s="17"/>
      <c r="DK34" s="17"/>
      <c r="DL34" s="17"/>
      <c r="DM34" s="17"/>
      <c r="EC34" s="17"/>
      <c r="ED34" s="17"/>
      <c r="EE34" s="17"/>
      <c r="EF34" s="17"/>
    </row>
    <row r="35" spans="1:136" x14ac:dyDescent="0.25">
      <c r="A35" s="159" t="s">
        <v>344</v>
      </c>
      <c r="B35" s="17" t="s">
        <v>2011</v>
      </c>
      <c r="D35" s="97">
        <v>510275</v>
      </c>
      <c r="E35" s="158">
        <v>42111</v>
      </c>
      <c r="F35" s="158">
        <v>42514</v>
      </c>
      <c r="G35" s="159" t="s">
        <v>330</v>
      </c>
      <c r="H35" s="95" t="s">
        <v>10</v>
      </c>
      <c r="I35" s="226" t="s">
        <v>118</v>
      </c>
      <c r="J35" s="17" t="s">
        <v>166</v>
      </c>
      <c r="K35" s="107">
        <v>10800</v>
      </c>
      <c r="L35" s="107"/>
      <c r="M35" s="101" t="s">
        <v>345</v>
      </c>
      <c r="N35" s="101" t="s">
        <v>346</v>
      </c>
      <c r="O35" s="101" t="s">
        <v>296</v>
      </c>
      <c r="P35" s="101" t="s">
        <v>347</v>
      </c>
      <c r="Q35" s="101" t="s">
        <v>192</v>
      </c>
      <c r="R35" s="101" t="s">
        <v>298</v>
      </c>
      <c r="S35" s="160" t="s">
        <v>36</v>
      </c>
      <c r="T35" s="17" t="s">
        <v>125</v>
      </c>
      <c r="U35" s="160" t="s">
        <v>348</v>
      </c>
      <c r="V35" s="17" t="s">
        <v>150</v>
      </c>
      <c r="W35" s="17" t="s">
        <v>150</v>
      </c>
      <c r="X35" s="17" t="s">
        <v>150</v>
      </c>
      <c r="Y35" s="58">
        <v>109525</v>
      </c>
      <c r="Z35" s="31">
        <v>1300</v>
      </c>
      <c r="AA35" s="58">
        <f t="shared" si="53"/>
        <v>84.25</v>
      </c>
      <c r="AB35" s="21">
        <f t="shared" si="1"/>
        <v>433.33333333333331</v>
      </c>
      <c r="AC35" s="21">
        <f t="shared" si="2"/>
        <v>433.33333333333331</v>
      </c>
      <c r="AD35" s="21">
        <f t="shared" si="3"/>
        <v>433.33333333333331</v>
      </c>
      <c r="AE35" s="17" t="s">
        <v>208</v>
      </c>
      <c r="AF35" s="17" t="s">
        <v>129</v>
      </c>
      <c r="AG35" s="17"/>
      <c r="AI35" s="17" t="s">
        <v>130</v>
      </c>
      <c r="AJ35" s="21">
        <v>0</v>
      </c>
      <c r="AK35" s="58">
        <v>0</v>
      </c>
      <c r="AL35" s="21">
        <v>0</v>
      </c>
      <c r="AM35" s="58">
        <f t="shared" si="52"/>
        <v>0</v>
      </c>
      <c r="AN35" s="21">
        <v>0</v>
      </c>
      <c r="AO35" s="58">
        <f t="shared" si="54"/>
        <v>0</v>
      </c>
      <c r="AP35" s="21">
        <f>Table1[[#This Row],[Students Per Fall]]</f>
        <v>433.33333333333331</v>
      </c>
      <c r="AQ35" s="58">
        <f t="shared" si="55"/>
        <v>36508.333333333328</v>
      </c>
      <c r="AR35" s="21">
        <f>IF(Table1[[#This Row],[Sustainability Check 1 (2017-2018) Status]]="Continued", Table1[[#This Row],[Students Per Spring]], 0)</f>
        <v>433.33333333333331</v>
      </c>
      <c r="AS35" s="58">
        <f t="shared" si="56"/>
        <v>36508.333333333328</v>
      </c>
      <c r="AT35" s="21">
        <f t="shared" si="40"/>
        <v>866.66666666666663</v>
      </c>
      <c r="AU35" s="58">
        <f t="shared" si="29"/>
        <v>73016.666666666657</v>
      </c>
      <c r="AV35" s="21">
        <f>IF(Table1[[#This Row],[Sustainability Check 1 (2017-2018) Status]]="Continued", Table1[[#This Row],[Students Per Summer]], 0)</f>
        <v>433.33333333333331</v>
      </c>
      <c r="AW35" s="58">
        <f t="shared" si="41"/>
        <v>36508.333333333328</v>
      </c>
      <c r="AX35" s="31">
        <f>IF(Table1[[#This Row],[Sustainability Check 1 (2017-2018) Status]]="Continued", Table1[[#This Row],[Students Per Fall]], 0)</f>
        <v>433.33333333333331</v>
      </c>
      <c r="AY35" s="58">
        <f t="shared" si="42"/>
        <v>36508.333333333328</v>
      </c>
      <c r="AZ35" s="31">
        <f>IF(Table1[[#This Row],[Sustainability Check 1 (2017-2018) Status]]="Continued", Table1[[#This Row],[Students Per Spring]], 0)</f>
        <v>433.33333333333331</v>
      </c>
      <c r="BA35" s="58">
        <f t="shared" si="43"/>
        <v>36508.333333333328</v>
      </c>
      <c r="BB35" s="31">
        <f t="shared" si="44"/>
        <v>1300</v>
      </c>
      <c r="BC35" s="58">
        <f t="shared" si="45"/>
        <v>109524.99999999999</v>
      </c>
      <c r="BD35" s="31">
        <f>IF(Table1[[#This Row],[Sustainability Check 1 (2017-2018) Status]]="Continued", Table1[[#This Row],[Students Per Summer]], 0)</f>
        <v>433.33333333333331</v>
      </c>
      <c r="BE35" s="58">
        <f t="shared" si="46"/>
        <v>36508.333333333328</v>
      </c>
      <c r="BF35" s="31">
        <f>IF(Table1[[#This Row],[Sustainability Check 1 (2017-2018) Status]]="Continued", Table1[[#This Row],[Students Per Fall]], 0)</f>
        <v>433.33333333333331</v>
      </c>
      <c r="BG35" s="58">
        <f t="shared" si="47"/>
        <v>36508.333333333328</v>
      </c>
      <c r="BH35" s="31">
        <f>IF(Table1[[#This Row],[Sustainability Check 1 (2017-2018) Status]]="Continued", Table1[[#This Row],[Students Per Spring]], 0)</f>
        <v>433.33333333333331</v>
      </c>
      <c r="BI35" s="58">
        <f t="shared" si="48"/>
        <v>36508.333333333328</v>
      </c>
      <c r="BJ35" s="31">
        <f t="shared" si="49"/>
        <v>1300</v>
      </c>
      <c r="BK35" s="58">
        <f t="shared" si="50"/>
        <v>109524.99999999999</v>
      </c>
      <c r="BL35" s="58" t="s">
        <v>130</v>
      </c>
      <c r="BM35" s="31">
        <v>96</v>
      </c>
      <c r="BN35" s="31">
        <v>540</v>
      </c>
      <c r="BO35" s="31">
        <v>540</v>
      </c>
      <c r="BP35" s="31">
        <f t="shared" si="51"/>
        <v>1176</v>
      </c>
      <c r="BQ35" s="58">
        <v>84.25</v>
      </c>
      <c r="BR35" s="58">
        <f>Table1[[#This Row],[Check 2 Students Total]]*Table1[[#This Row],[Summer 2018 Price Check]]</f>
        <v>99078</v>
      </c>
      <c r="BS35" s="31">
        <f>IF(Table1[[#This Row],[Sustainability Check 2 (2018-2019) Status]]="Continued", Table1[[#This Row],[Check 2 Students Summer]], 0)</f>
        <v>96</v>
      </c>
      <c r="BT35" s="58">
        <f>Table1[[#This Row],[Summer 2018 Price Check]]*BS35</f>
        <v>8088</v>
      </c>
      <c r="BU35" s="31">
        <f>IF(Table1[[#This Row],[Sustainability Check 2 (2018-2019) Status]]="Continued", Table1[[#This Row],[Check 2 Students Fall]], 0)</f>
        <v>540</v>
      </c>
      <c r="BV35" s="58">
        <f>Table1[[#This Row],[Summer 2018 Price Check]]*BU35</f>
        <v>45495</v>
      </c>
      <c r="BW35" s="21">
        <f>IF(Table1[[#This Row],[Sustainability Check 2 (2018-2019) Status]]="Continued", Table1[Check 2 Students Spring], 0)</f>
        <v>540</v>
      </c>
      <c r="BX35" s="58">
        <f>Table1[[#This Row],[Summer 2018 Price Check]]*Table1[[#This Row],[Spring 2019 Students]]</f>
        <v>45495</v>
      </c>
      <c r="BY35" s="31">
        <f t="shared" si="19"/>
        <v>1176</v>
      </c>
      <c r="BZ35" s="58">
        <f t="shared" si="20"/>
        <v>99078</v>
      </c>
      <c r="CA35" s="58" t="s">
        <v>130</v>
      </c>
      <c r="CB35" s="21">
        <v>59</v>
      </c>
      <c r="CC35" s="21">
        <v>488</v>
      </c>
      <c r="CD35" s="21">
        <v>446</v>
      </c>
      <c r="CE35" s="21">
        <f t="shared" si="57"/>
        <v>993</v>
      </c>
      <c r="CF35" s="58">
        <v>54.25</v>
      </c>
      <c r="CG35" s="58">
        <f t="shared" si="22"/>
        <v>53870.25</v>
      </c>
      <c r="CH35" s="17" t="s">
        <v>208</v>
      </c>
      <c r="CI35" s="21">
        <f>IF(Table1[[#This Row],[Check 3 Status]]="Continued", Table1[[#This Row],[Check 3 Students Summer]], 0)</f>
        <v>59</v>
      </c>
      <c r="CJ35" s="58">
        <f>Table1[[#This Row],[Check 3 Per Student Savings]]*CI35</f>
        <v>3200.75</v>
      </c>
      <c r="CK35" s="21">
        <f>IF(Table1[[#This Row],[Check 3 Status]]="Continued", Table1[[#This Row],[Check 3 Students Fall]], 0)</f>
        <v>488</v>
      </c>
      <c r="CL35" s="58">
        <f>Table1[[#This Row],[Check 3 Per Student Savings]]*CK35</f>
        <v>26474</v>
      </c>
      <c r="CM35" s="21">
        <f>IF(Table1[[#This Row],[Check 3 Status]]="Continued", Table1[[#This Row],[Check 3 Students Spring]], 0)</f>
        <v>446</v>
      </c>
      <c r="CN35" s="58">
        <f>Table1[[#This Row],[Check 3 Per Student Savings]]*CM35</f>
        <v>24195.5</v>
      </c>
      <c r="CO35" s="21">
        <f t="shared" si="23"/>
        <v>993</v>
      </c>
      <c r="CP35" s="58">
        <f t="shared" si="24"/>
        <v>53870.25</v>
      </c>
      <c r="CQ35" s="58" t="s">
        <v>130</v>
      </c>
      <c r="CR35" s="21">
        <v>59</v>
      </c>
      <c r="CS35" s="21">
        <v>488</v>
      </c>
      <c r="CT35" s="21">
        <v>446</v>
      </c>
      <c r="CU35" s="21">
        <f t="shared" si="25"/>
        <v>993</v>
      </c>
      <c r="CV35" s="58">
        <v>54.25</v>
      </c>
      <c r="CW35" s="58">
        <f t="shared" si="26"/>
        <v>53870.25</v>
      </c>
      <c r="CX35" s="58"/>
      <c r="CY35" s="21">
        <f>IF(Table1[[#This Row],[Check 4 Status]]="Continued", Table1[[#This Row],[Check 4 Students Summer]], 0)</f>
        <v>59</v>
      </c>
      <c r="CZ35" s="58">
        <f>Table1[[#This Row],[Check 4 Per Student Savings]]*CY35</f>
        <v>3200.75</v>
      </c>
      <c r="DA35" s="21">
        <f>IF(Table1[[#This Row],[Check 4 Status]]="Continued", Table1[[#This Row],[Check 4 Students Fall]], 0)</f>
        <v>488</v>
      </c>
      <c r="DB35" s="58">
        <f>Table1[[#This Row],[Check 4 Per Student Savings]]*DA35</f>
        <v>26474</v>
      </c>
      <c r="DC35" s="21">
        <f>IF(Table1[[#This Row],[Check 4 Status]]="Continued", Table1[[#This Row],[Check 4 Students Spring]], 0)</f>
        <v>446</v>
      </c>
      <c r="DD35" s="58">
        <f>Table1[[#This Row],[Check 4 Per Student Savings]]*DC35</f>
        <v>24195.5</v>
      </c>
      <c r="DE35" s="58">
        <f t="shared" si="27"/>
        <v>993</v>
      </c>
      <c r="DF35" s="58">
        <f t="shared" si="28"/>
        <v>53870.25</v>
      </c>
      <c r="DG3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6628.6666666666661</v>
      </c>
      <c r="DH3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498885.16666666663</v>
      </c>
      <c r="DI35" s="58">
        <f>Table1[[#This Row],[Grand Total Savings]]/Table1[[#This Row],[Total Award]]</f>
        <v>46.193070987654316</v>
      </c>
      <c r="DJ35" s="17"/>
      <c r="DK35" s="17"/>
      <c r="DL35" s="17"/>
      <c r="DM35" s="17"/>
      <c r="EC35" s="17"/>
      <c r="ED35" s="17"/>
      <c r="EE35" s="17"/>
      <c r="EF35" s="17"/>
    </row>
    <row r="36" spans="1:136" x14ac:dyDescent="0.25">
      <c r="A36" s="157" t="s">
        <v>349</v>
      </c>
      <c r="B36" s="17" t="s">
        <v>2011</v>
      </c>
      <c r="D36" s="97">
        <v>510037</v>
      </c>
      <c r="E36" s="158">
        <v>42517</v>
      </c>
      <c r="F36" s="158">
        <v>42111</v>
      </c>
      <c r="G36" s="159" t="s">
        <v>330</v>
      </c>
      <c r="H36" s="95" t="s">
        <v>10</v>
      </c>
      <c r="I36" s="226" t="s">
        <v>118</v>
      </c>
      <c r="J36" s="17" t="s">
        <v>236</v>
      </c>
      <c r="K36" s="107">
        <v>10800</v>
      </c>
      <c r="L36" s="107"/>
      <c r="M36" s="101" t="s">
        <v>350</v>
      </c>
      <c r="N36" s="101" t="s">
        <v>351</v>
      </c>
      <c r="O36" s="101" t="s">
        <v>352</v>
      </c>
      <c r="P36" s="101" t="s">
        <v>353</v>
      </c>
      <c r="Q36" s="101" t="s">
        <v>304</v>
      </c>
      <c r="R36" s="101" t="s">
        <v>354</v>
      </c>
      <c r="S36" s="160" t="s">
        <v>36</v>
      </c>
      <c r="T36" s="17" t="s">
        <v>125</v>
      </c>
      <c r="U36" s="160" t="s">
        <v>355</v>
      </c>
      <c r="V36" s="17" t="s">
        <v>150</v>
      </c>
      <c r="W36" s="17" t="s">
        <v>127</v>
      </c>
      <c r="X36" s="17" t="s">
        <v>150</v>
      </c>
      <c r="Y36" s="58">
        <v>167760</v>
      </c>
      <c r="Z36" s="17">
        <v>600</v>
      </c>
      <c r="AA36" s="58">
        <f t="shared" si="53"/>
        <v>279.60000000000002</v>
      </c>
      <c r="AB36" s="21">
        <f t="shared" si="1"/>
        <v>200</v>
      </c>
      <c r="AC36" s="21">
        <f t="shared" si="2"/>
        <v>200</v>
      </c>
      <c r="AD36" s="21">
        <f t="shared" si="3"/>
        <v>200</v>
      </c>
      <c r="AE36" s="17" t="s">
        <v>208</v>
      </c>
      <c r="AF36" s="17" t="s">
        <v>129</v>
      </c>
      <c r="AG36" s="17"/>
      <c r="AI36" s="17" t="s">
        <v>130</v>
      </c>
      <c r="AJ36" s="21">
        <v>0</v>
      </c>
      <c r="AK36" s="58">
        <v>0</v>
      </c>
      <c r="AL36" s="21">
        <v>0</v>
      </c>
      <c r="AM36" s="58">
        <f t="shared" si="52"/>
        <v>0</v>
      </c>
      <c r="AN36" s="21">
        <v>0</v>
      </c>
      <c r="AO36" s="58">
        <f t="shared" si="54"/>
        <v>0</v>
      </c>
      <c r="AP36" s="21">
        <f>Table1[[#This Row],[Students Per Fall]]</f>
        <v>200</v>
      </c>
      <c r="AQ36" s="58">
        <f t="shared" si="55"/>
        <v>55920.000000000007</v>
      </c>
      <c r="AR36" s="21">
        <f>IF(Table1[[#This Row],[Sustainability Check 1 (2017-2018) Status]]="Continued", Table1[[#This Row],[Students Per Spring]], 0)</f>
        <v>200</v>
      </c>
      <c r="AS36" s="58">
        <f t="shared" si="56"/>
        <v>55920.000000000007</v>
      </c>
      <c r="AT36" s="21">
        <f t="shared" si="40"/>
        <v>400</v>
      </c>
      <c r="AU36" s="58">
        <f t="shared" si="29"/>
        <v>111840.00000000001</v>
      </c>
      <c r="AV36" s="21">
        <f>IF(Table1[[#This Row],[Sustainability Check 1 (2017-2018) Status]]="Continued", Table1[[#This Row],[Students Per Summer]], 0)</f>
        <v>200</v>
      </c>
      <c r="AW36" s="58">
        <f t="shared" si="41"/>
        <v>55920.000000000007</v>
      </c>
      <c r="AX36" s="31">
        <f>IF(Table1[[#This Row],[Sustainability Check 1 (2017-2018) Status]]="Continued", Table1[[#This Row],[Students Per Fall]], 0)</f>
        <v>200</v>
      </c>
      <c r="AY36" s="58">
        <f t="shared" si="42"/>
        <v>55920.000000000007</v>
      </c>
      <c r="AZ36" s="31">
        <f>IF(Table1[[#This Row],[Sustainability Check 1 (2017-2018) Status]]="Continued", Table1[[#This Row],[Students Per Spring]], 0)</f>
        <v>200</v>
      </c>
      <c r="BA36" s="58">
        <f t="shared" si="43"/>
        <v>55920.000000000007</v>
      </c>
      <c r="BB36" s="31">
        <f t="shared" si="44"/>
        <v>600</v>
      </c>
      <c r="BC36" s="58">
        <f t="shared" si="45"/>
        <v>167760.00000000003</v>
      </c>
      <c r="BD36" s="31">
        <f>IF(Table1[[#This Row],[Sustainability Check 1 (2017-2018) Status]]="Continued", Table1[[#This Row],[Students Per Summer]], 0)</f>
        <v>200</v>
      </c>
      <c r="BE36" s="58">
        <f t="shared" si="46"/>
        <v>55920.000000000007</v>
      </c>
      <c r="BF36" s="31">
        <f>IF(Table1[[#This Row],[Sustainability Check 1 (2017-2018) Status]]="Continued", Table1[[#This Row],[Students Per Fall]], 0)</f>
        <v>200</v>
      </c>
      <c r="BG36" s="58">
        <f t="shared" si="47"/>
        <v>55920.000000000007</v>
      </c>
      <c r="BH36" s="31">
        <f>IF(Table1[[#This Row],[Sustainability Check 1 (2017-2018) Status]]="Continued", Table1[[#This Row],[Students Per Spring]], 0)</f>
        <v>200</v>
      </c>
      <c r="BI36" s="58">
        <f t="shared" si="48"/>
        <v>55920.000000000007</v>
      </c>
      <c r="BJ36" s="31">
        <f t="shared" si="49"/>
        <v>600</v>
      </c>
      <c r="BK36" s="58">
        <f t="shared" si="50"/>
        <v>167760.00000000003</v>
      </c>
      <c r="BL36" s="58" t="s">
        <v>130</v>
      </c>
      <c r="BM36" s="31">
        <v>100</v>
      </c>
      <c r="BN36" s="31">
        <v>660</v>
      </c>
      <c r="BO36" s="31">
        <v>600</v>
      </c>
      <c r="BP36" s="31">
        <f t="shared" si="51"/>
        <v>1360</v>
      </c>
      <c r="BQ36" s="96">
        <v>266.20999999999998</v>
      </c>
      <c r="BR36" s="58">
        <f>Table1[[#This Row],[Check 2 Students Total]]*Table1[[#This Row],[Summer 2018 Price Check]]</f>
        <v>362045.6</v>
      </c>
      <c r="BS36" s="31">
        <f>IF(Table1[[#This Row],[Sustainability Check 2 (2018-2019) Status]]="Continued", Table1[[#This Row],[Check 2 Students Summer]], 0)</f>
        <v>100</v>
      </c>
      <c r="BT36" s="58">
        <f>Table1[[#This Row],[Summer 2018 Price Check]]*BS36</f>
        <v>26620.999999999996</v>
      </c>
      <c r="BU36" s="31">
        <f>IF(Table1[[#This Row],[Sustainability Check 2 (2018-2019) Status]]="Continued", Table1[[#This Row],[Check 2 Students Fall]], 0)</f>
        <v>660</v>
      </c>
      <c r="BV36" s="58">
        <f>Table1[[#This Row],[Summer 2018 Price Check]]*BU36</f>
        <v>175698.59999999998</v>
      </c>
      <c r="BW36" s="21">
        <f>IF(Table1[[#This Row],[Sustainability Check 2 (2018-2019) Status]]="Continued", Table1[Check 2 Students Spring], 0)</f>
        <v>600</v>
      </c>
      <c r="BX36" s="58">
        <f>Table1[[#This Row],[Summer 2018 Price Check]]*Table1[[#This Row],[Spring 2019 Students]]</f>
        <v>159726</v>
      </c>
      <c r="BY36" s="31">
        <f t="shared" si="19"/>
        <v>1360</v>
      </c>
      <c r="BZ36" s="58">
        <f t="shared" si="20"/>
        <v>362045.6</v>
      </c>
      <c r="CA36" s="58" t="s">
        <v>142</v>
      </c>
      <c r="CB36" s="21">
        <v>0</v>
      </c>
      <c r="CC36" s="21">
        <v>0</v>
      </c>
      <c r="CD36" s="21">
        <v>0</v>
      </c>
      <c r="CE36" s="21">
        <f t="shared" si="57"/>
        <v>0</v>
      </c>
      <c r="CF36" s="58">
        <v>0</v>
      </c>
      <c r="CG36" s="58">
        <f t="shared" si="22"/>
        <v>0</v>
      </c>
      <c r="CH36" s="17" t="s">
        <v>208</v>
      </c>
      <c r="CI36" s="21">
        <f>IF(Table1[[#This Row],[Check 3 Status]]="Continued", Table1[[#This Row],[Check 3 Students Summer]], 0)</f>
        <v>0</v>
      </c>
      <c r="CJ36" s="58">
        <f>Table1[[#This Row],[Check 3 Per Student Savings]]*CI36</f>
        <v>0</v>
      </c>
      <c r="CK36" s="21">
        <f>IF(Table1[[#This Row],[Check 3 Status]]="Continued", Table1[[#This Row],[Check 3 Students Fall]], 0)</f>
        <v>0</v>
      </c>
      <c r="CL36" s="58">
        <f>Table1[[#This Row],[Check 3 Per Student Savings]]*CK36</f>
        <v>0</v>
      </c>
      <c r="CM36" s="21">
        <f>IF(Table1[[#This Row],[Check 3 Status]]="Continued", Table1[[#This Row],[Check 3 Students Spring]], 0)</f>
        <v>0</v>
      </c>
      <c r="CN36" s="58">
        <f>Table1[[#This Row],[Check 3 Per Student Savings]]*CM36</f>
        <v>0</v>
      </c>
      <c r="CO36" s="21">
        <f t="shared" si="23"/>
        <v>0</v>
      </c>
      <c r="CP36" s="58">
        <f t="shared" si="24"/>
        <v>0</v>
      </c>
      <c r="CQ36" s="58" t="s">
        <v>142</v>
      </c>
      <c r="CR36" s="21">
        <v>0</v>
      </c>
      <c r="CS36" s="21">
        <v>0</v>
      </c>
      <c r="CT36" s="21">
        <v>0</v>
      </c>
      <c r="CU36" s="21">
        <f t="shared" si="25"/>
        <v>0</v>
      </c>
      <c r="CV36" s="58">
        <v>0</v>
      </c>
      <c r="CW36" s="58">
        <f t="shared" si="26"/>
        <v>0</v>
      </c>
      <c r="CX36" s="58"/>
      <c r="CY36" s="21">
        <f>IF(Table1[[#This Row],[Check 4 Status]]="Continued", Table1[[#This Row],[Check 4 Students Summer]], 0)</f>
        <v>0</v>
      </c>
      <c r="CZ36" s="58">
        <f>Table1[[#This Row],[Check 4 Per Student Savings]]*CY36</f>
        <v>0</v>
      </c>
      <c r="DA36" s="21">
        <f>IF(Table1[[#This Row],[Check 4 Status]]="Continued", Table1[[#This Row],[Check 4 Students Fall]], 0)</f>
        <v>0</v>
      </c>
      <c r="DB36" s="58">
        <f>Table1[[#This Row],[Check 4 Per Student Savings]]*DA36</f>
        <v>0</v>
      </c>
      <c r="DC36" s="21">
        <f>IF(Table1[[#This Row],[Check 4 Status]]="Continued", Table1[[#This Row],[Check 4 Students Spring]], 0)</f>
        <v>0</v>
      </c>
      <c r="DD36" s="58">
        <f>Table1[[#This Row],[Check 4 Per Student Savings]]*DC36</f>
        <v>0</v>
      </c>
      <c r="DE36" s="58">
        <f t="shared" si="27"/>
        <v>0</v>
      </c>
      <c r="DF36" s="58">
        <f t="shared" si="28"/>
        <v>0</v>
      </c>
      <c r="DG3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2960</v>
      </c>
      <c r="DH3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809405.60000000009</v>
      </c>
      <c r="DI36" s="58">
        <f>Table1[[#This Row],[Grand Total Savings]]/Table1[[#This Row],[Total Award]]</f>
        <v>74.944962962962975</v>
      </c>
      <c r="DJ36" s="17"/>
      <c r="DK36" s="17"/>
      <c r="DL36" s="17"/>
      <c r="DM36" s="17"/>
      <c r="EC36" s="17"/>
      <c r="ED36" s="17"/>
      <c r="EE36" s="17"/>
      <c r="EF36" s="17"/>
    </row>
    <row r="37" spans="1:136" x14ac:dyDescent="0.25">
      <c r="A37" s="157" t="s">
        <v>356</v>
      </c>
      <c r="B37" s="17" t="s">
        <v>2011</v>
      </c>
      <c r="D37" s="97">
        <v>510033</v>
      </c>
      <c r="E37" s="158">
        <v>42180</v>
      </c>
      <c r="F37" s="158">
        <v>42269</v>
      </c>
      <c r="G37" s="159" t="s">
        <v>330</v>
      </c>
      <c r="H37" s="95" t="s">
        <v>10</v>
      </c>
      <c r="I37" s="226" t="s">
        <v>118</v>
      </c>
      <c r="J37" s="17" t="s">
        <v>166</v>
      </c>
      <c r="K37" s="107">
        <v>10800</v>
      </c>
      <c r="L37" s="107"/>
      <c r="M37" s="101" t="s">
        <v>167</v>
      </c>
      <c r="N37" s="101" t="s">
        <v>168</v>
      </c>
      <c r="O37" s="101" t="s">
        <v>357</v>
      </c>
      <c r="P37" s="101" t="s">
        <v>358</v>
      </c>
      <c r="Q37" s="101" t="s">
        <v>156</v>
      </c>
      <c r="R37" s="101" t="s">
        <v>129</v>
      </c>
      <c r="S37" s="160" t="s">
        <v>36</v>
      </c>
      <c r="T37" s="17" t="s">
        <v>129</v>
      </c>
      <c r="U37" s="101" t="s">
        <v>164</v>
      </c>
      <c r="V37" s="17" t="s">
        <v>140</v>
      </c>
      <c r="W37" s="17" t="s">
        <v>150</v>
      </c>
      <c r="X37" s="17" t="s">
        <v>150</v>
      </c>
      <c r="Y37" s="58">
        <v>15000</v>
      </c>
      <c r="Z37" s="17">
        <v>105</v>
      </c>
      <c r="AA37" s="58">
        <f t="shared" si="53"/>
        <v>142.85714285714286</v>
      </c>
      <c r="AB37" s="21">
        <f t="shared" si="1"/>
        <v>35</v>
      </c>
      <c r="AC37" s="21">
        <f t="shared" si="2"/>
        <v>35</v>
      </c>
      <c r="AD37" s="21">
        <f t="shared" si="3"/>
        <v>35</v>
      </c>
      <c r="AE37" s="17" t="s">
        <v>208</v>
      </c>
      <c r="AF37" s="17" t="s">
        <v>129</v>
      </c>
      <c r="AG37" s="17"/>
      <c r="AI37" s="17" t="s">
        <v>130</v>
      </c>
      <c r="AJ37" s="21">
        <v>0</v>
      </c>
      <c r="AK37" s="58">
        <v>0</v>
      </c>
      <c r="AL37" s="21">
        <v>0</v>
      </c>
      <c r="AM37" s="58">
        <f t="shared" si="52"/>
        <v>0</v>
      </c>
      <c r="AN37" s="21">
        <v>0</v>
      </c>
      <c r="AO37" s="58">
        <f t="shared" si="54"/>
        <v>0</v>
      </c>
      <c r="AP37" s="21">
        <f>Table1[[#This Row],[Students Per Fall]]</f>
        <v>35</v>
      </c>
      <c r="AQ37" s="58">
        <f t="shared" si="55"/>
        <v>5000</v>
      </c>
      <c r="AR37" s="21">
        <f>IF(Table1[[#This Row],[Sustainability Check 1 (2017-2018) Status]]="Continued", Table1[[#This Row],[Students Per Spring]], 0)</f>
        <v>35</v>
      </c>
      <c r="AS37" s="58">
        <f t="shared" si="56"/>
        <v>5000</v>
      </c>
      <c r="AT37" s="21">
        <f t="shared" si="40"/>
        <v>70</v>
      </c>
      <c r="AU37" s="58">
        <f t="shared" si="29"/>
        <v>10000</v>
      </c>
      <c r="AV37" s="21">
        <f>IF(Table1[[#This Row],[Sustainability Check 1 (2017-2018) Status]]="Continued", Table1[[#This Row],[Students Per Summer]], 0)</f>
        <v>35</v>
      </c>
      <c r="AW37" s="58">
        <f t="shared" si="41"/>
        <v>5000</v>
      </c>
      <c r="AX37" s="31">
        <f>IF(Table1[[#This Row],[Sustainability Check 1 (2017-2018) Status]]="Continued", Table1[[#This Row],[Students Per Fall]], 0)</f>
        <v>35</v>
      </c>
      <c r="AY37" s="58">
        <f t="shared" si="42"/>
        <v>5000</v>
      </c>
      <c r="AZ37" s="31">
        <f>IF(Table1[[#This Row],[Sustainability Check 1 (2017-2018) Status]]="Continued", Table1[[#This Row],[Students Per Spring]], 0)</f>
        <v>35</v>
      </c>
      <c r="BA37" s="58">
        <f t="shared" si="43"/>
        <v>5000</v>
      </c>
      <c r="BB37" s="31">
        <f t="shared" si="44"/>
        <v>105</v>
      </c>
      <c r="BC37" s="58">
        <f t="shared" si="45"/>
        <v>15000</v>
      </c>
      <c r="BD37" s="31">
        <f>IF(Table1[[#This Row],[Sustainability Check 1 (2017-2018) Status]]="Continued", Table1[[#This Row],[Students Per Summer]], 0)</f>
        <v>35</v>
      </c>
      <c r="BE37" s="58">
        <f t="shared" si="46"/>
        <v>5000</v>
      </c>
      <c r="BF37" s="31">
        <f>IF(Table1[[#This Row],[Sustainability Check 1 (2017-2018) Status]]="Continued", Table1[[#This Row],[Students Per Fall]], 0)</f>
        <v>35</v>
      </c>
      <c r="BG37" s="58">
        <f t="shared" si="47"/>
        <v>5000</v>
      </c>
      <c r="BH37" s="31">
        <f>IF(Table1[[#This Row],[Sustainability Check 1 (2017-2018) Status]]="Continued", Table1[[#This Row],[Students Per Spring]], 0)</f>
        <v>35</v>
      </c>
      <c r="BI37" s="58">
        <f t="shared" si="48"/>
        <v>5000</v>
      </c>
      <c r="BJ37" s="31">
        <f t="shared" si="49"/>
        <v>105</v>
      </c>
      <c r="BK37" s="58">
        <f t="shared" si="50"/>
        <v>15000</v>
      </c>
      <c r="BL37" s="58" t="s">
        <v>130</v>
      </c>
      <c r="BM37" s="31">
        <v>30</v>
      </c>
      <c r="BN37" s="31">
        <v>30</v>
      </c>
      <c r="BO37" s="31">
        <v>40</v>
      </c>
      <c r="BP37" s="31">
        <f t="shared" si="51"/>
        <v>100</v>
      </c>
      <c r="BQ37" s="96">
        <v>108.2</v>
      </c>
      <c r="BR37" s="58">
        <f>Table1[[#This Row],[Check 2 Students Total]]*Table1[[#This Row],[Summer 2018 Price Check]]</f>
        <v>10820</v>
      </c>
      <c r="BS37" s="31">
        <f>IF(Table1[[#This Row],[Sustainability Check 2 (2018-2019) Status]]="Continued", Table1[[#This Row],[Check 2 Students Summer]], 0)</f>
        <v>30</v>
      </c>
      <c r="BT37" s="58">
        <f>Table1[[#This Row],[Summer 2018 Price Check]]*BS37</f>
        <v>3246</v>
      </c>
      <c r="BU37" s="31">
        <f>IF(Table1[[#This Row],[Sustainability Check 2 (2018-2019) Status]]="Continued", Table1[[#This Row],[Check 2 Students Fall]], 0)</f>
        <v>30</v>
      </c>
      <c r="BV37" s="58">
        <f>Table1[[#This Row],[Summer 2018 Price Check]]*BU37</f>
        <v>3246</v>
      </c>
      <c r="BW37" s="21">
        <f>IF(Table1[[#This Row],[Sustainability Check 2 (2018-2019) Status]]="Continued", Table1[Check 2 Students Spring], 0)</f>
        <v>40</v>
      </c>
      <c r="BX37" s="58">
        <f>Table1[[#This Row],[Summer 2018 Price Check]]*Table1[[#This Row],[Spring 2019 Students]]</f>
        <v>4328</v>
      </c>
      <c r="BY37" s="31">
        <f t="shared" si="19"/>
        <v>100</v>
      </c>
      <c r="BZ37" s="58">
        <f t="shared" si="20"/>
        <v>10820</v>
      </c>
      <c r="CA37" s="58" t="s">
        <v>130</v>
      </c>
      <c r="CB37" s="21">
        <v>40</v>
      </c>
      <c r="CC37" s="21">
        <v>60</v>
      </c>
      <c r="CD37" s="21">
        <v>60</v>
      </c>
      <c r="CE37" s="21">
        <f t="shared" si="57"/>
        <v>160</v>
      </c>
      <c r="CF37" s="58">
        <v>120</v>
      </c>
      <c r="CG37" s="58">
        <f t="shared" si="22"/>
        <v>19200</v>
      </c>
      <c r="CH37" s="17" t="s">
        <v>208</v>
      </c>
      <c r="CI37" s="21">
        <f>IF(Table1[[#This Row],[Check 3 Status]]="Continued", Table1[[#This Row],[Check 3 Students Summer]], 0)</f>
        <v>40</v>
      </c>
      <c r="CJ37" s="58">
        <f>Table1[[#This Row],[Check 3 Per Student Savings]]*CI37</f>
        <v>4800</v>
      </c>
      <c r="CK37" s="21">
        <f>IF(Table1[[#This Row],[Check 3 Status]]="Continued", Table1[[#This Row],[Check 3 Students Fall]], 0)</f>
        <v>60</v>
      </c>
      <c r="CL37" s="58">
        <f>Table1[[#This Row],[Check 3 Per Student Savings]]*CK37</f>
        <v>7200</v>
      </c>
      <c r="CM37" s="21">
        <f>IF(Table1[[#This Row],[Check 3 Status]]="Continued", Table1[[#This Row],[Check 3 Students Spring]], 0)</f>
        <v>60</v>
      </c>
      <c r="CN37" s="58">
        <f>Table1[[#This Row],[Check 3 Per Student Savings]]*CM37</f>
        <v>7200</v>
      </c>
      <c r="CO37" s="21">
        <f t="shared" si="23"/>
        <v>160</v>
      </c>
      <c r="CP37" s="58">
        <f t="shared" si="24"/>
        <v>19200</v>
      </c>
      <c r="CQ37" s="58" t="s">
        <v>130</v>
      </c>
      <c r="CR37" s="21">
        <v>40</v>
      </c>
      <c r="CS37" s="21">
        <v>60</v>
      </c>
      <c r="CT37" s="21">
        <v>60</v>
      </c>
      <c r="CU37" s="21">
        <f t="shared" si="25"/>
        <v>160</v>
      </c>
      <c r="CV37" s="58">
        <v>120</v>
      </c>
      <c r="CW37" s="58">
        <f t="shared" si="26"/>
        <v>19200</v>
      </c>
      <c r="CX37" s="58"/>
      <c r="CY37" s="21">
        <f>IF(Table1[[#This Row],[Check 4 Status]]="Continued", Table1[[#This Row],[Check 4 Students Summer]], 0)</f>
        <v>40</v>
      </c>
      <c r="CZ37" s="58">
        <f>Table1[[#This Row],[Check 4 Per Student Savings]]*CY37</f>
        <v>4800</v>
      </c>
      <c r="DA37" s="21">
        <f>IF(Table1[[#This Row],[Check 4 Status]]="Continued", Table1[[#This Row],[Check 4 Students Fall]], 0)</f>
        <v>60</v>
      </c>
      <c r="DB37" s="58">
        <f>Table1[[#This Row],[Check 4 Per Student Savings]]*DA37</f>
        <v>7200</v>
      </c>
      <c r="DC37" s="21">
        <f>IF(Table1[[#This Row],[Check 4 Status]]="Continued", Table1[[#This Row],[Check 4 Students Spring]], 0)</f>
        <v>60</v>
      </c>
      <c r="DD37" s="58">
        <f>Table1[[#This Row],[Check 4 Per Student Savings]]*DC37</f>
        <v>7200</v>
      </c>
      <c r="DE37" s="58">
        <f t="shared" si="27"/>
        <v>160</v>
      </c>
      <c r="DF37" s="58">
        <f t="shared" si="28"/>
        <v>19200</v>
      </c>
      <c r="DG3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700</v>
      </c>
      <c r="DH3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89220</v>
      </c>
      <c r="DI37" s="58">
        <f>Table1[[#This Row],[Grand Total Savings]]/Table1[[#This Row],[Total Award]]</f>
        <v>8.2611111111111111</v>
      </c>
      <c r="DJ37" s="17"/>
      <c r="DK37" s="17"/>
      <c r="DL37" s="17"/>
      <c r="DM37" s="17"/>
      <c r="EC37" s="17"/>
      <c r="ED37" s="17"/>
      <c r="EE37" s="17"/>
      <c r="EF37" s="17"/>
    </row>
    <row r="38" spans="1:136" x14ac:dyDescent="0.25">
      <c r="A38" s="157" t="s">
        <v>359</v>
      </c>
      <c r="B38" s="17" t="s">
        <v>2011</v>
      </c>
      <c r="D38" s="97">
        <v>510273</v>
      </c>
      <c r="E38" s="158">
        <v>42181</v>
      </c>
      <c r="F38" s="158">
        <v>42269</v>
      </c>
      <c r="G38" s="159" t="s">
        <v>330</v>
      </c>
      <c r="H38" s="95" t="s">
        <v>10</v>
      </c>
      <c r="I38" s="226" t="s">
        <v>118</v>
      </c>
      <c r="J38" s="17" t="s">
        <v>243</v>
      </c>
      <c r="K38" s="107">
        <v>10800</v>
      </c>
      <c r="L38" s="107"/>
      <c r="M38" s="101" t="s">
        <v>360</v>
      </c>
      <c r="N38" s="101" t="s">
        <v>361</v>
      </c>
      <c r="O38" s="101" t="s">
        <v>362</v>
      </c>
      <c r="P38" s="101" t="s">
        <v>363</v>
      </c>
      <c r="Q38" s="101" t="s">
        <v>148</v>
      </c>
      <c r="R38" s="101" t="s">
        <v>362</v>
      </c>
      <c r="S38" s="101" t="s">
        <v>129</v>
      </c>
      <c r="T38" s="17" t="s">
        <v>125</v>
      </c>
      <c r="U38" s="160" t="s">
        <v>138</v>
      </c>
      <c r="V38" s="17" t="s">
        <v>150</v>
      </c>
      <c r="W38" s="17" t="s">
        <v>150</v>
      </c>
      <c r="X38" s="17" t="s">
        <v>150</v>
      </c>
      <c r="Y38" s="58">
        <v>114751</v>
      </c>
      <c r="Z38" s="17">
        <v>676</v>
      </c>
      <c r="AA38" s="58">
        <f t="shared" si="53"/>
        <v>169.75</v>
      </c>
      <c r="AB38" s="21">
        <f t="shared" si="1"/>
        <v>225.33333333333334</v>
      </c>
      <c r="AC38" s="21">
        <f t="shared" si="2"/>
        <v>225.33333333333334</v>
      </c>
      <c r="AD38" s="21">
        <f t="shared" si="3"/>
        <v>225.33333333333334</v>
      </c>
      <c r="AE38" s="17" t="s">
        <v>128</v>
      </c>
      <c r="AF38" s="17" t="s">
        <v>129</v>
      </c>
      <c r="AG38" s="17"/>
      <c r="AI38" s="17" t="s">
        <v>130</v>
      </c>
      <c r="AJ38" s="21">
        <f>Table1[[#This Row],[Students Per Spring]]</f>
        <v>225.33333333333334</v>
      </c>
      <c r="AK38" s="58">
        <f>$AA38*AJ38</f>
        <v>38250.333333333336</v>
      </c>
      <c r="AL38" s="21">
        <f>AJ38</f>
        <v>225.33333333333334</v>
      </c>
      <c r="AM38" s="58">
        <f t="shared" si="52"/>
        <v>38250.333333333336</v>
      </c>
      <c r="AN38" s="21">
        <f>IF(Table1[[#This Row],[Sustainability Check 1 (2017-2018) Status]]="Continued", Table1[[#This Row],[Students Per Summer]], 0)</f>
        <v>225.33333333333334</v>
      </c>
      <c r="AO38" s="58">
        <f t="shared" si="54"/>
        <v>38250.333333333336</v>
      </c>
      <c r="AP38" s="21">
        <f>Table1[[#This Row],[Students Per Fall]]</f>
        <v>225.33333333333334</v>
      </c>
      <c r="AQ38" s="58">
        <f t="shared" si="55"/>
        <v>38250.333333333336</v>
      </c>
      <c r="AR38" s="21">
        <f>IF(Table1[[#This Row],[Sustainability Check 1 (2017-2018) Status]]="Continued", Table1[[#This Row],[Students Per Spring]], 0)</f>
        <v>225.33333333333334</v>
      </c>
      <c r="AS38" s="58">
        <f t="shared" si="56"/>
        <v>38250.333333333336</v>
      </c>
      <c r="AT38" s="21">
        <f t="shared" si="40"/>
        <v>676</v>
      </c>
      <c r="AU38" s="58">
        <f t="shared" si="29"/>
        <v>114751</v>
      </c>
      <c r="AV38" s="21">
        <f>IF(Table1[[#This Row],[Sustainability Check 1 (2017-2018) Status]]="Continued", Table1[[#This Row],[Students Per Summer]], 0)</f>
        <v>225.33333333333334</v>
      </c>
      <c r="AW38" s="58">
        <f t="shared" si="41"/>
        <v>38250.333333333336</v>
      </c>
      <c r="AX38" s="31">
        <f>IF(Table1[[#This Row],[Sustainability Check 1 (2017-2018) Status]]="Continued", Table1[[#This Row],[Students Per Fall]], 0)</f>
        <v>225.33333333333334</v>
      </c>
      <c r="AY38" s="58">
        <f t="shared" si="42"/>
        <v>38250.333333333336</v>
      </c>
      <c r="AZ38" s="31">
        <f>IF(Table1[[#This Row],[Sustainability Check 1 (2017-2018) Status]]="Continued", Table1[[#This Row],[Students Per Spring]], 0)</f>
        <v>225.33333333333334</v>
      </c>
      <c r="BA38" s="58">
        <f t="shared" si="43"/>
        <v>38250.333333333336</v>
      </c>
      <c r="BB38" s="31">
        <f t="shared" si="44"/>
        <v>676</v>
      </c>
      <c r="BC38" s="58">
        <f t="shared" si="45"/>
        <v>114751</v>
      </c>
      <c r="BD38" s="31">
        <f>IF(Table1[[#This Row],[Sustainability Check 1 (2017-2018) Status]]="Continued", Table1[[#This Row],[Students Per Summer]], 0)</f>
        <v>225.33333333333334</v>
      </c>
      <c r="BE38" s="58">
        <f t="shared" si="46"/>
        <v>38250.333333333336</v>
      </c>
      <c r="BF38" s="31">
        <f>IF(Table1[[#This Row],[Sustainability Check 1 (2017-2018) Status]]="Continued", Table1[[#This Row],[Students Per Fall]], 0)</f>
        <v>225.33333333333334</v>
      </c>
      <c r="BG38" s="58">
        <f t="shared" si="47"/>
        <v>38250.333333333336</v>
      </c>
      <c r="BH38" s="31">
        <f>IF(Table1[[#This Row],[Sustainability Check 1 (2017-2018) Status]]="Continued", Table1[[#This Row],[Students Per Spring]], 0)</f>
        <v>225.33333333333334</v>
      </c>
      <c r="BI38" s="58">
        <f t="shared" si="48"/>
        <v>38250.333333333336</v>
      </c>
      <c r="BJ38" s="31">
        <f t="shared" si="49"/>
        <v>676</v>
      </c>
      <c r="BK38" s="58">
        <f t="shared" si="50"/>
        <v>114751</v>
      </c>
      <c r="BL38" s="58" t="s">
        <v>130</v>
      </c>
      <c r="BM38" s="31">
        <v>48</v>
      </c>
      <c r="BN38" s="31">
        <v>48</v>
      </c>
      <c r="BO38" s="31">
        <v>48</v>
      </c>
      <c r="BP38" s="31">
        <f t="shared" si="51"/>
        <v>144</v>
      </c>
      <c r="BQ38" s="96">
        <v>177.8</v>
      </c>
      <c r="BR38" s="58">
        <f>Table1[[#This Row],[Check 2 Students Total]]*Table1[[#This Row],[Summer 2018 Price Check]]</f>
        <v>25603.200000000001</v>
      </c>
      <c r="BS38" s="31">
        <f>IF(Table1[[#This Row],[Sustainability Check 2 (2018-2019) Status]]="Continued", Table1[[#This Row],[Check 2 Students Summer]], 0)</f>
        <v>48</v>
      </c>
      <c r="BT38" s="58">
        <f>Table1[[#This Row],[Summer 2018 Price Check]]*BS38</f>
        <v>8534.4000000000015</v>
      </c>
      <c r="BU38" s="31">
        <f>IF(Table1[[#This Row],[Sustainability Check 2 (2018-2019) Status]]="Continued", Table1[[#This Row],[Check 2 Students Fall]], 0)</f>
        <v>48</v>
      </c>
      <c r="BV38" s="58">
        <f>Table1[[#This Row],[Summer 2018 Price Check]]*BU38</f>
        <v>8534.4000000000015</v>
      </c>
      <c r="BW38" s="21">
        <f>IF(Table1[[#This Row],[Sustainability Check 2 (2018-2019) Status]]="Continued", Table1[Check 2 Students Spring], 0)</f>
        <v>48</v>
      </c>
      <c r="BX38" s="58">
        <f>Table1[[#This Row],[Summer 2018 Price Check]]*Table1[[#This Row],[Spring 2019 Students]]</f>
        <v>8534.4000000000015</v>
      </c>
      <c r="BY38" s="31">
        <f t="shared" si="19"/>
        <v>144</v>
      </c>
      <c r="BZ38" s="58">
        <f t="shared" si="20"/>
        <v>25603.200000000004</v>
      </c>
      <c r="CA38" s="58" t="s">
        <v>1777</v>
      </c>
      <c r="CB38" s="21"/>
      <c r="CC38" s="21"/>
      <c r="CD38" s="21"/>
      <c r="CE38" s="21">
        <f t="shared" si="57"/>
        <v>0</v>
      </c>
      <c r="CF38" s="58"/>
      <c r="CG38" s="58">
        <f t="shared" si="22"/>
        <v>0</v>
      </c>
      <c r="CH38" s="17" t="s">
        <v>128</v>
      </c>
      <c r="CI38" s="21">
        <f>IF(Table1[[#This Row],[Check 3 Status]]="Continued", Table1[[#This Row],[Check 3 Students Summer]], 0)</f>
        <v>0</v>
      </c>
      <c r="CJ38" s="58">
        <f>Table1[[#This Row],[Check 3 Per Student Savings]]*CI38</f>
        <v>0</v>
      </c>
      <c r="CK38" s="21">
        <f>IF(Table1[[#This Row],[Check 3 Status]]="Continued", Table1[[#This Row],[Check 3 Students Fall]], 0)</f>
        <v>0</v>
      </c>
      <c r="CL38" s="58">
        <f>Table1[[#This Row],[Check 3 Per Student Savings]]*CK38</f>
        <v>0</v>
      </c>
      <c r="CM38" s="21">
        <f>IF(Table1[[#This Row],[Check 3 Status]]="Continued", Table1[[#This Row],[Check 3 Students Spring]], 0)</f>
        <v>0</v>
      </c>
      <c r="CN38" s="58">
        <f>Table1[[#This Row],[Check 3 Per Student Savings]]*CM38</f>
        <v>0</v>
      </c>
      <c r="CO38" s="21">
        <f t="shared" si="23"/>
        <v>0</v>
      </c>
      <c r="CP38" s="58">
        <f t="shared" si="24"/>
        <v>0</v>
      </c>
      <c r="CQ38" s="58" t="s">
        <v>1777</v>
      </c>
      <c r="CR38" s="21"/>
      <c r="CS38" s="21"/>
      <c r="CT38" s="21"/>
      <c r="CU38" s="21">
        <f t="shared" si="25"/>
        <v>0</v>
      </c>
      <c r="CV38" s="58">
        <v>0</v>
      </c>
      <c r="CW38" s="58">
        <f t="shared" si="26"/>
        <v>0</v>
      </c>
      <c r="CX38" s="58"/>
      <c r="CY38" s="21">
        <f>IF(Table1[[#This Row],[Check 4 Status]]="Continued", Table1[[#This Row],[Check 4 Students Summer]], 0)</f>
        <v>0</v>
      </c>
      <c r="CZ38" s="58">
        <f>Table1[[#This Row],[Check 4 Per Student Savings]]*CY38</f>
        <v>0</v>
      </c>
      <c r="DA38" s="21">
        <f>IF(Table1[[#This Row],[Check 4 Status]]="Continued", Table1[[#This Row],[Check 4 Students Fall]], 0)</f>
        <v>0</v>
      </c>
      <c r="DB38" s="58">
        <f>Table1[[#This Row],[Check 4 Per Student Savings]]*DA38</f>
        <v>0</v>
      </c>
      <c r="DC38" s="21">
        <f>IF(Table1[[#This Row],[Check 4 Status]]="Continued", Table1[[#This Row],[Check 4 Students Spring]], 0)</f>
        <v>0</v>
      </c>
      <c r="DD38" s="58">
        <f>Table1[[#This Row],[Check 4 Per Student Savings]]*DC38</f>
        <v>0</v>
      </c>
      <c r="DE38" s="58">
        <f t="shared" si="27"/>
        <v>0</v>
      </c>
      <c r="DF38" s="58">
        <f t="shared" si="28"/>
        <v>0</v>
      </c>
      <c r="DG3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2397.3333333333335</v>
      </c>
      <c r="DH3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408106.53333333338</v>
      </c>
      <c r="DI38" s="58">
        <f>Table1[[#This Row],[Grand Total Savings]]/Table1[[#This Row],[Total Award]]</f>
        <v>37.787641975308645</v>
      </c>
      <c r="DJ38" s="17"/>
      <c r="DK38" s="17"/>
      <c r="DL38" s="17"/>
      <c r="DM38" s="17"/>
      <c r="EC38" s="17"/>
      <c r="ED38" s="17"/>
      <c r="EE38" s="17"/>
      <c r="EF38" s="17"/>
    </row>
    <row r="39" spans="1:136" x14ac:dyDescent="0.25">
      <c r="A39" s="157" t="s">
        <v>364</v>
      </c>
      <c r="B39" s="17" t="s">
        <v>2011</v>
      </c>
      <c r="D39" s="97">
        <v>510274</v>
      </c>
      <c r="E39" s="158">
        <v>42111</v>
      </c>
      <c r="F39" s="158">
        <v>42269</v>
      </c>
      <c r="G39" s="159" t="s">
        <v>330</v>
      </c>
      <c r="H39" s="95" t="s">
        <v>10</v>
      </c>
      <c r="I39" s="226" t="s">
        <v>118</v>
      </c>
      <c r="J39" s="17" t="s">
        <v>250</v>
      </c>
      <c r="K39" s="107">
        <v>10800</v>
      </c>
      <c r="L39" s="107"/>
      <c r="M39" s="101" t="s">
        <v>365</v>
      </c>
      <c r="N39" s="101" t="s">
        <v>366</v>
      </c>
      <c r="O39" s="101" t="s">
        <v>204</v>
      </c>
      <c r="P39" s="101" t="s">
        <v>205</v>
      </c>
      <c r="Q39" s="101" t="s">
        <v>206</v>
      </c>
      <c r="R39" s="101" t="s">
        <v>204</v>
      </c>
      <c r="S39" s="101" t="s">
        <v>129</v>
      </c>
      <c r="T39" s="17" t="s">
        <v>125</v>
      </c>
      <c r="U39" s="160" t="s">
        <v>367</v>
      </c>
      <c r="V39" s="17" t="s">
        <v>150</v>
      </c>
      <c r="W39" s="17" t="s">
        <v>150</v>
      </c>
      <c r="X39" s="17" t="s">
        <v>127</v>
      </c>
      <c r="Y39" s="58">
        <v>16054</v>
      </c>
      <c r="Z39" s="17">
        <v>66</v>
      </c>
      <c r="AA39" s="58">
        <f t="shared" si="53"/>
        <v>243.24242424242425</v>
      </c>
      <c r="AB39" s="21">
        <f t="shared" si="1"/>
        <v>22</v>
      </c>
      <c r="AC39" s="21">
        <f t="shared" si="2"/>
        <v>22</v>
      </c>
      <c r="AD39" s="21">
        <f t="shared" si="3"/>
        <v>22</v>
      </c>
      <c r="AE39" s="17" t="s">
        <v>368</v>
      </c>
      <c r="AF39" s="17" t="s">
        <v>129</v>
      </c>
      <c r="AG39" s="17"/>
      <c r="AI39" s="17" t="s">
        <v>130</v>
      </c>
      <c r="AJ39" s="21">
        <v>0</v>
      </c>
      <c r="AK39" s="58">
        <v>0</v>
      </c>
      <c r="AL39" s="21">
        <v>0</v>
      </c>
      <c r="AM39" s="58">
        <f t="shared" si="52"/>
        <v>0</v>
      </c>
      <c r="AN39" s="21">
        <f>IF(Table1[[#This Row],[Sustainability Check 1 (2017-2018) Status]]="Continued", Table1[[#This Row],[Students Per Summer]], 0)</f>
        <v>22</v>
      </c>
      <c r="AO39" s="58">
        <f t="shared" si="54"/>
        <v>5351.3333333333339</v>
      </c>
      <c r="AP39" s="21">
        <f>Table1[[#This Row],[Students Per Fall]]</f>
        <v>22</v>
      </c>
      <c r="AQ39" s="58">
        <f t="shared" si="55"/>
        <v>5351.3333333333339</v>
      </c>
      <c r="AR39" s="21">
        <f>IF(Table1[[#This Row],[Sustainability Check 1 (2017-2018) Status]]="Continued", Table1[[#This Row],[Students Per Spring]], 0)</f>
        <v>22</v>
      </c>
      <c r="AS39" s="58">
        <f t="shared" si="56"/>
        <v>5351.3333333333339</v>
      </c>
      <c r="AT39" s="21">
        <f t="shared" si="40"/>
        <v>66</v>
      </c>
      <c r="AU39" s="58">
        <f t="shared" si="29"/>
        <v>16054.000000000002</v>
      </c>
      <c r="AV39" s="21">
        <f>IF(Table1[[#This Row],[Sustainability Check 1 (2017-2018) Status]]="Continued", Table1[[#This Row],[Students Per Summer]], 0)</f>
        <v>22</v>
      </c>
      <c r="AW39" s="58">
        <f t="shared" si="41"/>
        <v>5351.3333333333339</v>
      </c>
      <c r="AX39" s="31">
        <f>IF(Table1[[#This Row],[Sustainability Check 1 (2017-2018) Status]]="Continued", Table1[[#This Row],[Students Per Fall]], 0)</f>
        <v>22</v>
      </c>
      <c r="AY39" s="58">
        <f t="shared" si="42"/>
        <v>5351.3333333333339</v>
      </c>
      <c r="AZ39" s="31">
        <f>IF(Table1[[#This Row],[Sustainability Check 1 (2017-2018) Status]]="Continued", Table1[[#This Row],[Students Per Spring]], 0)</f>
        <v>22</v>
      </c>
      <c r="BA39" s="58">
        <f t="shared" si="43"/>
        <v>5351.3333333333339</v>
      </c>
      <c r="BB39" s="31">
        <f t="shared" si="44"/>
        <v>66</v>
      </c>
      <c r="BC39" s="58">
        <f t="shared" si="45"/>
        <v>16054.000000000002</v>
      </c>
      <c r="BD39" s="31">
        <f>IF(Table1[[#This Row],[Sustainability Check 1 (2017-2018) Status]]="Continued", Table1[[#This Row],[Students Per Summer]], 0)</f>
        <v>22</v>
      </c>
      <c r="BE39" s="58">
        <f t="shared" si="46"/>
        <v>5351.3333333333339</v>
      </c>
      <c r="BF39" s="31">
        <f>IF(Table1[[#This Row],[Sustainability Check 1 (2017-2018) Status]]="Continued", Table1[[#This Row],[Students Per Fall]], 0)</f>
        <v>22</v>
      </c>
      <c r="BG39" s="58">
        <f t="shared" si="47"/>
        <v>5351.3333333333339</v>
      </c>
      <c r="BH39" s="31">
        <f>IF(Table1[[#This Row],[Sustainability Check 1 (2017-2018) Status]]="Continued", Table1[[#This Row],[Students Per Spring]], 0)</f>
        <v>22</v>
      </c>
      <c r="BI39" s="58">
        <f t="shared" si="48"/>
        <v>5351.3333333333339</v>
      </c>
      <c r="BJ39" s="31">
        <f t="shared" si="49"/>
        <v>66</v>
      </c>
      <c r="BK39" s="58">
        <f t="shared" si="50"/>
        <v>16054.000000000002</v>
      </c>
      <c r="BL39" s="58" t="s">
        <v>130</v>
      </c>
      <c r="BM39" s="31">
        <v>210</v>
      </c>
      <c r="BN39" s="31">
        <v>975</v>
      </c>
      <c r="BO39" s="31">
        <v>975</v>
      </c>
      <c r="BP39" s="31">
        <f t="shared" si="51"/>
        <v>2160</v>
      </c>
      <c r="BQ39" s="96">
        <v>209.95</v>
      </c>
      <c r="BR39" s="58">
        <f>Table1[[#This Row],[Check 2 Students Total]]*Table1[[#This Row],[Summer 2018 Price Check]]</f>
        <v>453492</v>
      </c>
      <c r="BS39" s="31">
        <f>IF(Table1[[#This Row],[Sustainability Check 2 (2018-2019) Status]]="Continued", Table1[[#This Row],[Check 2 Students Summer]], 0)</f>
        <v>210</v>
      </c>
      <c r="BT39" s="58">
        <f>Table1[[#This Row],[Summer 2018 Price Check]]*BS39</f>
        <v>44089.5</v>
      </c>
      <c r="BU39" s="31">
        <f>IF(Table1[[#This Row],[Sustainability Check 2 (2018-2019) Status]]="Continued", Table1[[#This Row],[Check 2 Students Fall]], 0)</f>
        <v>975</v>
      </c>
      <c r="BV39" s="58">
        <f>Table1[[#This Row],[Summer 2018 Price Check]]*BU39</f>
        <v>204701.25</v>
      </c>
      <c r="BW39" s="21">
        <f>IF(Table1[[#This Row],[Sustainability Check 2 (2018-2019) Status]]="Continued", Table1[Check 2 Students Spring], 0)</f>
        <v>975</v>
      </c>
      <c r="BX39" s="58">
        <f>Table1[[#This Row],[Summer 2018 Price Check]]*Table1[[#This Row],[Spring 2019 Students]]</f>
        <v>204701.25</v>
      </c>
      <c r="BY39" s="31">
        <f t="shared" si="19"/>
        <v>2160</v>
      </c>
      <c r="BZ39" s="58">
        <f t="shared" si="20"/>
        <v>453492</v>
      </c>
      <c r="CA39" s="58" t="s">
        <v>130</v>
      </c>
      <c r="CB39" s="21">
        <v>210</v>
      </c>
      <c r="CC39" s="21">
        <v>975</v>
      </c>
      <c r="CD39" s="21">
        <v>975</v>
      </c>
      <c r="CE39" s="21">
        <f t="shared" si="57"/>
        <v>2160</v>
      </c>
      <c r="CF39" s="58">
        <v>209.95</v>
      </c>
      <c r="CG39" s="58">
        <f t="shared" si="22"/>
        <v>453492</v>
      </c>
      <c r="CH39" s="17" t="s">
        <v>368</v>
      </c>
      <c r="CI39" s="21">
        <f>IF(Table1[[#This Row],[Check 3 Status]]="Continued", Table1[[#This Row],[Check 3 Students Summer]], 0)</f>
        <v>210</v>
      </c>
      <c r="CJ39" s="58">
        <f>Table1[[#This Row],[Check 3 Per Student Savings]]*CI39</f>
        <v>44089.5</v>
      </c>
      <c r="CK39" s="21">
        <f>IF(Table1[[#This Row],[Check 3 Status]]="Continued", Table1[[#This Row],[Check 3 Students Fall]], 0)</f>
        <v>975</v>
      </c>
      <c r="CL39" s="58">
        <f>Table1[[#This Row],[Check 3 Per Student Savings]]*CK39</f>
        <v>204701.25</v>
      </c>
      <c r="CM39" s="21">
        <f>IF(Table1[[#This Row],[Check 3 Status]]="Continued", Table1[[#This Row],[Check 3 Students Spring]], 0)</f>
        <v>975</v>
      </c>
      <c r="CN39" s="58">
        <f>Table1[[#This Row],[Check 3 Per Student Savings]]*CM39</f>
        <v>204701.25</v>
      </c>
      <c r="CO39" s="21">
        <f t="shared" si="23"/>
        <v>2160</v>
      </c>
      <c r="CP39" s="58">
        <f t="shared" si="24"/>
        <v>453492</v>
      </c>
      <c r="CQ39" s="58" t="s">
        <v>130</v>
      </c>
      <c r="CR39" s="21">
        <v>210</v>
      </c>
      <c r="CS39" s="21">
        <v>975</v>
      </c>
      <c r="CT39" s="21">
        <v>975</v>
      </c>
      <c r="CU39" s="21">
        <f t="shared" si="25"/>
        <v>2160</v>
      </c>
      <c r="CV39" s="58">
        <v>209.95</v>
      </c>
      <c r="CW39" s="58">
        <f t="shared" si="26"/>
        <v>453492</v>
      </c>
      <c r="CX39" s="58"/>
      <c r="CY39" s="21">
        <f>IF(Table1[[#This Row],[Check 4 Status]]="Continued", Table1[[#This Row],[Check 4 Students Summer]], 0)</f>
        <v>210</v>
      </c>
      <c r="CZ39" s="58">
        <f>Table1[[#This Row],[Check 4 Per Student Savings]]*CY39</f>
        <v>44089.5</v>
      </c>
      <c r="DA39" s="21">
        <f>IF(Table1[[#This Row],[Check 4 Status]]="Continued", Table1[[#This Row],[Check 4 Students Fall]], 0)</f>
        <v>975</v>
      </c>
      <c r="DB39" s="58">
        <f>Table1[[#This Row],[Check 4 Per Student Savings]]*DA39</f>
        <v>204701.25</v>
      </c>
      <c r="DC39" s="21">
        <f>IF(Table1[[#This Row],[Check 4 Status]]="Continued", Table1[[#This Row],[Check 4 Students Spring]], 0)</f>
        <v>975</v>
      </c>
      <c r="DD39" s="58">
        <f>Table1[[#This Row],[Check 4 Per Student Savings]]*DC39</f>
        <v>204701.25</v>
      </c>
      <c r="DE39" s="58">
        <f t="shared" si="27"/>
        <v>2160</v>
      </c>
      <c r="DF39" s="58">
        <f t="shared" si="28"/>
        <v>453492</v>
      </c>
      <c r="DG3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6678</v>
      </c>
      <c r="DH3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1408638</v>
      </c>
      <c r="DI39" s="58">
        <f>Table1[[#This Row],[Grand Total Savings]]/Table1[[#This Row],[Total Award]]</f>
        <v>130.42944444444444</v>
      </c>
      <c r="DJ39" s="17"/>
      <c r="DK39" s="17"/>
      <c r="DL39" s="17"/>
      <c r="DM39" s="17"/>
      <c r="EC39" s="17"/>
      <c r="ED39" s="17"/>
      <c r="EE39" s="17"/>
      <c r="EF39" s="17"/>
    </row>
    <row r="40" spans="1:136" x14ac:dyDescent="0.25">
      <c r="A40" s="157" t="s">
        <v>369</v>
      </c>
      <c r="B40" s="17" t="s">
        <v>2011</v>
      </c>
      <c r="D40" s="97">
        <v>510036</v>
      </c>
      <c r="E40" s="158">
        <v>42180</v>
      </c>
      <c r="F40" s="158">
        <v>42380</v>
      </c>
      <c r="G40" s="159" t="s">
        <v>330</v>
      </c>
      <c r="H40" s="95" t="s">
        <v>10</v>
      </c>
      <c r="I40" s="226" t="s">
        <v>118</v>
      </c>
      <c r="J40" s="17" t="s">
        <v>250</v>
      </c>
      <c r="K40" s="107">
        <v>10800</v>
      </c>
      <c r="L40" s="107"/>
      <c r="M40" s="101" t="s">
        <v>370</v>
      </c>
      <c r="N40" s="101" t="s">
        <v>371</v>
      </c>
      <c r="O40" s="101" t="s">
        <v>372</v>
      </c>
      <c r="P40" s="101" t="s">
        <v>373</v>
      </c>
      <c r="Q40" s="101" t="s">
        <v>148</v>
      </c>
      <c r="R40" s="101" t="s">
        <v>372</v>
      </c>
      <c r="S40" s="101" t="s">
        <v>129</v>
      </c>
      <c r="T40" s="17" t="s">
        <v>125</v>
      </c>
      <c r="U40" s="160" t="s">
        <v>374</v>
      </c>
      <c r="V40" s="17" t="s">
        <v>150</v>
      </c>
      <c r="W40" s="17" t="s">
        <v>127</v>
      </c>
      <c r="X40" s="17" t="s">
        <v>127</v>
      </c>
      <c r="Y40" s="58">
        <v>79800</v>
      </c>
      <c r="Z40" s="17">
        <v>350</v>
      </c>
      <c r="AA40" s="58">
        <f t="shared" si="53"/>
        <v>228</v>
      </c>
      <c r="AB40" s="21">
        <f t="shared" si="1"/>
        <v>116.66666666666667</v>
      </c>
      <c r="AC40" s="21">
        <f t="shared" si="2"/>
        <v>116.66666666666667</v>
      </c>
      <c r="AD40" s="21">
        <f t="shared" si="3"/>
        <v>116.66666666666667</v>
      </c>
      <c r="AE40" s="17" t="s">
        <v>208</v>
      </c>
      <c r="AF40" s="17" t="s">
        <v>129</v>
      </c>
      <c r="AG40" s="17"/>
      <c r="AI40" s="17" t="s">
        <v>130</v>
      </c>
      <c r="AJ40" s="21">
        <v>0</v>
      </c>
      <c r="AK40" s="58">
        <v>0</v>
      </c>
      <c r="AL40" s="21">
        <v>0</v>
      </c>
      <c r="AM40" s="58">
        <f t="shared" si="52"/>
        <v>0</v>
      </c>
      <c r="AN40" s="21">
        <v>0</v>
      </c>
      <c r="AO40" s="58">
        <f t="shared" si="54"/>
        <v>0</v>
      </c>
      <c r="AP40" s="21">
        <f>Table1[[#This Row],[Students Per Fall]]</f>
        <v>116.66666666666667</v>
      </c>
      <c r="AQ40" s="58">
        <f t="shared" si="55"/>
        <v>26600</v>
      </c>
      <c r="AR40" s="21">
        <f>IF(Table1[[#This Row],[Sustainability Check 1 (2017-2018) Status]]="Continued", Table1[[#This Row],[Students Per Spring]], 0)</f>
        <v>116.66666666666667</v>
      </c>
      <c r="AS40" s="58">
        <f t="shared" si="56"/>
        <v>26600</v>
      </c>
      <c r="AT40" s="21">
        <f t="shared" si="40"/>
        <v>233.33333333333334</v>
      </c>
      <c r="AU40" s="58">
        <f t="shared" si="29"/>
        <v>53200</v>
      </c>
      <c r="AV40" s="21">
        <f>IF(Table1[[#This Row],[Sustainability Check 1 (2017-2018) Status]]="Continued", Table1[[#This Row],[Students Per Summer]], 0)</f>
        <v>116.66666666666667</v>
      </c>
      <c r="AW40" s="58">
        <f t="shared" si="41"/>
        <v>26600</v>
      </c>
      <c r="AX40" s="31">
        <f>IF(Table1[[#This Row],[Sustainability Check 1 (2017-2018) Status]]="Continued", Table1[[#This Row],[Students Per Fall]], 0)</f>
        <v>116.66666666666667</v>
      </c>
      <c r="AY40" s="58">
        <f t="shared" si="42"/>
        <v>26600</v>
      </c>
      <c r="AZ40" s="31">
        <f>IF(Table1[[#This Row],[Sustainability Check 1 (2017-2018) Status]]="Continued", Table1[[#This Row],[Students Per Spring]], 0)</f>
        <v>116.66666666666667</v>
      </c>
      <c r="BA40" s="58">
        <f t="shared" si="43"/>
        <v>26600</v>
      </c>
      <c r="BB40" s="31">
        <f t="shared" si="44"/>
        <v>350</v>
      </c>
      <c r="BC40" s="58">
        <f t="shared" si="45"/>
        <v>79800</v>
      </c>
      <c r="BD40" s="31">
        <f>IF(Table1[[#This Row],[Sustainability Check 1 (2017-2018) Status]]="Continued", Table1[[#This Row],[Students Per Summer]], 0)</f>
        <v>116.66666666666667</v>
      </c>
      <c r="BE40" s="58">
        <f t="shared" si="46"/>
        <v>26600</v>
      </c>
      <c r="BF40" s="31">
        <f>IF(Table1[[#This Row],[Sustainability Check 1 (2017-2018) Status]]="Continued", Table1[[#This Row],[Students Per Fall]], 0)</f>
        <v>116.66666666666667</v>
      </c>
      <c r="BG40" s="58">
        <f t="shared" si="47"/>
        <v>26600</v>
      </c>
      <c r="BH40" s="31">
        <f>IF(Table1[[#This Row],[Sustainability Check 1 (2017-2018) Status]]="Continued", Table1[[#This Row],[Students Per Spring]], 0)</f>
        <v>116.66666666666667</v>
      </c>
      <c r="BI40" s="58">
        <f t="shared" si="48"/>
        <v>26600</v>
      </c>
      <c r="BJ40" s="31">
        <f t="shared" si="49"/>
        <v>350</v>
      </c>
      <c r="BK40" s="58">
        <f t="shared" si="50"/>
        <v>79800</v>
      </c>
      <c r="BL40" s="58" t="s">
        <v>130</v>
      </c>
      <c r="BM40" s="31">
        <v>20</v>
      </c>
      <c r="BN40" s="31">
        <v>20</v>
      </c>
      <c r="BO40" s="31">
        <v>20</v>
      </c>
      <c r="BP40" s="31">
        <f t="shared" si="51"/>
        <v>60</v>
      </c>
      <c r="BQ40" s="96">
        <v>249.95</v>
      </c>
      <c r="BR40" s="58">
        <f>Table1[[#This Row],[Check 2 Students Total]]*Table1[[#This Row],[Summer 2018 Price Check]]</f>
        <v>14997</v>
      </c>
      <c r="BS40" s="31">
        <f>IF(Table1[[#This Row],[Sustainability Check 2 (2018-2019) Status]]="Continued", Table1[[#This Row],[Check 2 Students Summer]], 0)</f>
        <v>20</v>
      </c>
      <c r="BT40" s="58">
        <f>Table1[[#This Row],[Summer 2018 Price Check]]*BS40</f>
        <v>4999</v>
      </c>
      <c r="BU40" s="31">
        <f>IF(Table1[[#This Row],[Sustainability Check 2 (2018-2019) Status]]="Continued", Table1[[#This Row],[Check 2 Students Fall]], 0)</f>
        <v>20</v>
      </c>
      <c r="BV40" s="58">
        <f>Table1[[#This Row],[Summer 2018 Price Check]]*BU40</f>
        <v>4999</v>
      </c>
      <c r="BW40" s="21">
        <f>IF(Table1[[#This Row],[Sustainability Check 2 (2018-2019) Status]]="Continued", Table1[Check 2 Students Spring], 0)</f>
        <v>20</v>
      </c>
      <c r="BX40" s="58">
        <f>Table1[[#This Row],[Summer 2018 Price Check]]*Table1[[#This Row],[Spring 2019 Students]]</f>
        <v>4999</v>
      </c>
      <c r="BY40" s="31">
        <f t="shared" si="19"/>
        <v>60</v>
      </c>
      <c r="BZ40" s="58">
        <f t="shared" si="20"/>
        <v>14997</v>
      </c>
      <c r="CA40" s="58" t="s">
        <v>130</v>
      </c>
      <c r="CB40" s="21">
        <v>20</v>
      </c>
      <c r="CC40" s="21">
        <v>0</v>
      </c>
      <c r="CD40" s="21">
        <v>40</v>
      </c>
      <c r="CE40" s="21">
        <f t="shared" si="57"/>
        <v>60</v>
      </c>
      <c r="CF40" s="58">
        <v>228</v>
      </c>
      <c r="CG40" s="58">
        <f t="shared" si="22"/>
        <v>13680</v>
      </c>
      <c r="CH40" s="17" t="s">
        <v>208</v>
      </c>
      <c r="CI40" s="21">
        <f>IF(Table1[[#This Row],[Check 3 Status]]="Continued", Table1[[#This Row],[Check 3 Students Summer]], 0)</f>
        <v>20</v>
      </c>
      <c r="CJ40" s="58">
        <f>Table1[[#This Row],[Check 3 Per Student Savings]]*CI40</f>
        <v>4560</v>
      </c>
      <c r="CK40" s="21">
        <f>IF(Table1[[#This Row],[Check 3 Status]]="Continued", Table1[[#This Row],[Check 3 Students Fall]], 0)</f>
        <v>0</v>
      </c>
      <c r="CL40" s="58">
        <f>Table1[[#This Row],[Check 3 Per Student Savings]]*CK40</f>
        <v>0</v>
      </c>
      <c r="CM40" s="21">
        <f>IF(Table1[[#This Row],[Check 3 Status]]="Continued", Table1[[#This Row],[Check 3 Students Spring]], 0)</f>
        <v>40</v>
      </c>
      <c r="CN40" s="58">
        <f>Table1[[#This Row],[Check 3 Per Student Savings]]*CM40</f>
        <v>9120</v>
      </c>
      <c r="CO40" s="21">
        <f t="shared" si="23"/>
        <v>60</v>
      </c>
      <c r="CP40" s="58">
        <f t="shared" si="24"/>
        <v>13680</v>
      </c>
      <c r="CQ40" s="58" t="s">
        <v>130</v>
      </c>
      <c r="CR40" s="21">
        <v>20</v>
      </c>
      <c r="CS40" s="21">
        <v>0</v>
      </c>
      <c r="CT40" s="21">
        <v>40</v>
      </c>
      <c r="CU40" s="21">
        <f t="shared" si="25"/>
        <v>60</v>
      </c>
      <c r="CV40" s="58">
        <v>228</v>
      </c>
      <c r="CW40" s="58">
        <f t="shared" si="26"/>
        <v>13680</v>
      </c>
      <c r="CX40" s="58"/>
      <c r="CY40" s="21">
        <f>IF(Table1[[#This Row],[Check 4 Status]]="Continued", Table1[[#This Row],[Check 4 Students Summer]], 0)</f>
        <v>20</v>
      </c>
      <c r="CZ40" s="58">
        <f>Table1[[#This Row],[Check 4 Per Student Savings]]*CY40</f>
        <v>4560</v>
      </c>
      <c r="DA40" s="21">
        <f>IF(Table1[[#This Row],[Check 4 Status]]="Continued", Table1[[#This Row],[Check 4 Students Fall]], 0)</f>
        <v>0</v>
      </c>
      <c r="DB40" s="58">
        <f>Table1[[#This Row],[Check 4 Per Student Savings]]*DA40</f>
        <v>0</v>
      </c>
      <c r="DC40" s="21">
        <f>IF(Table1[[#This Row],[Check 4 Status]]="Continued", Table1[[#This Row],[Check 4 Students Spring]], 0)</f>
        <v>40</v>
      </c>
      <c r="DD40" s="58">
        <f>Table1[[#This Row],[Check 4 Per Student Savings]]*DC40</f>
        <v>9120</v>
      </c>
      <c r="DE40" s="58">
        <f t="shared" si="27"/>
        <v>60</v>
      </c>
      <c r="DF40" s="58">
        <f t="shared" si="28"/>
        <v>13680</v>
      </c>
      <c r="DG4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1113.3333333333335</v>
      </c>
      <c r="DH4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255157</v>
      </c>
      <c r="DI40" s="58">
        <f>Table1[[#This Row],[Grand Total Savings]]/Table1[[#This Row],[Total Award]]</f>
        <v>23.625648148148148</v>
      </c>
      <c r="DJ40" s="17"/>
      <c r="DK40" s="17"/>
      <c r="DL40" s="17"/>
      <c r="DM40" s="17"/>
      <c r="EC40" s="17"/>
      <c r="ED40" s="17"/>
      <c r="EE40" s="17"/>
      <c r="EF40" s="17"/>
    </row>
    <row r="41" spans="1:136" x14ac:dyDescent="0.25">
      <c r="A41" s="157" t="s">
        <v>375</v>
      </c>
      <c r="B41" s="17" t="s">
        <v>2011</v>
      </c>
      <c r="D41" s="97">
        <v>510034</v>
      </c>
      <c r="E41" s="158">
        <v>42178</v>
      </c>
      <c r="F41" s="158">
        <v>42380</v>
      </c>
      <c r="G41" s="159" t="s">
        <v>330</v>
      </c>
      <c r="H41" s="95" t="s">
        <v>10</v>
      </c>
      <c r="I41" s="226" t="s">
        <v>118</v>
      </c>
      <c r="J41" s="17" t="s">
        <v>276</v>
      </c>
      <c r="K41" s="107">
        <v>10800</v>
      </c>
      <c r="L41" s="107"/>
      <c r="M41" s="101" t="s">
        <v>376</v>
      </c>
      <c r="N41" s="101" t="s">
        <v>377</v>
      </c>
      <c r="O41" s="101" t="s">
        <v>378</v>
      </c>
      <c r="P41" s="101" t="s">
        <v>379</v>
      </c>
      <c r="Q41" s="101" t="s">
        <v>272</v>
      </c>
      <c r="R41" s="101" t="s">
        <v>380</v>
      </c>
      <c r="S41" s="101" t="s">
        <v>129</v>
      </c>
      <c r="T41" s="17" t="s">
        <v>125</v>
      </c>
      <c r="U41" s="160" t="s">
        <v>274</v>
      </c>
      <c r="V41" s="17" t="s">
        <v>150</v>
      </c>
      <c r="W41" s="17" t="s">
        <v>150</v>
      </c>
      <c r="X41" s="17" t="s">
        <v>150</v>
      </c>
      <c r="Y41" s="58">
        <v>33000</v>
      </c>
      <c r="Z41" s="17">
        <v>100</v>
      </c>
      <c r="AA41" s="58">
        <f t="shared" si="53"/>
        <v>330</v>
      </c>
      <c r="AB41" s="21">
        <f t="shared" si="1"/>
        <v>33.333333333333336</v>
      </c>
      <c r="AC41" s="21">
        <f t="shared" si="2"/>
        <v>33.333333333333336</v>
      </c>
      <c r="AD41" s="21">
        <f t="shared" si="3"/>
        <v>33.333333333333336</v>
      </c>
      <c r="AE41" s="17" t="s">
        <v>194</v>
      </c>
      <c r="AF41" s="17" t="s">
        <v>129</v>
      </c>
      <c r="AG41" s="17"/>
      <c r="AI41" s="17" t="s">
        <v>130</v>
      </c>
      <c r="AJ41" s="21">
        <v>0</v>
      </c>
      <c r="AK41" s="58">
        <v>0</v>
      </c>
      <c r="AL41" s="21">
        <v>0</v>
      </c>
      <c r="AM41" s="58">
        <f t="shared" si="52"/>
        <v>0</v>
      </c>
      <c r="AN41" s="21">
        <v>0</v>
      </c>
      <c r="AO41" s="58">
        <f t="shared" si="54"/>
        <v>0</v>
      </c>
      <c r="AP41" s="21">
        <v>0</v>
      </c>
      <c r="AQ41" s="58">
        <f t="shared" si="55"/>
        <v>0</v>
      </c>
      <c r="AR41" s="21">
        <f>Table1[[#This Row],[Students Per Spring]]</f>
        <v>33.333333333333336</v>
      </c>
      <c r="AS41" s="58">
        <f t="shared" si="56"/>
        <v>11000</v>
      </c>
      <c r="AT41" s="21">
        <f t="shared" si="40"/>
        <v>33.333333333333336</v>
      </c>
      <c r="AU41" s="58">
        <f t="shared" si="29"/>
        <v>11000</v>
      </c>
      <c r="AV41" s="21">
        <f>IF(Table1[[#This Row],[Sustainability Check 1 (2017-2018) Status]]="Continued", Table1[[#This Row],[Students Per Summer]], 0)</f>
        <v>33.333333333333336</v>
      </c>
      <c r="AW41" s="58">
        <f t="shared" si="41"/>
        <v>11000</v>
      </c>
      <c r="AX41" s="31">
        <f>IF(Table1[[#This Row],[Sustainability Check 1 (2017-2018) Status]]="Continued", Table1[[#This Row],[Students Per Fall]], 0)</f>
        <v>33.333333333333336</v>
      </c>
      <c r="AY41" s="58">
        <f t="shared" si="42"/>
        <v>11000</v>
      </c>
      <c r="AZ41" s="31">
        <f>IF(Table1[[#This Row],[Sustainability Check 1 (2017-2018) Status]]="Continued", Table1[[#This Row],[Students Per Spring]], 0)</f>
        <v>33.333333333333336</v>
      </c>
      <c r="BA41" s="58">
        <f t="shared" si="43"/>
        <v>11000</v>
      </c>
      <c r="BB41" s="31">
        <f t="shared" si="44"/>
        <v>100</v>
      </c>
      <c r="BC41" s="58">
        <f t="shared" si="45"/>
        <v>33000</v>
      </c>
      <c r="BD41" s="31">
        <f>IF(Table1[[#This Row],[Sustainability Check 1 (2017-2018) Status]]="Continued", Table1[[#This Row],[Students Per Summer]], 0)</f>
        <v>33.333333333333336</v>
      </c>
      <c r="BE41" s="58">
        <f t="shared" si="46"/>
        <v>11000</v>
      </c>
      <c r="BF41" s="31">
        <f>IF(Table1[[#This Row],[Sustainability Check 1 (2017-2018) Status]]="Continued", Table1[[#This Row],[Students Per Fall]], 0)</f>
        <v>33.333333333333336</v>
      </c>
      <c r="BG41" s="58">
        <f t="shared" si="47"/>
        <v>11000</v>
      </c>
      <c r="BH41" s="31">
        <f>IF(Table1[[#This Row],[Sustainability Check 1 (2017-2018) Status]]="Continued", Table1[[#This Row],[Students Per Spring]], 0)</f>
        <v>33.333333333333336</v>
      </c>
      <c r="BI41" s="58">
        <f t="shared" si="48"/>
        <v>11000</v>
      </c>
      <c r="BJ41" s="31">
        <f t="shared" si="49"/>
        <v>100</v>
      </c>
      <c r="BK41" s="58">
        <f t="shared" si="50"/>
        <v>33000</v>
      </c>
      <c r="BL41" s="58" t="s">
        <v>142</v>
      </c>
      <c r="BM41" s="31">
        <v>0</v>
      </c>
      <c r="BN41" s="31">
        <v>0</v>
      </c>
      <c r="BO41" s="31">
        <v>0</v>
      </c>
      <c r="BP41" s="31">
        <f t="shared" si="51"/>
        <v>0</v>
      </c>
      <c r="BQ41" s="96">
        <v>189.95</v>
      </c>
      <c r="BR41" s="58">
        <f>Table1[[#This Row],[Check 2 Students Total]]*Table1[[#This Row],[Summer 2018 Price Check]]</f>
        <v>0</v>
      </c>
      <c r="BS41" s="31">
        <f>IF(Table1[[#This Row],[Sustainability Check 2 (2018-2019) Status]]="Continued", Table1[[#This Row],[Check 2 Students Summer]], 0)</f>
        <v>0</v>
      </c>
      <c r="BT41" s="58">
        <f>Table1[[#This Row],[Summer 2018 Price Check]]*BS41</f>
        <v>0</v>
      </c>
      <c r="BU41" s="31">
        <f>IF(Table1[[#This Row],[Sustainability Check 2 (2018-2019) Status]]="Continued", Table1[[#This Row],[Check 2 Students Fall]], 0)</f>
        <v>0</v>
      </c>
      <c r="BV41" s="58">
        <f>Table1[[#This Row],[Summer 2018 Price Check]]*BU41</f>
        <v>0</v>
      </c>
      <c r="BW41" s="21">
        <f>IF(Table1[[#This Row],[Sustainability Check 2 (2018-2019) Status]]="Continued", Table1[Check 2 Students Spring], 0)</f>
        <v>0</v>
      </c>
      <c r="BX41" s="58">
        <f>Table1[[#This Row],[Summer 2018 Price Check]]*Table1[[#This Row],[Spring 2019 Students]]</f>
        <v>0</v>
      </c>
      <c r="BY41" s="31">
        <f t="shared" si="19"/>
        <v>0</v>
      </c>
      <c r="BZ41" s="58">
        <f t="shared" si="20"/>
        <v>0</v>
      </c>
      <c r="CA41" s="58" t="s">
        <v>142</v>
      </c>
      <c r="CB41" s="21">
        <v>0</v>
      </c>
      <c r="CC41" s="21">
        <v>0</v>
      </c>
      <c r="CD41" s="21">
        <v>0</v>
      </c>
      <c r="CE41" s="21">
        <f t="shared" si="57"/>
        <v>0</v>
      </c>
      <c r="CF41" s="58">
        <v>0</v>
      </c>
      <c r="CG41" s="58">
        <f t="shared" si="22"/>
        <v>0</v>
      </c>
      <c r="CH41" s="17" t="s">
        <v>194</v>
      </c>
      <c r="CI41" s="21">
        <f>IF(Table1[[#This Row],[Check 3 Status]]="Continued", Table1[[#This Row],[Check 3 Students Summer]], 0)</f>
        <v>0</v>
      </c>
      <c r="CJ41" s="58">
        <f>Table1[[#This Row],[Check 3 Per Student Savings]]*CI41</f>
        <v>0</v>
      </c>
      <c r="CK41" s="21">
        <f>IF(Table1[[#This Row],[Check 3 Status]]="Continued", Table1[[#This Row],[Check 3 Students Fall]], 0)</f>
        <v>0</v>
      </c>
      <c r="CL41" s="58">
        <f>Table1[[#This Row],[Check 3 Per Student Savings]]*CK41</f>
        <v>0</v>
      </c>
      <c r="CM41" s="21">
        <f>IF(Table1[[#This Row],[Check 3 Status]]="Continued", Table1[[#This Row],[Check 3 Students Spring]], 0)</f>
        <v>0</v>
      </c>
      <c r="CN41" s="58">
        <f>Table1[[#This Row],[Check 3 Per Student Savings]]*CM41</f>
        <v>0</v>
      </c>
      <c r="CO41" s="21">
        <f t="shared" si="23"/>
        <v>0</v>
      </c>
      <c r="CP41" s="58">
        <f t="shared" si="24"/>
        <v>0</v>
      </c>
      <c r="CQ41" s="58" t="s">
        <v>142</v>
      </c>
      <c r="CR41" s="21">
        <v>0</v>
      </c>
      <c r="CS41" s="21">
        <v>0</v>
      </c>
      <c r="CT41" s="21">
        <v>0</v>
      </c>
      <c r="CU41" s="21">
        <f t="shared" si="25"/>
        <v>0</v>
      </c>
      <c r="CV41" s="58">
        <v>0</v>
      </c>
      <c r="CW41" s="58">
        <f t="shared" si="26"/>
        <v>0</v>
      </c>
      <c r="CX41" s="58"/>
      <c r="CY41" s="21">
        <f>IF(Table1[[#This Row],[Check 4 Status]]="Continued", Table1[[#This Row],[Check 4 Students Summer]], 0)</f>
        <v>0</v>
      </c>
      <c r="CZ41" s="58">
        <f>Table1[[#This Row],[Check 4 Per Student Savings]]*CY41</f>
        <v>0</v>
      </c>
      <c r="DA41" s="21">
        <f>IF(Table1[[#This Row],[Check 4 Status]]="Continued", Table1[[#This Row],[Check 4 Students Fall]], 0)</f>
        <v>0</v>
      </c>
      <c r="DB41" s="58">
        <f>Table1[[#This Row],[Check 4 Per Student Savings]]*DA41</f>
        <v>0</v>
      </c>
      <c r="DC41" s="21">
        <f>IF(Table1[[#This Row],[Check 4 Status]]="Continued", Table1[[#This Row],[Check 4 Students Spring]], 0)</f>
        <v>0</v>
      </c>
      <c r="DD41" s="58">
        <f>Table1[[#This Row],[Check 4 Per Student Savings]]*DC41</f>
        <v>0</v>
      </c>
      <c r="DE41" s="58">
        <f t="shared" si="27"/>
        <v>0</v>
      </c>
      <c r="DF41" s="58">
        <f t="shared" si="28"/>
        <v>0</v>
      </c>
      <c r="DG4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233.33333333333334</v>
      </c>
      <c r="DH4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77000</v>
      </c>
      <c r="DI41" s="58">
        <f>Table1[[#This Row],[Grand Total Savings]]/Table1[[#This Row],[Total Award]]</f>
        <v>7.1296296296296298</v>
      </c>
      <c r="DJ41" s="17"/>
      <c r="DK41" s="17"/>
      <c r="DL41" s="17"/>
      <c r="DM41" s="17"/>
      <c r="EC41" s="17"/>
      <c r="ED41" s="17"/>
      <c r="EE41" s="17"/>
      <c r="EF41" s="17"/>
    </row>
    <row r="42" spans="1:136" x14ac:dyDescent="0.25">
      <c r="A42" s="159">
        <v>101</v>
      </c>
      <c r="B42" s="17" t="s">
        <v>2011</v>
      </c>
      <c r="D42" s="97">
        <v>510261</v>
      </c>
      <c r="E42" s="158">
        <v>42202</v>
      </c>
      <c r="F42" s="158">
        <v>42514</v>
      </c>
      <c r="G42" s="157" t="s">
        <v>330</v>
      </c>
      <c r="H42" s="95" t="s">
        <v>10</v>
      </c>
      <c r="I42" s="226" t="s">
        <v>118</v>
      </c>
      <c r="J42" s="17" t="s">
        <v>201</v>
      </c>
      <c r="K42" s="107">
        <v>17000</v>
      </c>
      <c r="L42" s="107"/>
      <c r="M42" s="101" t="s">
        <v>381</v>
      </c>
      <c r="N42" s="101" t="s">
        <v>382</v>
      </c>
      <c r="O42" s="101" t="s">
        <v>383</v>
      </c>
      <c r="P42" s="101" t="s">
        <v>384</v>
      </c>
      <c r="Q42" s="101" t="s">
        <v>156</v>
      </c>
      <c r="R42" s="101" t="s">
        <v>129</v>
      </c>
      <c r="S42" s="160" t="s">
        <v>36</v>
      </c>
      <c r="T42" s="17" t="s">
        <v>129</v>
      </c>
      <c r="U42" s="101" t="s">
        <v>157</v>
      </c>
      <c r="V42" s="17" t="s">
        <v>150</v>
      </c>
      <c r="W42" s="17" t="s">
        <v>127</v>
      </c>
      <c r="X42" s="17" t="s">
        <v>127</v>
      </c>
      <c r="Y42" s="58">
        <v>27162</v>
      </c>
      <c r="Z42" s="17">
        <v>200</v>
      </c>
      <c r="AA42" s="58">
        <f t="shared" si="53"/>
        <v>135.81</v>
      </c>
      <c r="AB42" s="21">
        <f t="shared" si="1"/>
        <v>66.666666666666671</v>
      </c>
      <c r="AC42" s="21">
        <f t="shared" si="2"/>
        <v>66.666666666666671</v>
      </c>
      <c r="AD42" s="21">
        <f t="shared" si="3"/>
        <v>66.666666666666671</v>
      </c>
      <c r="AE42" s="17" t="s">
        <v>208</v>
      </c>
      <c r="AF42" s="17" t="s">
        <v>129</v>
      </c>
      <c r="AG42" s="17"/>
      <c r="AI42" s="17" t="s">
        <v>130</v>
      </c>
      <c r="AJ42" s="21">
        <v>0</v>
      </c>
      <c r="AK42" s="58">
        <v>0</v>
      </c>
      <c r="AL42" s="21">
        <v>0</v>
      </c>
      <c r="AM42" s="58">
        <f t="shared" si="52"/>
        <v>0</v>
      </c>
      <c r="AN42" s="21">
        <v>0</v>
      </c>
      <c r="AO42" s="58">
        <f t="shared" si="54"/>
        <v>0</v>
      </c>
      <c r="AP42" s="21">
        <f>Table1[[#This Row],[Students Per Fall]]</f>
        <v>66.666666666666671</v>
      </c>
      <c r="AQ42" s="58">
        <f t="shared" si="55"/>
        <v>9054</v>
      </c>
      <c r="AR42" s="21">
        <f>IF(Table1[[#This Row],[Sustainability Check 1 (2017-2018) Status]]="Continued", Table1[[#This Row],[Students Per Spring]], 0)</f>
        <v>66.666666666666671</v>
      </c>
      <c r="AS42" s="58">
        <f t="shared" si="56"/>
        <v>9054</v>
      </c>
      <c r="AT42" s="21">
        <f t="shared" si="40"/>
        <v>133.33333333333334</v>
      </c>
      <c r="AU42" s="58">
        <f t="shared" ref="AU42:AU73" si="58">AO42+AQ42+AS42</f>
        <v>18108</v>
      </c>
      <c r="AV42" s="21">
        <f>IF(Table1[[#This Row],[Sustainability Check 1 (2017-2018) Status]]="Continued", Table1[[#This Row],[Students Per Summer]], 0)</f>
        <v>66.666666666666671</v>
      </c>
      <c r="AW42" s="58">
        <f t="shared" si="41"/>
        <v>9054</v>
      </c>
      <c r="AX42" s="31">
        <f>IF(Table1[[#This Row],[Sustainability Check 1 (2017-2018) Status]]="Continued", Table1[[#This Row],[Students Per Fall]], 0)</f>
        <v>66.666666666666671</v>
      </c>
      <c r="AY42" s="58">
        <f t="shared" si="42"/>
        <v>9054</v>
      </c>
      <c r="AZ42" s="31">
        <f>IF(Table1[[#This Row],[Sustainability Check 1 (2017-2018) Status]]="Continued", Table1[[#This Row],[Students Per Spring]], 0)</f>
        <v>66.666666666666671</v>
      </c>
      <c r="BA42" s="58">
        <f t="shared" si="43"/>
        <v>9054</v>
      </c>
      <c r="BB42" s="31">
        <f t="shared" si="44"/>
        <v>200</v>
      </c>
      <c r="BC42" s="58">
        <f t="shared" si="45"/>
        <v>27162</v>
      </c>
      <c r="BD42" s="31">
        <f>IF(Table1[[#This Row],[Sustainability Check 1 (2017-2018) Status]]="Continued", Table1[[#This Row],[Students Per Summer]], 0)</f>
        <v>66.666666666666671</v>
      </c>
      <c r="BE42" s="58">
        <f t="shared" si="46"/>
        <v>9054</v>
      </c>
      <c r="BF42" s="31">
        <f>IF(Table1[[#This Row],[Sustainability Check 1 (2017-2018) Status]]="Continued", Table1[[#This Row],[Students Per Fall]], 0)</f>
        <v>66.666666666666671</v>
      </c>
      <c r="BG42" s="58">
        <f t="shared" si="47"/>
        <v>9054</v>
      </c>
      <c r="BH42" s="31">
        <f>IF(Table1[[#This Row],[Sustainability Check 1 (2017-2018) Status]]="Continued", Table1[[#This Row],[Students Per Spring]], 0)</f>
        <v>66.666666666666671</v>
      </c>
      <c r="BI42" s="58">
        <f t="shared" si="48"/>
        <v>9054</v>
      </c>
      <c r="BJ42" s="31">
        <f t="shared" si="49"/>
        <v>200</v>
      </c>
      <c r="BK42" s="58">
        <f t="shared" si="50"/>
        <v>27162</v>
      </c>
      <c r="BL42" s="58" t="s">
        <v>130</v>
      </c>
      <c r="BM42" s="31">
        <v>0</v>
      </c>
      <c r="BN42" s="31">
        <v>0</v>
      </c>
      <c r="BO42" s="31">
        <v>90</v>
      </c>
      <c r="BP42" s="31">
        <f t="shared" si="51"/>
        <v>90</v>
      </c>
      <c r="BQ42" s="58">
        <v>121.67</v>
      </c>
      <c r="BR42" s="58">
        <f>Table1[[#This Row],[Check 2 Students Total]]*Table1[[#This Row],[Summer 2018 Price Check]]</f>
        <v>10950.3</v>
      </c>
      <c r="BS42" s="31">
        <f>IF(Table1[[#This Row],[Sustainability Check 2 (2018-2019) Status]]="Continued", Table1[[#This Row],[Check 2 Students Summer]], 0)</f>
        <v>0</v>
      </c>
      <c r="BT42" s="58">
        <f>Table1[[#This Row],[Summer 2018 Price Check]]*BS42</f>
        <v>0</v>
      </c>
      <c r="BU42" s="31">
        <f>IF(Table1[[#This Row],[Sustainability Check 2 (2018-2019) Status]]="Continued", Table1[[#This Row],[Check 2 Students Fall]], 0)</f>
        <v>0</v>
      </c>
      <c r="BV42" s="58">
        <f>Table1[[#This Row],[Summer 2018 Price Check]]*BU42</f>
        <v>0</v>
      </c>
      <c r="BW42" s="21">
        <f>IF(Table1[[#This Row],[Sustainability Check 2 (2018-2019) Status]]="Continued", Table1[Check 2 Students Spring], 0)</f>
        <v>90</v>
      </c>
      <c r="BX42" s="58">
        <f>Table1[[#This Row],[Summer 2018 Price Check]]*Table1[[#This Row],[Spring 2019 Students]]</f>
        <v>10950.3</v>
      </c>
      <c r="BY42" s="31">
        <f t="shared" si="19"/>
        <v>90</v>
      </c>
      <c r="BZ42" s="58">
        <f t="shared" si="20"/>
        <v>10950.3</v>
      </c>
      <c r="CA42" s="58" t="s">
        <v>130</v>
      </c>
      <c r="CB42" s="21">
        <v>0</v>
      </c>
      <c r="CC42" s="21">
        <v>0</v>
      </c>
      <c r="CD42" s="21">
        <v>90</v>
      </c>
      <c r="CE42" s="21">
        <f t="shared" si="57"/>
        <v>90</v>
      </c>
      <c r="CF42" s="58">
        <v>135.81</v>
      </c>
      <c r="CG42" s="58">
        <f t="shared" si="22"/>
        <v>12222.9</v>
      </c>
      <c r="CH42" s="17" t="s">
        <v>208</v>
      </c>
      <c r="CI42" s="21">
        <f>IF(Table1[[#This Row],[Check 3 Status]]="Continued", Table1[[#This Row],[Check 3 Students Summer]], 0)</f>
        <v>0</v>
      </c>
      <c r="CJ42" s="58">
        <f>Table1[[#This Row],[Check 3 Per Student Savings]]*CI42</f>
        <v>0</v>
      </c>
      <c r="CK42" s="21">
        <f>IF(Table1[[#This Row],[Check 3 Status]]="Continued", Table1[[#This Row],[Check 3 Students Fall]], 0)</f>
        <v>0</v>
      </c>
      <c r="CL42" s="58">
        <f>Table1[[#This Row],[Check 3 Per Student Savings]]*CK42</f>
        <v>0</v>
      </c>
      <c r="CM42" s="21">
        <f>IF(Table1[[#This Row],[Check 3 Status]]="Continued", Table1[[#This Row],[Check 3 Students Spring]], 0)</f>
        <v>90</v>
      </c>
      <c r="CN42" s="58">
        <f>Table1[[#This Row],[Check 3 Per Student Savings]]*CM42</f>
        <v>12222.9</v>
      </c>
      <c r="CO42" s="21">
        <f t="shared" si="23"/>
        <v>90</v>
      </c>
      <c r="CP42" s="58">
        <f t="shared" si="24"/>
        <v>12222.9</v>
      </c>
      <c r="CQ42" s="58" t="s">
        <v>130</v>
      </c>
      <c r="CR42" s="21">
        <v>0</v>
      </c>
      <c r="CS42" s="21">
        <v>0</v>
      </c>
      <c r="CT42" s="21">
        <v>90</v>
      </c>
      <c r="CU42" s="21">
        <f t="shared" si="25"/>
        <v>90</v>
      </c>
      <c r="CV42" s="58">
        <v>135.81</v>
      </c>
      <c r="CW42" s="58">
        <f t="shared" si="26"/>
        <v>12222.9</v>
      </c>
      <c r="CX42" s="58"/>
      <c r="CY42" s="21">
        <f>IF(Table1[[#This Row],[Check 4 Status]]="Continued", Table1[[#This Row],[Check 4 Students Summer]], 0)</f>
        <v>0</v>
      </c>
      <c r="CZ42" s="58">
        <f>Table1[[#This Row],[Check 4 Per Student Savings]]*CY42</f>
        <v>0</v>
      </c>
      <c r="DA42" s="21">
        <f>IF(Table1[[#This Row],[Check 4 Status]]="Continued", Table1[[#This Row],[Check 4 Students Fall]], 0)</f>
        <v>0</v>
      </c>
      <c r="DB42" s="58">
        <f>Table1[[#This Row],[Check 4 Per Student Savings]]*DA42</f>
        <v>0</v>
      </c>
      <c r="DC42" s="21">
        <f>IF(Table1[[#This Row],[Check 4 Status]]="Continued", Table1[[#This Row],[Check 4 Students Spring]], 0)</f>
        <v>90</v>
      </c>
      <c r="DD42" s="58">
        <f>Table1[[#This Row],[Check 4 Per Student Savings]]*DC42</f>
        <v>12222.9</v>
      </c>
      <c r="DE42" s="58">
        <f t="shared" si="27"/>
        <v>90</v>
      </c>
      <c r="DF42" s="58">
        <f t="shared" si="28"/>
        <v>12222.9</v>
      </c>
      <c r="DG4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803.33333333333337</v>
      </c>
      <c r="DH4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107828.09999999999</v>
      </c>
      <c r="DI42" s="58">
        <f>Table1[[#This Row],[Grand Total Savings]]/Table1[[#This Row],[Total Award]]</f>
        <v>6.342829411764705</v>
      </c>
      <c r="DJ42" s="17"/>
      <c r="DK42" s="17"/>
      <c r="DL42" s="17"/>
      <c r="DM42" s="17"/>
      <c r="EC42" s="17"/>
      <c r="ED42" s="17"/>
      <c r="EE42" s="17"/>
      <c r="EF42" s="17"/>
    </row>
    <row r="43" spans="1:136" x14ac:dyDescent="0.25">
      <c r="A43" s="159">
        <v>102</v>
      </c>
      <c r="B43" s="17" t="s">
        <v>2011</v>
      </c>
      <c r="D43" s="97">
        <v>510250</v>
      </c>
      <c r="E43" s="158">
        <v>42360</v>
      </c>
      <c r="F43" s="158">
        <v>42380</v>
      </c>
      <c r="G43" s="159" t="s">
        <v>330</v>
      </c>
      <c r="H43" s="95" t="s">
        <v>10</v>
      </c>
      <c r="I43" s="226" t="s">
        <v>118</v>
      </c>
      <c r="J43" s="17" t="s">
        <v>201</v>
      </c>
      <c r="K43" s="107">
        <v>30000</v>
      </c>
      <c r="L43" s="107"/>
      <c r="M43" s="101" t="s">
        <v>385</v>
      </c>
      <c r="N43" s="101" t="s">
        <v>386</v>
      </c>
      <c r="O43" s="101" t="s">
        <v>204</v>
      </c>
      <c r="P43" s="101" t="s">
        <v>205</v>
      </c>
      <c r="Q43" s="101" t="s">
        <v>206</v>
      </c>
      <c r="R43" s="101" t="s">
        <v>204</v>
      </c>
      <c r="S43" s="101" t="s">
        <v>129</v>
      </c>
      <c r="T43" s="17" t="s">
        <v>125</v>
      </c>
      <c r="U43" s="160" t="s">
        <v>387</v>
      </c>
      <c r="V43" s="17" t="s">
        <v>150</v>
      </c>
      <c r="W43" s="17" t="s">
        <v>150</v>
      </c>
      <c r="X43" s="17" t="s">
        <v>150</v>
      </c>
      <c r="Y43" s="58">
        <v>65070</v>
      </c>
      <c r="Z43" s="17">
        <v>495</v>
      </c>
      <c r="AA43" s="58">
        <f t="shared" si="53"/>
        <v>131.45454545454547</v>
      </c>
      <c r="AB43" s="21">
        <f t="shared" si="1"/>
        <v>165</v>
      </c>
      <c r="AC43" s="21">
        <f t="shared" si="2"/>
        <v>165</v>
      </c>
      <c r="AD43" s="21">
        <f t="shared" si="3"/>
        <v>165</v>
      </c>
      <c r="AE43" s="17" t="s">
        <v>208</v>
      </c>
      <c r="AF43" s="17" t="s">
        <v>129</v>
      </c>
      <c r="AG43" s="17"/>
      <c r="AI43" s="17" t="s">
        <v>130</v>
      </c>
      <c r="AJ43" s="21">
        <v>0</v>
      </c>
      <c r="AK43" s="58">
        <v>0</v>
      </c>
      <c r="AL43" s="21">
        <v>0</v>
      </c>
      <c r="AM43" s="58">
        <f t="shared" si="52"/>
        <v>0</v>
      </c>
      <c r="AN43" s="21">
        <v>0</v>
      </c>
      <c r="AO43" s="58">
        <f t="shared" si="54"/>
        <v>0</v>
      </c>
      <c r="AP43" s="21">
        <f>Table1[[#This Row],[Students Per Fall]]</f>
        <v>165</v>
      </c>
      <c r="AQ43" s="58">
        <f t="shared" si="55"/>
        <v>21690.000000000004</v>
      </c>
      <c r="AR43" s="21">
        <f>IF(Table1[[#This Row],[Sustainability Check 1 (2017-2018) Status]]="Continued", Table1[[#This Row],[Students Per Spring]], 0)</f>
        <v>165</v>
      </c>
      <c r="AS43" s="58">
        <f t="shared" si="56"/>
        <v>21690.000000000004</v>
      </c>
      <c r="AT43" s="21">
        <f t="shared" si="40"/>
        <v>330</v>
      </c>
      <c r="AU43" s="58">
        <f t="shared" si="58"/>
        <v>43380.000000000007</v>
      </c>
      <c r="AV43" s="21">
        <f>IF(Table1[[#This Row],[Sustainability Check 1 (2017-2018) Status]]="Continued", Table1[[#This Row],[Students Per Summer]], 0)</f>
        <v>165</v>
      </c>
      <c r="AW43" s="58">
        <f t="shared" si="41"/>
        <v>21690.000000000004</v>
      </c>
      <c r="AX43" s="31">
        <f>IF(Table1[[#This Row],[Sustainability Check 1 (2017-2018) Status]]="Continued", Table1[[#This Row],[Students Per Fall]], 0)</f>
        <v>165</v>
      </c>
      <c r="AY43" s="58">
        <f t="shared" si="42"/>
        <v>21690.000000000004</v>
      </c>
      <c r="AZ43" s="31">
        <f>IF(Table1[[#This Row],[Sustainability Check 1 (2017-2018) Status]]="Continued", Table1[[#This Row],[Students Per Spring]], 0)</f>
        <v>165</v>
      </c>
      <c r="BA43" s="58">
        <f t="shared" si="43"/>
        <v>21690.000000000004</v>
      </c>
      <c r="BB43" s="31">
        <f t="shared" si="44"/>
        <v>495</v>
      </c>
      <c r="BC43" s="58">
        <f t="shared" si="45"/>
        <v>65070.000000000015</v>
      </c>
      <c r="BD43" s="31">
        <f>IF(Table1[[#This Row],[Sustainability Check 1 (2017-2018) Status]]="Continued", Table1[[#This Row],[Students Per Summer]], 0)</f>
        <v>165</v>
      </c>
      <c r="BE43" s="58">
        <f t="shared" si="46"/>
        <v>21690.000000000004</v>
      </c>
      <c r="BF43" s="31">
        <f>IF(Table1[[#This Row],[Sustainability Check 1 (2017-2018) Status]]="Continued", Table1[[#This Row],[Students Per Fall]], 0)</f>
        <v>165</v>
      </c>
      <c r="BG43" s="58">
        <f t="shared" si="47"/>
        <v>21690.000000000004</v>
      </c>
      <c r="BH43" s="31">
        <f>IF(Table1[[#This Row],[Sustainability Check 1 (2017-2018) Status]]="Continued", Table1[[#This Row],[Students Per Spring]], 0)</f>
        <v>165</v>
      </c>
      <c r="BI43" s="58">
        <f t="shared" si="48"/>
        <v>21690.000000000004</v>
      </c>
      <c r="BJ43" s="31">
        <f t="shared" si="49"/>
        <v>495</v>
      </c>
      <c r="BK43" s="58">
        <f t="shared" si="50"/>
        <v>65070.000000000015</v>
      </c>
      <c r="BL43" s="58" t="s">
        <v>130</v>
      </c>
      <c r="BM43" s="31">
        <v>0</v>
      </c>
      <c r="BN43" s="31">
        <v>200</v>
      </c>
      <c r="BO43" s="31">
        <v>180</v>
      </c>
      <c r="BP43" s="31">
        <f t="shared" si="51"/>
        <v>380</v>
      </c>
      <c r="BQ43" s="58">
        <v>152.96</v>
      </c>
      <c r="BR43" s="58">
        <f>Table1[[#This Row],[Check 2 Students Total]]*Table1[[#This Row],[Summer 2018 Price Check]]</f>
        <v>58124.800000000003</v>
      </c>
      <c r="BS43" s="31">
        <f>IF(Table1[[#This Row],[Sustainability Check 2 (2018-2019) Status]]="Continued", Table1[[#This Row],[Check 2 Students Summer]], 0)</f>
        <v>0</v>
      </c>
      <c r="BT43" s="58">
        <f>Table1[[#This Row],[Summer 2018 Price Check]]*BS43</f>
        <v>0</v>
      </c>
      <c r="BU43" s="31">
        <f>IF(Table1[[#This Row],[Sustainability Check 2 (2018-2019) Status]]="Continued", Table1[[#This Row],[Check 2 Students Fall]], 0)</f>
        <v>200</v>
      </c>
      <c r="BV43" s="58">
        <f>Table1[[#This Row],[Summer 2018 Price Check]]*BU43</f>
        <v>30592</v>
      </c>
      <c r="BW43" s="21">
        <f>IF(Table1[[#This Row],[Sustainability Check 2 (2018-2019) Status]]="Continued", Table1[Check 2 Students Spring], 0)</f>
        <v>180</v>
      </c>
      <c r="BX43" s="58">
        <f>Table1[[#This Row],[Summer 2018 Price Check]]*Table1[[#This Row],[Spring 2019 Students]]</f>
        <v>27532.800000000003</v>
      </c>
      <c r="BY43" s="31">
        <f t="shared" si="19"/>
        <v>380</v>
      </c>
      <c r="BZ43" s="58">
        <f t="shared" si="20"/>
        <v>58124.800000000003</v>
      </c>
      <c r="CA43" s="58" t="s">
        <v>130</v>
      </c>
      <c r="CB43" s="21">
        <v>0</v>
      </c>
      <c r="CC43" s="21">
        <v>200</v>
      </c>
      <c r="CD43" s="21">
        <v>160</v>
      </c>
      <c r="CE43" s="21">
        <f t="shared" si="57"/>
        <v>360</v>
      </c>
      <c r="CF43" s="58">
        <v>131.44999999999999</v>
      </c>
      <c r="CG43" s="58">
        <f t="shared" si="22"/>
        <v>47321.999999999993</v>
      </c>
      <c r="CH43" s="17" t="s">
        <v>208</v>
      </c>
      <c r="CI43" s="21">
        <f>IF(Table1[[#This Row],[Check 3 Status]]="Continued", Table1[[#This Row],[Check 3 Students Summer]], 0)</f>
        <v>0</v>
      </c>
      <c r="CJ43" s="58">
        <f>Table1[[#This Row],[Check 3 Per Student Savings]]*CI43</f>
        <v>0</v>
      </c>
      <c r="CK43" s="21">
        <f>IF(Table1[[#This Row],[Check 3 Status]]="Continued", Table1[[#This Row],[Check 3 Students Fall]], 0)</f>
        <v>200</v>
      </c>
      <c r="CL43" s="58">
        <f>Table1[[#This Row],[Check 3 Per Student Savings]]*CK43</f>
        <v>26289.999999999996</v>
      </c>
      <c r="CM43" s="21">
        <f>IF(Table1[[#This Row],[Check 3 Status]]="Continued", Table1[[#This Row],[Check 3 Students Spring]], 0)</f>
        <v>160</v>
      </c>
      <c r="CN43" s="58">
        <f>Table1[[#This Row],[Check 3 Per Student Savings]]*CM43</f>
        <v>21032</v>
      </c>
      <c r="CO43" s="21">
        <f t="shared" si="23"/>
        <v>360</v>
      </c>
      <c r="CP43" s="58">
        <f t="shared" si="24"/>
        <v>47322</v>
      </c>
      <c r="CQ43" s="58" t="s">
        <v>130</v>
      </c>
      <c r="CR43" s="21">
        <v>0</v>
      </c>
      <c r="CS43" s="21">
        <v>200</v>
      </c>
      <c r="CT43" s="21">
        <v>160</v>
      </c>
      <c r="CU43" s="21">
        <f t="shared" si="25"/>
        <v>360</v>
      </c>
      <c r="CV43" s="58">
        <v>131.44999999999999</v>
      </c>
      <c r="CW43" s="58">
        <f t="shared" si="26"/>
        <v>47321.999999999993</v>
      </c>
      <c r="CX43" s="58"/>
      <c r="CY43" s="21">
        <f>IF(Table1[[#This Row],[Check 4 Status]]="Continued", Table1[[#This Row],[Check 4 Students Summer]], 0)</f>
        <v>0</v>
      </c>
      <c r="CZ43" s="58">
        <f>Table1[[#This Row],[Check 4 Per Student Savings]]*CY43</f>
        <v>0</v>
      </c>
      <c r="DA43" s="21">
        <f>IF(Table1[[#This Row],[Check 4 Status]]="Continued", Table1[[#This Row],[Check 4 Students Fall]], 0)</f>
        <v>200</v>
      </c>
      <c r="DB43" s="58">
        <f>Table1[[#This Row],[Check 4 Per Student Savings]]*DA43</f>
        <v>26289.999999999996</v>
      </c>
      <c r="DC43" s="21">
        <f>IF(Table1[[#This Row],[Check 4 Status]]="Continued", Table1[[#This Row],[Check 4 Students Spring]], 0)</f>
        <v>160</v>
      </c>
      <c r="DD43" s="58">
        <f>Table1[[#This Row],[Check 4 Per Student Savings]]*DC43</f>
        <v>21032</v>
      </c>
      <c r="DE43" s="58">
        <f t="shared" si="27"/>
        <v>360</v>
      </c>
      <c r="DF43" s="58">
        <f t="shared" si="28"/>
        <v>47322</v>
      </c>
      <c r="DG4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2420</v>
      </c>
      <c r="DH4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326288.80000000005</v>
      </c>
      <c r="DI43" s="58">
        <f>Table1[[#This Row],[Grand Total Savings]]/Table1[[#This Row],[Total Award]]</f>
        <v>10.876293333333335</v>
      </c>
      <c r="DJ43" s="17"/>
      <c r="DK43" s="17"/>
      <c r="DL43" s="17"/>
      <c r="DM43" s="17"/>
      <c r="EC43" s="17"/>
      <c r="ED43" s="17"/>
      <c r="EE43" s="17"/>
      <c r="EF43" s="17"/>
    </row>
    <row r="44" spans="1:136" x14ac:dyDescent="0.25">
      <c r="A44" s="159">
        <v>103</v>
      </c>
      <c r="B44" s="17" t="s">
        <v>2011</v>
      </c>
      <c r="D44" s="97">
        <v>510263</v>
      </c>
      <c r="E44" s="158">
        <v>42235</v>
      </c>
      <c r="F44" s="158">
        <v>42380</v>
      </c>
      <c r="G44" s="159" t="s">
        <v>330</v>
      </c>
      <c r="H44" s="95" t="s">
        <v>10</v>
      </c>
      <c r="I44" s="226" t="s">
        <v>118</v>
      </c>
      <c r="J44" s="17" t="s">
        <v>388</v>
      </c>
      <c r="K44" s="107">
        <v>25800</v>
      </c>
      <c r="L44" s="107"/>
      <c r="M44" s="101" t="s">
        <v>389</v>
      </c>
      <c r="N44" s="101" t="s">
        <v>390</v>
      </c>
      <c r="O44" s="101" t="s">
        <v>391</v>
      </c>
      <c r="P44" s="101" t="s">
        <v>392</v>
      </c>
      <c r="Q44" s="101" t="s">
        <v>317</v>
      </c>
      <c r="R44" s="101" t="s">
        <v>393</v>
      </c>
      <c r="S44" s="101" t="s">
        <v>129</v>
      </c>
      <c r="T44" s="17" t="s">
        <v>125</v>
      </c>
      <c r="U44" s="160" t="s">
        <v>394</v>
      </c>
      <c r="V44" s="17" t="s">
        <v>150</v>
      </c>
      <c r="W44" s="17" t="s">
        <v>150</v>
      </c>
      <c r="X44" s="17" t="s">
        <v>150</v>
      </c>
      <c r="Y44" s="58">
        <v>87734</v>
      </c>
      <c r="Z44" s="17">
        <v>660</v>
      </c>
      <c r="AA44" s="58">
        <f t="shared" si="53"/>
        <v>132.93030303030304</v>
      </c>
      <c r="AB44" s="21">
        <f t="shared" si="1"/>
        <v>220</v>
      </c>
      <c r="AC44" s="21">
        <f t="shared" si="2"/>
        <v>220</v>
      </c>
      <c r="AD44" s="21">
        <f t="shared" si="3"/>
        <v>220</v>
      </c>
      <c r="AE44" s="17" t="s">
        <v>208</v>
      </c>
      <c r="AF44" s="17" t="s">
        <v>129</v>
      </c>
      <c r="AG44" s="17"/>
      <c r="AI44" s="17" t="s">
        <v>130</v>
      </c>
      <c r="AJ44" s="21">
        <v>0</v>
      </c>
      <c r="AK44" s="58">
        <v>0</v>
      </c>
      <c r="AL44" s="21">
        <v>0</v>
      </c>
      <c r="AM44" s="58">
        <f t="shared" si="52"/>
        <v>0</v>
      </c>
      <c r="AN44" s="21">
        <v>0</v>
      </c>
      <c r="AO44" s="58">
        <f t="shared" si="54"/>
        <v>0</v>
      </c>
      <c r="AP44" s="21">
        <f>Table1[[#This Row],[Students Per Fall]]</f>
        <v>220</v>
      </c>
      <c r="AQ44" s="58">
        <f t="shared" si="55"/>
        <v>29244.666666666668</v>
      </c>
      <c r="AR44" s="21">
        <f>IF(Table1[[#This Row],[Sustainability Check 1 (2017-2018) Status]]="Continued", Table1[[#This Row],[Students Per Spring]], 0)</f>
        <v>220</v>
      </c>
      <c r="AS44" s="58">
        <f t="shared" si="56"/>
        <v>29244.666666666668</v>
      </c>
      <c r="AT44" s="21">
        <f t="shared" si="40"/>
        <v>440</v>
      </c>
      <c r="AU44" s="58">
        <f t="shared" si="58"/>
        <v>58489.333333333336</v>
      </c>
      <c r="AV44" s="21">
        <f>IF(Table1[[#This Row],[Sustainability Check 1 (2017-2018) Status]]="Continued", Table1[[#This Row],[Students Per Summer]], 0)</f>
        <v>220</v>
      </c>
      <c r="AW44" s="58">
        <f t="shared" si="41"/>
        <v>29244.666666666668</v>
      </c>
      <c r="AX44" s="31">
        <f>IF(Table1[[#This Row],[Sustainability Check 1 (2017-2018) Status]]="Continued", Table1[[#This Row],[Students Per Fall]], 0)</f>
        <v>220</v>
      </c>
      <c r="AY44" s="58">
        <f t="shared" si="42"/>
        <v>29244.666666666668</v>
      </c>
      <c r="AZ44" s="31">
        <f>IF(Table1[[#This Row],[Sustainability Check 1 (2017-2018) Status]]="Continued", Table1[[#This Row],[Students Per Spring]], 0)</f>
        <v>220</v>
      </c>
      <c r="BA44" s="58">
        <f t="shared" si="43"/>
        <v>29244.666666666668</v>
      </c>
      <c r="BB44" s="31">
        <f t="shared" si="44"/>
        <v>660</v>
      </c>
      <c r="BC44" s="58">
        <f t="shared" si="45"/>
        <v>87734</v>
      </c>
      <c r="BD44" s="31">
        <f>IF(Table1[[#This Row],[Sustainability Check 1 (2017-2018) Status]]="Continued", Table1[[#This Row],[Students Per Summer]], 0)</f>
        <v>220</v>
      </c>
      <c r="BE44" s="58">
        <f t="shared" si="46"/>
        <v>29244.666666666668</v>
      </c>
      <c r="BF44" s="31">
        <f>IF(Table1[[#This Row],[Sustainability Check 1 (2017-2018) Status]]="Continued", Table1[[#This Row],[Students Per Fall]], 0)</f>
        <v>220</v>
      </c>
      <c r="BG44" s="58">
        <f t="shared" si="47"/>
        <v>29244.666666666668</v>
      </c>
      <c r="BH44" s="31">
        <f>IF(Table1[[#This Row],[Sustainability Check 1 (2017-2018) Status]]="Continued", Table1[[#This Row],[Students Per Spring]], 0)</f>
        <v>220</v>
      </c>
      <c r="BI44" s="58">
        <f t="shared" si="48"/>
        <v>29244.666666666668</v>
      </c>
      <c r="BJ44" s="31">
        <f t="shared" si="49"/>
        <v>660</v>
      </c>
      <c r="BK44" s="58">
        <f t="shared" si="50"/>
        <v>87734</v>
      </c>
      <c r="BL44" s="58" t="s">
        <v>130</v>
      </c>
      <c r="BM44" s="31">
        <v>100</v>
      </c>
      <c r="BN44" s="31">
        <v>300</v>
      </c>
      <c r="BO44" s="31">
        <v>300</v>
      </c>
      <c r="BP44" s="31">
        <f t="shared" si="51"/>
        <v>700</v>
      </c>
      <c r="BQ44" s="58">
        <v>257.99</v>
      </c>
      <c r="BR44" s="58">
        <f>Table1[[#This Row],[Check 2 Students Total]]*Table1[[#This Row],[Summer 2018 Price Check]]</f>
        <v>180593</v>
      </c>
      <c r="BS44" s="31">
        <f>IF(Table1[[#This Row],[Sustainability Check 2 (2018-2019) Status]]="Continued", Table1[[#This Row],[Check 2 Students Summer]], 0)</f>
        <v>100</v>
      </c>
      <c r="BT44" s="58">
        <f>Table1[[#This Row],[Summer 2018 Price Check]]*BS44</f>
        <v>25799</v>
      </c>
      <c r="BU44" s="31">
        <f>IF(Table1[[#This Row],[Sustainability Check 2 (2018-2019) Status]]="Continued", Table1[[#This Row],[Check 2 Students Fall]], 0)</f>
        <v>300</v>
      </c>
      <c r="BV44" s="58">
        <f>Table1[[#This Row],[Summer 2018 Price Check]]*BU44</f>
        <v>77397</v>
      </c>
      <c r="BW44" s="21">
        <f>IF(Table1[[#This Row],[Sustainability Check 2 (2018-2019) Status]]="Continued", Table1[Check 2 Students Spring], 0)</f>
        <v>300</v>
      </c>
      <c r="BX44" s="58">
        <f>Table1[[#This Row],[Summer 2018 Price Check]]*Table1[[#This Row],[Spring 2019 Students]]</f>
        <v>77397</v>
      </c>
      <c r="BY44" s="31">
        <f t="shared" si="19"/>
        <v>700</v>
      </c>
      <c r="BZ44" s="58">
        <f t="shared" si="20"/>
        <v>180593</v>
      </c>
      <c r="CA44" s="58" t="s">
        <v>130</v>
      </c>
      <c r="CB44" s="21">
        <v>100</v>
      </c>
      <c r="CC44" s="21">
        <v>300</v>
      </c>
      <c r="CD44" s="21">
        <v>300</v>
      </c>
      <c r="CE44" s="21">
        <f t="shared" si="57"/>
        <v>700</v>
      </c>
      <c r="CF44" s="58">
        <v>132.93</v>
      </c>
      <c r="CG44" s="58">
        <f t="shared" si="22"/>
        <v>93051</v>
      </c>
      <c r="CH44" s="17" t="s">
        <v>208</v>
      </c>
      <c r="CI44" s="21">
        <f>IF(Table1[[#This Row],[Check 3 Status]]="Continued", Table1[[#This Row],[Check 3 Students Summer]], 0)</f>
        <v>100</v>
      </c>
      <c r="CJ44" s="58">
        <f>Table1[[#This Row],[Check 3 Per Student Savings]]*CI44</f>
        <v>13293</v>
      </c>
      <c r="CK44" s="21">
        <f>IF(Table1[[#This Row],[Check 3 Status]]="Continued", Table1[[#This Row],[Check 3 Students Fall]], 0)</f>
        <v>300</v>
      </c>
      <c r="CL44" s="58">
        <f>Table1[[#This Row],[Check 3 Per Student Savings]]*CK44</f>
        <v>39879</v>
      </c>
      <c r="CM44" s="21">
        <f>IF(Table1[[#This Row],[Check 3 Status]]="Continued", Table1[[#This Row],[Check 3 Students Spring]], 0)</f>
        <v>300</v>
      </c>
      <c r="CN44" s="58">
        <f>Table1[[#This Row],[Check 3 Per Student Savings]]*CM44</f>
        <v>39879</v>
      </c>
      <c r="CO44" s="21">
        <f t="shared" si="23"/>
        <v>700</v>
      </c>
      <c r="CP44" s="58">
        <f t="shared" si="24"/>
        <v>93051</v>
      </c>
      <c r="CQ44" s="58" t="s">
        <v>130</v>
      </c>
      <c r="CR44" s="21">
        <v>100</v>
      </c>
      <c r="CS44" s="21">
        <v>300</v>
      </c>
      <c r="CT44" s="21">
        <v>300</v>
      </c>
      <c r="CU44" s="21">
        <f t="shared" si="25"/>
        <v>700</v>
      </c>
      <c r="CV44" s="58">
        <v>132.93</v>
      </c>
      <c r="CW44" s="58">
        <f t="shared" si="26"/>
        <v>93051</v>
      </c>
      <c r="CX44" s="58"/>
      <c r="CY44" s="21">
        <f>IF(Table1[[#This Row],[Check 4 Status]]="Continued", Table1[[#This Row],[Check 4 Students Summer]], 0)</f>
        <v>100</v>
      </c>
      <c r="CZ44" s="58">
        <f>Table1[[#This Row],[Check 4 Per Student Savings]]*CY44</f>
        <v>13293</v>
      </c>
      <c r="DA44" s="21">
        <f>IF(Table1[[#This Row],[Check 4 Status]]="Continued", Table1[[#This Row],[Check 4 Students Fall]], 0)</f>
        <v>300</v>
      </c>
      <c r="DB44" s="58">
        <f>Table1[[#This Row],[Check 4 Per Student Savings]]*DA44</f>
        <v>39879</v>
      </c>
      <c r="DC44" s="21">
        <f>IF(Table1[[#This Row],[Check 4 Status]]="Continued", Table1[[#This Row],[Check 4 Students Spring]], 0)</f>
        <v>300</v>
      </c>
      <c r="DD44" s="58">
        <f>Table1[[#This Row],[Check 4 Per Student Savings]]*DC44</f>
        <v>39879</v>
      </c>
      <c r="DE44" s="58">
        <f t="shared" si="27"/>
        <v>700</v>
      </c>
      <c r="DF44" s="58">
        <f t="shared" si="28"/>
        <v>93051</v>
      </c>
      <c r="DG4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3860</v>
      </c>
      <c r="DH4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600652.33333333337</v>
      </c>
      <c r="DI44" s="58">
        <f>Table1[[#This Row],[Grand Total Savings]]/Table1[[#This Row],[Total Award]]</f>
        <v>23.281098191214472</v>
      </c>
      <c r="DJ44" s="17"/>
      <c r="DK44" s="17"/>
      <c r="DL44" s="17"/>
      <c r="DM44" s="17"/>
      <c r="EC44" s="17"/>
      <c r="ED44" s="17"/>
      <c r="EE44" s="17"/>
      <c r="EF44" s="17"/>
    </row>
    <row r="45" spans="1:136" ht="15.75" thickBot="1" x14ac:dyDescent="0.3">
      <c r="A45" s="159">
        <v>104</v>
      </c>
      <c r="B45" s="17" t="s">
        <v>2011</v>
      </c>
      <c r="D45" s="97">
        <v>510249</v>
      </c>
      <c r="E45" s="158">
        <v>42181</v>
      </c>
      <c r="F45" s="158">
        <v>42514</v>
      </c>
      <c r="G45" s="159" t="s">
        <v>330</v>
      </c>
      <c r="H45" s="95" t="s">
        <v>10</v>
      </c>
      <c r="I45" s="226" t="s">
        <v>118</v>
      </c>
      <c r="J45" s="17" t="s">
        <v>172</v>
      </c>
      <c r="K45" s="107">
        <v>30000</v>
      </c>
      <c r="L45" s="107"/>
      <c r="M45" s="101" t="s">
        <v>395</v>
      </c>
      <c r="N45" s="17" t="s">
        <v>396</v>
      </c>
      <c r="O45" s="101" t="s">
        <v>397</v>
      </c>
      <c r="P45" s="101" t="s">
        <v>398</v>
      </c>
      <c r="Q45" s="101" t="s">
        <v>248</v>
      </c>
      <c r="R45" s="101" t="s">
        <v>399</v>
      </c>
      <c r="S45" s="160" t="s">
        <v>36</v>
      </c>
      <c r="T45" s="17" t="s">
        <v>129</v>
      </c>
      <c r="U45" s="160" t="s">
        <v>400</v>
      </c>
      <c r="V45" s="17" t="s">
        <v>150</v>
      </c>
      <c r="W45" s="17" t="s">
        <v>127</v>
      </c>
      <c r="X45" s="17" t="s">
        <v>139</v>
      </c>
      <c r="Y45" s="58">
        <v>1050175.44</v>
      </c>
      <c r="Z45" s="31">
        <v>5688</v>
      </c>
      <c r="AA45" s="58">
        <f t="shared" si="53"/>
        <v>184.63</v>
      </c>
      <c r="AB45" s="21">
        <f t="shared" si="1"/>
        <v>1896</v>
      </c>
      <c r="AC45" s="21">
        <f t="shared" si="2"/>
        <v>1896</v>
      </c>
      <c r="AD45" s="21">
        <f t="shared" si="3"/>
        <v>1896</v>
      </c>
      <c r="AE45" s="17" t="s">
        <v>128</v>
      </c>
      <c r="AF45" s="17" t="s">
        <v>129</v>
      </c>
      <c r="AG45" s="17"/>
      <c r="AI45" s="17" t="s">
        <v>130</v>
      </c>
      <c r="AJ45" s="21">
        <f>Table1[[#This Row],[Students Per Spring]]</f>
        <v>1896</v>
      </c>
      <c r="AK45" s="58">
        <f>$AA45*AJ45</f>
        <v>350058.48</v>
      </c>
      <c r="AL45" s="21">
        <f>AJ45</f>
        <v>1896</v>
      </c>
      <c r="AM45" s="58">
        <f t="shared" si="52"/>
        <v>350058.48</v>
      </c>
      <c r="AN45" s="21">
        <f>IF(Table1[[#This Row],[Sustainability Check 1 (2017-2018) Status]]="Continued", Table1[[#This Row],[Students Per Summer]], 0)</f>
        <v>1896</v>
      </c>
      <c r="AO45" s="58">
        <f t="shared" si="54"/>
        <v>350058.48</v>
      </c>
      <c r="AP45" s="21">
        <f>IF(Table1[[#This Row],[Sustainability Check 1 (2017-2018) Status]]="Continued", Table1[[#This Row],[Students Per Fall]], 0)</f>
        <v>1896</v>
      </c>
      <c r="AQ45" s="58">
        <f t="shared" si="55"/>
        <v>350058.48</v>
      </c>
      <c r="AR45" s="21">
        <f>IF(Table1[[#This Row],[Sustainability Check 1 (2017-2018) Status]]="Continued", Table1[[#This Row],[Students Per Spring]], 0)</f>
        <v>1896</v>
      </c>
      <c r="AS45" s="58">
        <f t="shared" si="56"/>
        <v>350058.48</v>
      </c>
      <c r="AT45" s="21">
        <f t="shared" si="40"/>
        <v>5688</v>
      </c>
      <c r="AU45" s="58">
        <f t="shared" si="58"/>
        <v>1050175.44</v>
      </c>
      <c r="AV45" s="21">
        <f>IF(Table1[[#This Row],[Sustainability Check 1 (2017-2018) Status]]="Continued", Table1[[#This Row],[Students Per Summer]], 0)</f>
        <v>1896</v>
      </c>
      <c r="AW45" s="58">
        <f t="shared" si="41"/>
        <v>350058.48</v>
      </c>
      <c r="AX45" s="31">
        <f>IF(Table1[[#This Row],[Sustainability Check 1 (2017-2018) Status]]="Continued", Table1[[#This Row],[Students Per Fall]], 0)</f>
        <v>1896</v>
      </c>
      <c r="AY45" s="58">
        <f t="shared" si="42"/>
        <v>350058.48</v>
      </c>
      <c r="AZ45" s="31">
        <f>IF(Table1[[#This Row],[Sustainability Check 1 (2017-2018) Status]]="Continued", Table1[[#This Row],[Students Per Spring]], 0)</f>
        <v>1896</v>
      </c>
      <c r="BA45" s="58">
        <f t="shared" si="43"/>
        <v>350058.48</v>
      </c>
      <c r="BB45" s="31">
        <f t="shared" si="44"/>
        <v>5688</v>
      </c>
      <c r="BC45" s="58">
        <f t="shared" si="45"/>
        <v>1050175.44</v>
      </c>
      <c r="BD45" s="31">
        <f>IF(Table1[[#This Row],[Sustainability Check 1 (2017-2018) Status]]="Continued", Table1[[#This Row],[Students Per Summer]], 0)</f>
        <v>1896</v>
      </c>
      <c r="BE45" s="58">
        <f t="shared" si="46"/>
        <v>350058.48</v>
      </c>
      <c r="BF45" s="31">
        <f>IF(Table1[[#This Row],[Sustainability Check 1 (2017-2018) Status]]="Continued", Table1[[#This Row],[Students Per Fall]], 0)</f>
        <v>1896</v>
      </c>
      <c r="BG45" s="58">
        <f t="shared" si="47"/>
        <v>350058.48</v>
      </c>
      <c r="BH45" s="31">
        <f>IF(Table1[[#This Row],[Sustainability Check 1 (2017-2018) Status]]="Continued", Table1[[#This Row],[Students Per Spring]], 0)</f>
        <v>1896</v>
      </c>
      <c r="BI45" s="58">
        <f t="shared" si="48"/>
        <v>350058.48</v>
      </c>
      <c r="BJ45" s="31">
        <f t="shared" si="49"/>
        <v>5688</v>
      </c>
      <c r="BK45" s="58">
        <f t="shared" si="50"/>
        <v>1050175.44</v>
      </c>
      <c r="BL45" s="58" t="s">
        <v>130</v>
      </c>
      <c r="BM45" s="31">
        <v>1896</v>
      </c>
      <c r="BN45" s="31">
        <v>1896</v>
      </c>
      <c r="BO45" s="31">
        <v>1896</v>
      </c>
      <c r="BP45" s="31">
        <f t="shared" si="51"/>
        <v>5688</v>
      </c>
      <c r="BQ45" s="58">
        <v>151.94</v>
      </c>
      <c r="BR45" s="58">
        <f>Table1[[#This Row],[Check 2 Students Total]]*Table1[[#This Row],[Summer 2018 Price Check]]</f>
        <v>864234.72</v>
      </c>
      <c r="BS45" s="31">
        <f>IF(Table1[[#This Row],[Sustainability Check 2 (2018-2019) Status]]="Continued", Table1[[#This Row],[Check 2 Students Summer]], 0)</f>
        <v>1896</v>
      </c>
      <c r="BT45" s="58">
        <f>Table1[[#This Row],[Summer 2018 Price Check]]*BS45</f>
        <v>288078.24</v>
      </c>
      <c r="BU45" s="31">
        <f>IF(Table1[[#This Row],[Sustainability Check 2 (2018-2019) Status]]="Continued", Table1[[#This Row],[Check 2 Students Fall]], 0)</f>
        <v>1896</v>
      </c>
      <c r="BV45" s="58">
        <f>Table1[[#This Row],[Summer 2018 Price Check]]*BU45</f>
        <v>288078.24</v>
      </c>
      <c r="BW45" s="21">
        <f>IF(Table1[[#This Row],[Sustainability Check 2 (2018-2019) Status]]="Continued", Table1[Check 2 Students Spring], 0)</f>
        <v>1896</v>
      </c>
      <c r="BX45" s="58">
        <f>Table1[[#This Row],[Summer 2018 Price Check]]*Table1[[#This Row],[Spring 2019 Students]]</f>
        <v>288078.24</v>
      </c>
      <c r="BY45" s="31">
        <f t="shared" si="19"/>
        <v>5688</v>
      </c>
      <c r="BZ45" s="58">
        <f t="shared" si="20"/>
        <v>864234.72</v>
      </c>
      <c r="CA45" s="99" t="s">
        <v>1783</v>
      </c>
      <c r="CB45" s="21">
        <v>0</v>
      </c>
      <c r="CC45" s="21">
        <v>0</v>
      </c>
      <c r="CD45" s="21">
        <v>0</v>
      </c>
      <c r="CE45" s="21">
        <f t="shared" si="57"/>
        <v>0</v>
      </c>
      <c r="CF45" s="58">
        <v>0</v>
      </c>
      <c r="CG45" s="58">
        <f t="shared" si="22"/>
        <v>0</v>
      </c>
      <c r="CH45" s="17" t="s">
        <v>128</v>
      </c>
      <c r="CI45" s="21">
        <f>IF(Table1[[#This Row],[Check 3 Status]]="Continued", Table1[[#This Row],[Check 3 Students Summer]], 0)</f>
        <v>0</v>
      </c>
      <c r="CJ45" s="58">
        <f>Table1[[#This Row],[Check 3 Per Student Savings]]*CI45</f>
        <v>0</v>
      </c>
      <c r="CK45" s="21">
        <f>IF(Table1[[#This Row],[Check 3 Status]]="Continued", Table1[[#This Row],[Check 3 Students Fall]], 0)</f>
        <v>0</v>
      </c>
      <c r="CL45" s="58">
        <f>Table1[[#This Row],[Check 3 Per Student Savings]]*CK45</f>
        <v>0</v>
      </c>
      <c r="CM45" s="21">
        <f>IF(Table1[[#This Row],[Check 3 Status]]="Continued", Table1[[#This Row],[Check 3 Students Spring]], 0)</f>
        <v>0</v>
      </c>
      <c r="CN45" s="58">
        <f>Table1[[#This Row],[Check 3 Per Student Savings]]*CM45</f>
        <v>0</v>
      </c>
      <c r="CO45" s="21">
        <f t="shared" si="23"/>
        <v>0</v>
      </c>
      <c r="CP45" s="58">
        <f t="shared" si="24"/>
        <v>0</v>
      </c>
      <c r="CQ45" s="58" t="s">
        <v>1783</v>
      </c>
      <c r="CR45" s="21">
        <v>0</v>
      </c>
      <c r="CS45" s="21">
        <v>0</v>
      </c>
      <c r="CT45" s="21">
        <v>0</v>
      </c>
      <c r="CU45" s="21">
        <f t="shared" si="25"/>
        <v>0</v>
      </c>
      <c r="CV45" s="58">
        <v>0</v>
      </c>
      <c r="CW45" s="58">
        <f t="shared" si="26"/>
        <v>0</v>
      </c>
      <c r="CX45" s="58"/>
      <c r="CY45" s="21">
        <f>IF(Table1[[#This Row],[Check 4 Status]]="Continued", Table1[[#This Row],[Check 4 Students Summer]], 0)</f>
        <v>0</v>
      </c>
      <c r="CZ45" s="58">
        <f>Table1[[#This Row],[Check 4 Per Student Savings]]*CY45</f>
        <v>0</v>
      </c>
      <c r="DA45" s="21">
        <f>IF(Table1[[#This Row],[Check 4 Status]]="Continued", Table1[[#This Row],[Check 4 Students Fall]], 0)</f>
        <v>0</v>
      </c>
      <c r="DB45" s="58">
        <f>Table1[[#This Row],[Check 4 Per Student Savings]]*DA45</f>
        <v>0</v>
      </c>
      <c r="DC45" s="21">
        <f>IF(Table1[[#This Row],[Check 4 Status]]="Continued", Table1[[#This Row],[Check 4 Students Spring]], 0)</f>
        <v>0</v>
      </c>
      <c r="DD45" s="58">
        <f>Table1[[#This Row],[Check 4 Per Student Savings]]*DC45</f>
        <v>0</v>
      </c>
      <c r="DE45" s="58">
        <f t="shared" si="27"/>
        <v>0</v>
      </c>
      <c r="DF45" s="58">
        <f t="shared" si="28"/>
        <v>0</v>
      </c>
      <c r="DG4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24648</v>
      </c>
      <c r="DH4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4364819.5199999996</v>
      </c>
      <c r="DI45" s="58">
        <f>Table1[[#This Row],[Grand Total Savings]]/Table1[[#This Row],[Total Award]]</f>
        <v>145.49398399999998</v>
      </c>
      <c r="DJ45" s="17"/>
      <c r="DK45" s="17"/>
      <c r="DL45" s="17"/>
      <c r="DM45" s="17"/>
      <c r="EC45" s="17"/>
      <c r="ED45" s="17"/>
      <c r="EE45" s="17"/>
      <c r="EF45" s="17"/>
    </row>
    <row r="46" spans="1:136" ht="16.5" thickTop="1" thickBot="1" x14ac:dyDescent="0.3">
      <c r="A46" s="159">
        <v>107</v>
      </c>
      <c r="B46" s="17" t="s">
        <v>2011</v>
      </c>
      <c r="D46" s="97">
        <v>510262</v>
      </c>
      <c r="E46" s="158">
        <v>42181</v>
      </c>
      <c r="F46" s="158">
        <v>42380</v>
      </c>
      <c r="G46" s="162" t="s">
        <v>330</v>
      </c>
      <c r="H46" s="95" t="s">
        <v>10</v>
      </c>
      <c r="I46" s="226" t="s">
        <v>118</v>
      </c>
      <c r="J46" s="17" t="s">
        <v>243</v>
      </c>
      <c r="K46" s="107">
        <v>25800</v>
      </c>
      <c r="L46" s="107"/>
      <c r="M46" s="101" t="s">
        <v>401</v>
      </c>
      <c r="N46" s="101" t="s">
        <v>402</v>
      </c>
      <c r="O46" s="101" t="s">
        <v>403</v>
      </c>
      <c r="P46" s="101" t="s">
        <v>404</v>
      </c>
      <c r="Q46" s="101" t="s">
        <v>317</v>
      </c>
      <c r="R46" s="101" t="s">
        <v>129</v>
      </c>
      <c r="S46" s="101" t="s">
        <v>129</v>
      </c>
      <c r="T46" s="17" t="s">
        <v>129</v>
      </c>
      <c r="U46" s="101" t="s">
        <v>164</v>
      </c>
      <c r="V46" s="17" t="s">
        <v>150</v>
      </c>
      <c r="W46" s="17" t="s">
        <v>150</v>
      </c>
      <c r="X46" s="17" t="s">
        <v>150</v>
      </c>
      <c r="Y46" s="58">
        <v>32508</v>
      </c>
      <c r="Z46" s="17">
        <v>180</v>
      </c>
      <c r="AA46" s="58">
        <f t="shared" si="53"/>
        <v>180.6</v>
      </c>
      <c r="AB46" s="21">
        <f t="shared" si="1"/>
        <v>60</v>
      </c>
      <c r="AC46" s="21">
        <f t="shared" si="2"/>
        <v>60</v>
      </c>
      <c r="AD46" s="21">
        <f t="shared" si="3"/>
        <v>60</v>
      </c>
      <c r="AE46" s="17" t="s">
        <v>208</v>
      </c>
      <c r="AF46" s="17" t="s">
        <v>129</v>
      </c>
      <c r="AG46" s="17"/>
      <c r="AI46" s="17" t="s">
        <v>130</v>
      </c>
      <c r="AJ46" s="21">
        <v>0</v>
      </c>
      <c r="AK46" s="58">
        <v>0</v>
      </c>
      <c r="AL46" s="21">
        <v>0</v>
      </c>
      <c r="AM46" s="58">
        <f t="shared" si="52"/>
        <v>0</v>
      </c>
      <c r="AN46" s="21">
        <v>0</v>
      </c>
      <c r="AO46" s="58">
        <f t="shared" si="54"/>
        <v>0</v>
      </c>
      <c r="AP46" s="21">
        <f>Table1[[#This Row],[Students Per Fall]]</f>
        <v>60</v>
      </c>
      <c r="AQ46" s="58">
        <f t="shared" si="55"/>
        <v>10836</v>
      </c>
      <c r="AR46" s="21">
        <f>IF(Table1[[#This Row],[Sustainability Check 1 (2017-2018) Status]]="Continued", Table1[[#This Row],[Students Per Spring]], 0)</f>
        <v>60</v>
      </c>
      <c r="AS46" s="58">
        <f t="shared" si="56"/>
        <v>10836</v>
      </c>
      <c r="AT46" s="21">
        <f t="shared" si="40"/>
        <v>120</v>
      </c>
      <c r="AU46" s="58">
        <f t="shared" si="58"/>
        <v>21672</v>
      </c>
      <c r="AV46" s="21">
        <f>IF(Table1[[#This Row],[Sustainability Check 1 (2017-2018) Status]]="Continued", Table1[[#This Row],[Students Per Summer]], 0)</f>
        <v>60</v>
      </c>
      <c r="AW46" s="58">
        <f t="shared" si="41"/>
        <v>10836</v>
      </c>
      <c r="AX46" s="31">
        <f>IF(Table1[[#This Row],[Sustainability Check 1 (2017-2018) Status]]="Continued", Table1[[#This Row],[Students Per Fall]], 0)</f>
        <v>60</v>
      </c>
      <c r="AY46" s="58">
        <f t="shared" si="42"/>
        <v>10836</v>
      </c>
      <c r="AZ46" s="31">
        <f>IF(Table1[[#This Row],[Sustainability Check 1 (2017-2018) Status]]="Continued", Table1[[#This Row],[Students Per Spring]], 0)</f>
        <v>60</v>
      </c>
      <c r="BA46" s="58">
        <f t="shared" si="43"/>
        <v>10836</v>
      </c>
      <c r="BB46" s="31">
        <f t="shared" si="44"/>
        <v>180</v>
      </c>
      <c r="BC46" s="58">
        <f t="shared" si="45"/>
        <v>32508</v>
      </c>
      <c r="BD46" s="31">
        <f>IF(Table1[[#This Row],[Sustainability Check 1 (2017-2018) Status]]="Continued", Table1[[#This Row],[Students Per Summer]], 0)</f>
        <v>60</v>
      </c>
      <c r="BE46" s="58">
        <f t="shared" si="46"/>
        <v>10836</v>
      </c>
      <c r="BF46" s="31">
        <f>IF(Table1[[#This Row],[Sustainability Check 1 (2017-2018) Status]]="Continued", Table1[[#This Row],[Students Per Fall]], 0)</f>
        <v>60</v>
      </c>
      <c r="BG46" s="58">
        <f t="shared" si="47"/>
        <v>10836</v>
      </c>
      <c r="BH46" s="31">
        <f>IF(Table1[[#This Row],[Sustainability Check 1 (2017-2018) Status]]="Continued", Table1[[#This Row],[Students Per Spring]], 0)</f>
        <v>60</v>
      </c>
      <c r="BI46" s="58">
        <f t="shared" si="48"/>
        <v>10836</v>
      </c>
      <c r="BJ46" s="31">
        <f t="shared" si="49"/>
        <v>180</v>
      </c>
      <c r="BK46" s="58">
        <f t="shared" si="50"/>
        <v>32508</v>
      </c>
      <c r="BL46" s="58" t="s">
        <v>130</v>
      </c>
      <c r="BM46" s="31">
        <v>60</v>
      </c>
      <c r="BN46" s="31">
        <v>60</v>
      </c>
      <c r="BO46" s="31">
        <v>60</v>
      </c>
      <c r="BP46" s="31">
        <f t="shared" si="51"/>
        <v>180</v>
      </c>
      <c r="BQ46" s="96">
        <v>198.8</v>
      </c>
      <c r="BR46" s="58">
        <f>Table1[[#This Row],[Check 2 Students Total]]*Table1[[#This Row],[Summer 2018 Price Check]]</f>
        <v>35784</v>
      </c>
      <c r="BS46" s="31">
        <f>IF(Table1[[#This Row],[Sustainability Check 2 (2018-2019) Status]]="Continued", Table1[[#This Row],[Check 2 Students Summer]], 0)</f>
        <v>60</v>
      </c>
      <c r="BT46" s="58">
        <f>Table1[[#This Row],[Summer 2018 Price Check]]*BS46</f>
        <v>11928</v>
      </c>
      <c r="BU46" s="31">
        <f>IF(Table1[[#This Row],[Sustainability Check 2 (2018-2019) Status]]="Continued", Table1[[#This Row],[Check 2 Students Fall]], 0)</f>
        <v>60</v>
      </c>
      <c r="BV46" s="58">
        <f>Table1[[#This Row],[Summer 2018 Price Check]]*BU46</f>
        <v>11928</v>
      </c>
      <c r="BW46" s="21">
        <f>IF(Table1[[#This Row],[Sustainability Check 2 (2018-2019) Status]]="Continued", Table1[Check 2 Students Spring], 0)</f>
        <v>60</v>
      </c>
      <c r="BX46" s="58">
        <f>Table1[[#This Row],[Summer 2018 Price Check]]*Table1[[#This Row],[Spring 2019 Students]]</f>
        <v>11928</v>
      </c>
      <c r="BY46" s="31">
        <f t="shared" si="19"/>
        <v>180</v>
      </c>
      <c r="BZ46" s="58">
        <f t="shared" si="20"/>
        <v>35784</v>
      </c>
      <c r="CA46" s="58" t="s">
        <v>130</v>
      </c>
      <c r="CB46" s="21">
        <v>30</v>
      </c>
      <c r="CC46" s="21">
        <v>75</v>
      </c>
      <c r="CD46" s="21">
        <v>90</v>
      </c>
      <c r="CE46" s="21">
        <f t="shared" si="57"/>
        <v>195</v>
      </c>
      <c r="CF46" s="58">
        <v>180.6</v>
      </c>
      <c r="CG46" s="58">
        <f t="shared" si="22"/>
        <v>35217</v>
      </c>
      <c r="CH46" s="17" t="s">
        <v>208</v>
      </c>
      <c r="CI46" s="21">
        <f>IF(Table1[[#This Row],[Check 3 Status]]="Continued", Table1[[#This Row],[Check 3 Students Summer]], 0)</f>
        <v>30</v>
      </c>
      <c r="CJ46" s="58">
        <f>Table1[[#This Row],[Check 3 Per Student Savings]]*CI46</f>
        <v>5418</v>
      </c>
      <c r="CK46" s="21">
        <f>IF(Table1[[#This Row],[Check 3 Status]]="Continued", Table1[[#This Row],[Check 3 Students Fall]], 0)</f>
        <v>75</v>
      </c>
      <c r="CL46" s="58">
        <f>Table1[[#This Row],[Check 3 Per Student Savings]]*CK46</f>
        <v>13545</v>
      </c>
      <c r="CM46" s="21">
        <f>IF(Table1[[#This Row],[Check 3 Status]]="Continued", Table1[[#This Row],[Check 3 Students Spring]], 0)</f>
        <v>90</v>
      </c>
      <c r="CN46" s="58">
        <f>Table1[[#This Row],[Check 3 Per Student Savings]]*CM46</f>
        <v>16254</v>
      </c>
      <c r="CO46" s="21">
        <f t="shared" si="23"/>
        <v>195</v>
      </c>
      <c r="CP46" s="58">
        <f t="shared" si="24"/>
        <v>35217</v>
      </c>
      <c r="CQ46" s="58" t="s">
        <v>130</v>
      </c>
      <c r="CR46" s="21">
        <v>30</v>
      </c>
      <c r="CS46" s="21">
        <v>75</v>
      </c>
      <c r="CT46" s="21">
        <v>90</v>
      </c>
      <c r="CU46" s="21">
        <f t="shared" si="25"/>
        <v>195</v>
      </c>
      <c r="CV46" s="58">
        <v>180.6</v>
      </c>
      <c r="CW46" s="58">
        <f t="shared" si="26"/>
        <v>35217</v>
      </c>
      <c r="CX46" s="58"/>
      <c r="CY46" s="21">
        <f>IF(Table1[[#This Row],[Check 4 Status]]="Continued", Table1[[#This Row],[Check 4 Students Summer]], 0)</f>
        <v>30</v>
      </c>
      <c r="CZ46" s="58">
        <f>Table1[[#This Row],[Check 4 Per Student Savings]]*CY46</f>
        <v>5418</v>
      </c>
      <c r="DA46" s="21">
        <f>IF(Table1[[#This Row],[Check 4 Status]]="Continued", Table1[[#This Row],[Check 4 Students Fall]], 0)</f>
        <v>75</v>
      </c>
      <c r="DB46" s="58">
        <f>Table1[[#This Row],[Check 4 Per Student Savings]]*DA46</f>
        <v>13545</v>
      </c>
      <c r="DC46" s="21">
        <f>IF(Table1[[#This Row],[Check 4 Status]]="Continued", Table1[[#This Row],[Check 4 Students Spring]], 0)</f>
        <v>90</v>
      </c>
      <c r="DD46" s="58">
        <f>Table1[[#This Row],[Check 4 Per Student Savings]]*DC46</f>
        <v>16254</v>
      </c>
      <c r="DE46" s="58">
        <f t="shared" si="27"/>
        <v>195</v>
      </c>
      <c r="DF46" s="58">
        <f t="shared" si="28"/>
        <v>35217</v>
      </c>
      <c r="DG4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1050</v>
      </c>
      <c r="DH4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192906</v>
      </c>
      <c r="DI46" s="58">
        <f>Table1[[#This Row],[Grand Total Savings]]/Table1[[#This Row],[Total Award]]</f>
        <v>7.4769767441860466</v>
      </c>
      <c r="DJ46" s="17"/>
      <c r="DK46" s="17"/>
      <c r="DL46" s="17"/>
      <c r="DM46" s="17"/>
      <c r="EC46" s="17"/>
      <c r="ED46" s="17"/>
      <c r="EE46" s="17"/>
      <c r="EF46" s="17"/>
    </row>
    <row r="47" spans="1:136" ht="15.75" thickTop="1" x14ac:dyDescent="0.25">
      <c r="A47" s="159">
        <v>108</v>
      </c>
      <c r="B47" s="17" t="s">
        <v>2011</v>
      </c>
      <c r="D47" s="97">
        <v>510251</v>
      </c>
      <c r="E47" s="158">
        <v>42234</v>
      </c>
      <c r="F47" s="158">
        <v>42524</v>
      </c>
      <c r="G47" s="162" t="s">
        <v>330</v>
      </c>
      <c r="H47" s="95" t="s">
        <v>10</v>
      </c>
      <c r="I47" s="226" t="s">
        <v>118</v>
      </c>
      <c r="J47" s="17" t="s">
        <v>236</v>
      </c>
      <c r="K47" s="107">
        <v>30000</v>
      </c>
      <c r="L47" s="107"/>
      <c r="M47" s="101" t="s">
        <v>405</v>
      </c>
      <c r="N47" s="17" t="s">
        <v>406</v>
      </c>
      <c r="O47" s="101" t="s">
        <v>407</v>
      </c>
      <c r="P47" s="101" t="s">
        <v>408</v>
      </c>
      <c r="Q47" s="101" t="s">
        <v>156</v>
      </c>
      <c r="R47" s="101" t="s">
        <v>129</v>
      </c>
      <c r="S47" s="101" t="s">
        <v>129</v>
      </c>
      <c r="T47" s="17" t="s">
        <v>129</v>
      </c>
      <c r="U47" s="101" t="s">
        <v>164</v>
      </c>
      <c r="V47" s="17" t="s">
        <v>140</v>
      </c>
      <c r="W47" s="17" t="s">
        <v>140</v>
      </c>
      <c r="X47" s="17" t="s">
        <v>140</v>
      </c>
      <c r="Y47" s="58">
        <v>311808</v>
      </c>
      <c r="Z47" s="31">
        <v>1392</v>
      </c>
      <c r="AA47" s="58">
        <v>184</v>
      </c>
      <c r="AB47" s="21">
        <v>160</v>
      </c>
      <c r="AC47" s="21">
        <v>160</v>
      </c>
      <c r="AD47" s="21">
        <v>160</v>
      </c>
      <c r="AE47" s="17" t="s">
        <v>194</v>
      </c>
      <c r="AF47" s="17" t="s">
        <v>129</v>
      </c>
      <c r="AG47" s="17"/>
      <c r="AI47" s="17" t="s">
        <v>130</v>
      </c>
      <c r="AJ47" s="21">
        <v>0</v>
      </c>
      <c r="AK47" s="58">
        <v>0</v>
      </c>
      <c r="AL47" s="21">
        <v>0</v>
      </c>
      <c r="AM47" s="58">
        <f t="shared" si="52"/>
        <v>0</v>
      </c>
      <c r="AN47" s="21">
        <v>0</v>
      </c>
      <c r="AO47" s="58">
        <f t="shared" si="54"/>
        <v>0</v>
      </c>
      <c r="AP47" s="21">
        <v>0</v>
      </c>
      <c r="AQ47" s="58">
        <f t="shared" si="55"/>
        <v>0</v>
      </c>
      <c r="AR47" s="21">
        <f>Table1[[#This Row],[Students Per Spring]]</f>
        <v>160</v>
      </c>
      <c r="AS47" s="58">
        <f t="shared" si="56"/>
        <v>29440</v>
      </c>
      <c r="AT47" s="21">
        <f t="shared" si="40"/>
        <v>160</v>
      </c>
      <c r="AU47" s="58">
        <f t="shared" si="58"/>
        <v>29440</v>
      </c>
      <c r="AV47" s="21">
        <f>IF(Table1[[#This Row],[Sustainability Check 1 (2017-2018) Status]]="Continued", Table1[[#This Row],[Students Per Summer]], 0)</f>
        <v>160</v>
      </c>
      <c r="AW47" s="58">
        <f t="shared" si="41"/>
        <v>29440</v>
      </c>
      <c r="AX47" s="31">
        <f>IF(Table1[[#This Row],[Sustainability Check 1 (2017-2018) Status]]="Continued", Table1[[#This Row],[Students Per Fall]], 0)</f>
        <v>160</v>
      </c>
      <c r="AY47" s="58">
        <f t="shared" si="42"/>
        <v>29440</v>
      </c>
      <c r="AZ47" s="31">
        <f>IF(Table1[[#This Row],[Sustainability Check 1 (2017-2018) Status]]="Continued", Table1[[#This Row],[Students Per Spring]], 0)</f>
        <v>160</v>
      </c>
      <c r="BA47" s="58">
        <f t="shared" si="43"/>
        <v>29440</v>
      </c>
      <c r="BB47" s="31">
        <f t="shared" si="44"/>
        <v>480</v>
      </c>
      <c r="BC47" s="58">
        <f t="shared" si="45"/>
        <v>88320</v>
      </c>
      <c r="BD47" s="31">
        <f>IF(Table1[[#This Row],[Sustainability Check 1 (2017-2018) Status]]="Continued", Table1[[#This Row],[Students Per Summer]], 0)</f>
        <v>160</v>
      </c>
      <c r="BE47" s="58">
        <f t="shared" si="46"/>
        <v>29440</v>
      </c>
      <c r="BF47" s="31">
        <f>IF(Table1[[#This Row],[Sustainability Check 1 (2017-2018) Status]]="Continued", Table1[[#This Row],[Students Per Fall]], 0)</f>
        <v>160</v>
      </c>
      <c r="BG47" s="58">
        <f t="shared" si="47"/>
        <v>29440</v>
      </c>
      <c r="BH47" s="31">
        <f>IF(Table1[[#This Row],[Sustainability Check 1 (2017-2018) Status]]="Continued", Table1[[#This Row],[Students Per Spring]], 0)</f>
        <v>160</v>
      </c>
      <c r="BI47" s="58">
        <f t="shared" si="48"/>
        <v>29440</v>
      </c>
      <c r="BJ47" s="31">
        <f t="shared" si="49"/>
        <v>480</v>
      </c>
      <c r="BK47" s="58">
        <f t="shared" si="50"/>
        <v>88320</v>
      </c>
      <c r="BL47" s="58" t="s">
        <v>130</v>
      </c>
      <c r="BM47" s="31">
        <v>160</v>
      </c>
      <c r="BN47" s="31">
        <v>160</v>
      </c>
      <c r="BO47" s="31">
        <v>160</v>
      </c>
      <c r="BP47" s="31">
        <f t="shared" si="51"/>
        <v>480</v>
      </c>
      <c r="BQ47" s="58">
        <v>230.22</v>
      </c>
      <c r="BR47" s="58">
        <f>Table1[[#This Row],[Check 2 Students Total]]*Table1[[#This Row],[Summer 2018 Price Check]]</f>
        <v>110505.60000000001</v>
      </c>
      <c r="BS47" s="31">
        <f>IF(Table1[[#This Row],[Sustainability Check 2 (2018-2019) Status]]="Continued", Table1[[#This Row],[Check 2 Students Summer]], 0)</f>
        <v>160</v>
      </c>
      <c r="BT47" s="58">
        <f>Table1[[#This Row],[Summer 2018 Price Check]]*BS47</f>
        <v>36835.199999999997</v>
      </c>
      <c r="BU47" s="31">
        <f>IF(Table1[[#This Row],[Sustainability Check 2 (2018-2019) Status]]="Continued", Table1[[#This Row],[Check 2 Students Fall]], 0)</f>
        <v>160</v>
      </c>
      <c r="BV47" s="58">
        <f>Table1[[#This Row],[Summer 2018 Price Check]]*BU47</f>
        <v>36835.199999999997</v>
      </c>
      <c r="BW47" s="21">
        <f>IF(Table1[[#This Row],[Sustainability Check 2 (2018-2019) Status]]="Continued", Table1[Check 2 Students Spring], 0)</f>
        <v>160</v>
      </c>
      <c r="BX47" s="58">
        <f>Table1[[#This Row],[Summer 2018 Price Check]]*Table1[[#This Row],[Spring 2019 Students]]</f>
        <v>36835.199999999997</v>
      </c>
      <c r="BY47" s="31">
        <f t="shared" si="19"/>
        <v>480</v>
      </c>
      <c r="BZ47" s="58">
        <f t="shared" si="20"/>
        <v>110505.59999999999</v>
      </c>
      <c r="CA47" s="58" t="s">
        <v>130</v>
      </c>
      <c r="CB47" s="21">
        <v>169</v>
      </c>
      <c r="CC47" s="21">
        <v>578</v>
      </c>
      <c r="CD47" s="21">
        <v>160</v>
      </c>
      <c r="CE47" s="21">
        <f t="shared" si="57"/>
        <v>907</v>
      </c>
      <c r="CF47" s="58">
        <v>100</v>
      </c>
      <c r="CG47" s="58">
        <f t="shared" si="22"/>
        <v>90700</v>
      </c>
      <c r="CH47" s="17" t="s">
        <v>194</v>
      </c>
      <c r="CI47" s="21">
        <f>IF(Table1[[#This Row],[Check 3 Status]]="Continued", Table1[[#This Row],[Check 3 Students Summer]], 0)</f>
        <v>169</v>
      </c>
      <c r="CJ47" s="58">
        <f>Table1[[#This Row],[Check 3 Per Student Savings]]*CI47</f>
        <v>16900</v>
      </c>
      <c r="CK47" s="21">
        <f>IF(Table1[[#This Row],[Check 3 Status]]="Continued", Table1[[#This Row],[Check 3 Students Fall]], 0)</f>
        <v>578</v>
      </c>
      <c r="CL47" s="58">
        <f>Table1[[#This Row],[Check 3 Per Student Savings]]*CK47</f>
        <v>57800</v>
      </c>
      <c r="CM47" s="21">
        <f>IF(Table1[[#This Row],[Check 3 Status]]="Continued", Table1[[#This Row],[Check 3 Students Spring]], 0)</f>
        <v>160</v>
      </c>
      <c r="CN47" s="58">
        <f>Table1[[#This Row],[Check 3 Per Student Savings]]*CM47</f>
        <v>16000</v>
      </c>
      <c r="CO47" s="21">
        <f t="shared" si="23"/>
        <v>907</v>
      </c>
      <c r="CP47" s="58">
        <f t="shared" si="24"/>
        <v>90700</v>
      </c>
      <c r="CQ47" s="58" t="s">
        <v>130</v>
      </c>
      <c r="CR47" s="21">
        <v>169</v>
      </c>
      <c r="CS47" s="21">
        <v>578</v>
      </c>
      <c r="CT47" s="21">
        <v>160</v>
      </c>
      <c r="CU47" s="21">
        <f t="shared" si="25"/>
        <v>907</v>
      </c>
      <c r="CV47" s="58">
        <v>100</v>
      </c>
      <c r="CW47" s="58">
        <f t="shared" si="26"/>
        <v>90700</v>
      </c>
      <c r="CX47" s="58"/>
      <c r="CY47" s="21">
        <f>IF(Table1[[#This Row],[Check 4 Status]]="Continued", Table1[[#This Row],[Check 4 Students Summer]], 0)</f>
        <v>169</v>
      </c>
      <c r="CZ47" s="58">
        <f>Table1[[#This Row],[Check 4 Per Student Savings]]*CY47</f>
        <v>16900</v>
      </c>
      <c r="DA47" s="21">
        <f>IF(Table1[[#This Row],[Check 4 Status]]="Continued", Table1[[#This Row],[Check 4 Students Fall]], 0)</f>
        <v>578</v>
      </c>
      <c r="DB47" s="58">
        <f>Table1[[#This Row],[Check 4 Per Student Savings]]*DA47</f>
        <v>57800</v>
      </c>
      <c r="DC47" s="21">
        <f>IF(Table1[[#This Row],[Check 4 Status]]="Continued", Table1[[#This Row],[Check 4 Students Spring]], 0)</f>
        <v>160</v>
      </c>
      <c r="DD47" s="58">
        <f>Table1[[#This Row],[Check 4 Per Student Savings]]*DC47</f>
        <v>16000</v>
      </c>
      <c r="DE47" s="58">
        <f t="shared" si="27"/>
        <v>907</v>
      </c>
      <c r="DF47" s="58">
        <f t="shared" si="28"/>
        <v>90700</v>
      </c>
      <c r="DG4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3414</v>
      </c>
      <c r="DH4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497985.6</v>
      </c>
      <c r="DI47" s="58">
        <f>Table1[[#This Row],[Grand Total Savings]]/Table1[[#This Row],[Total Award]]</f>
        <v>16.599519999999998</v>
      </c>
      <c r="DJ47" s="17"/>
      <c r="DK47" s="17"/>
      <c r="DL47" s="17"/>
      <c r="DM47" s="17"/>
      <c r="EC47" s="17"/>
      <c r="ED47" s="17"/>
      <c r="EE47" s="17"/>
      <c r="EF47" s="17"/>
    </row>
    <row r="48" spans="1:136" x14ac:dyDescent="0.25">
      <c r="A48" s="159">
        <v>109</v>
      </c>
      <c r="B48" s="17" t="s">
        <v>2011</v>
      </c>
      <c r="D48" s="97">
        <v>510264</v>
      </c>
      <c r="E48" s="158">
        <v>42191</v>
      </c>
      <c r="F48" s="158">
        <v>42380</v>
      </c>
      <c r="G48" s="157" t="s">
        <v>330</v>
      </c>
      <c r="H48" s="95" t="s">
        <v>10</v>
      </c>
      <c r="I48" s="226" t="s">
        <v>118</v>
      </c>
      <c r="J48" s="17" t="s">
        <v>2000</v>
      </c>
      <c r="K48" s="107">
        <v>30000</v>
      </c>
      <c r="L48" s="107"/>
      <c r="M48" s="101" t="s">
        <v>409</v>
      </c>
      <c r="N48" s="160" t="s">
        <v>410</v>
      </c>
      <c r="O48" s="101" t="s">
        <v>411</v>
      </c>
      <c r="P48" s="101" t="s">
        <v>412</v>
      </c>
      <c r="Q48" s="101" t="s">
        <v>192</v>
      </c>
      <c r="R48" s="101" t="s">
        <v>129</v>
      </c>
      <c r="S48" s="160" t="s">
        <v>36</v>
      </c>
      <c r="T48" s="17" t="s">
        <v>125</v>
      </c>
      <c r="U48" s="160" t="s">
        <v>348</v>
      </c>
      <c r="V48" s="17" t="s">
        <v>150</v>
      </c>
      <c r="W48" s="17" t="s">
        <v>150</v>
      </c>
      <c r="X48" s="17" t="s">
        <v>139</v>
      </c>
      <c r="Y48" s="58">
        <v>68704</v>
      </c>
      <c r="Z48" s="17">
        <v>452</v>
      </c>
      <c r="AA48" s="58">
        <f t="shared" ref="AA48:AA79" si="59">Y48/Z48</f>
        <v>152</v>
      </c>
      <c r="AB48" s="21">
        <f>Z48/3</f>
        <v>150.66666666666666</v>
      </c>
      <c r="AC48" s="21">
        <f>Z48/3</f>
        <v>150.66666666666666</v>
      </c>
      <c r="AD48" s="21">
        <f>Z48/3</f>
        <v>150.66666666666666</v>
      </c>
      <c r="AE48" s="17" t="s">
        <v>208</v>
      </c>
      <c r="AF48" s="17" t="s">
        <v>129</v>
      </c>
      <c r="AG48" s="17"/>
      <c r="AI48" s="17" t="s">
        <v>130</v>
      </c>
      <c r="AJ48" s="21">
        <v>0</v>
      </c>
      <c r="AK48" s="58">
        <v>0</v>
      </c>
      <c r="AL48" s="21">
        <v>0</v>
      </c>
      <c r="AM48" s="58">
        <f t="shared" si="52"/>
        <v>0</v>
      </c>
      <c r="AN48" s="21">
        <v>0</v>
      </c>
      <c r="AO48" s="58">
        <f t="shared" si="54"/>
        <v>0</v>
      </c>
      <c r="AP48" s="21">
        <f>Table1[[#This Row],[Students Per Fall]]</f>
        <v>150.66666666666666</v>
      </c>
      <c r="AQ48" s="58">
        <f t="shared" si="55"/>
        <v>22901.333333333332</v>
      </c>
      <c r="AR48" s="21">
        <f>IF(Table1[[#This Row],[Sustainability Check 1 (2017-2018) Status]]="Continued", Table1[[#This Row],[Students Per Spring]], 0)</f>
        <v>150.66666666666666</v>
      </c>
      <c r="AS48" s="58">
        <f t="shared" si="56"/>
        <v>22901.333333333332</v>
      </c>
      <c r="AT48" s="21">
        <f t="shared" si="40"/>
        <v>301.33333333333331</v>
      </c>
      <c r="AU48" s="58">
        <f t="shared" si="58"/>
        <v>45802.666666666664</v>
      </c>
      <c r="AV48" s="21">
        <f>IF(Table1[[#This Row],[Sustainability Check 1 (2017-2018) Status]]="Continued", Table1[[#This Row],[Students Per Summer]], 0)</f>
        <v>150.66666666666666</v>
      </c>
      <c r="AW48" s="58">
        <f t="shared" si="41"/>
        <v>22901.333333333332</v>
      </c>
      <c r="AX48" s="31">
        <f>IF(Table1[[#This Row],[Sustainability Check 1 (2017-2018) Status]]="Continued", Table1[[#This Row],[Students Per Fall]], 0)</f>
        <v>150.66666666666666</v>
      </c>
      <c r="AY48" s="58">
        <f t="shared" si="42"/>
        <v>22901.333333333332</v>
      </c>
      <c r="AZ48" s="31">
        <f>IF(Table1[[#This Row],[Sustainability Check 1 (2017-2018) Status]]="Continued", Table1[[#This Row],[Students Per Spring]], 0)</f>
        <v>150.66666666666666</v>
      </c>
      <c r="BA48" s="58">
        <f t="shared" si="43"/>
        <v>22901.333333333332</v>
      </c>
      <c r="BB48" s="31">
        <f t="shared" si="44"/>
        <v>452</v>
      </c>
      <c r="BC48" s="58">
        <f t="shared" si="45"/>
        <v>68704</v>
      </c>
      <c r="BD48" s="31">
        <f>IF(Table1[[#This Row],[Sustainability Check 1 (2017-2018) Status]]="Continued", Table1[[#This Row],[Students Per Summer]], 0)</f>
        <v>150.66666666666666</v>
      </c>
      <c r="BE48" s="58">
        <f t="shared" si="46"/>
        <v>22901.333333333332</v>
      </c>
      <c r="BF48" s="31">
        <f>IF(Table1[[#This Row],[Sustainability Check 1 (2017-2018) Status]]="Continued", Table1[[#This Row],[Students Per Fall]], 0)</f>
        <v>150.66666666666666</v>
      </c>
      <c r="BG48" s="58">
        <f t="shared" si="47"/>
        <v>22901.333333333332</v>
      </c>
      <c r="BH48" s="31">
        <f>IF(Table1[[#This Row],[Sustainability Check 1 (2017-2018) Status]]="Continued", Table1[[#This Row],[Students Per Spring]], 0)</f>
        <v>150.66666666666666</v>
      </c>
      <c r="BI48" s="58">
        <f t="shared" si="48"/>
        <v>22901.333333333332</v>
      </c>
      <c r="BJ48" s="31">
        <f t="shared" si="49"/>
        <v>452</v>
      </c>
      <c r="BK48" s="58">
        <f t="shared" si="50"/>
        <v>68704</v>
      </c>
      <c r="BL48" s="58" t="s">
        <v>130</v>
      </c>
      <c r="BM48" s="31">
        <v>151</v>
      </c>
      <c r="BN48" s="31">
        <v>151</v>
      </c>
      <c r="BO48" s="31">
        <v>151</v>
      </c>
      <c r="BP48" s="31">
        <f t="shared" si="51"/>
        <v>453</v>
      </c>
      <c r="BQ48" s="96">
        <v>145.35</v>
      </c>
      <c r="BR48" s="58">
        <f>Table1[[#This Row],[Check 2 Students Total]]*Table1[[#This Row],[Summer 2018 Price Check]]</f>
        <v>65843.55</v>
      </c>
      <c r="BS48" s="31">
        <f>IF(Table1[[#This Row],[Sustainability Check 2 (2018-2019) Status]]="Continued", Table1[[#This Row],[Check 2 Students Summer]], 0)</f>
        <v>151</v>
      </c>
      <c r="BT48" s="58">
        <f>Table1[[#This Row],[Summer 2018 Price Check]]*BS48</f>
        <v>21947.85</v>
      </c>
      <c r="BU48" s="31">
        <f>IF(Table1[[#This Row],[Sustainability Check 2 (2018-2019) Status]]="Continued", Table1[[#This Row],[Check 2 Students Fall]], 0)</f>
        <v>151</v>
      </c>
      <c r="BV48" s="58">
        <f>Table1[[#This Row],[Summer 2018 Price Check]]*BU48</f>
        <v>21947.85</v>
      </c>
      <c r="BW48" s="21">
        <f>IF(Table1[[#This Row],[Sustainability Check 2 (2018-2019) Status]]="Continued", Table1[Check 2 Students Spring], 0)</f>
        <v>151</v>
      </c>
      <c r="BX48" s="58">
        <f>Table1[[#This Row],[Summer 2018 Price Check]]*Table1[[#This Row],[Spring 2019 Students]]</f>
        <v>21947.85</v>
      </c>
      <c r="BY48" s="31">
        <f t="shared" si="19"/>
        <v>453</v>
      </c>
      <c r="BZ48" s="58">
        <f t="shared" si="20"/>
        <v>65843.549999999988</v>
      </c>
      <c r="CA48" s="58" t="s">
        <v>130</v>
      </c>
      <c r="CB48" s="21">
        <v>24</v>
      </c>
      <c r="CC48" s="21">
        <v>200</v>
      </c>
      <c r="CD48" s="21">
        <v>200</v>
      </c>
      <c r="CE48" s="21">
        <f t="shared" si="57"/>
        <v>424</v>
      </c>
      <c r="CF48" s="58">
        <v>180</v>
      </c>
      <c r="CG48" s="58">
        <f t="shared" si="22"/>
        <v>76320</v>
      </c>
      <c r="CH48" s="17" t="s">
        <v>208</v>
      </c>
      <c r="CI48" s="21">
        <f>IF(Table1[[#This Row],[Check 3 Status]]="Continued", Table1[[#This Row],[Check 3 Students Summer]], 0)</f>
        <v>24</v>
      </c>
      <c r="CJ48" s="58">
        <f>Table1[[#This Row],[Check 3 Per Student Savings]]*CI48</f>
        <v>4320</v>
      </c>
      <c r="CK48" s="21">
        <f>IF(Table1[[#This Row],[Check 3 Status]]="Continued", Table1[[#This Row],[Check 3 Students Fall]], 0)</f>
        <v>200</v>
      </c>
      <c r="CL48" s="58">
        <f>Table1[[#This Row],[Check 3 Per Student Savings]]*CK48</f>
        <v>36000</v>
      </c>
      <c r="CM48" s="21">
        <f>IF(Table1[[#This Row],[Check 3 Status]]="Continued", Table1[[#This Row],[Check 3 Students Spring]], 0)</f>
        <v>200</v>
      </c>
      <c r="CN48" s="58">
        <f>Table1[[#This Row],[Check 3 Per Student Savings]]*CM48</f>
        <v>36000</v>
      </c>
      <c r="CO48" s="21">
        <f t="shared" si="23"/>
        <v>424</v>
      </c>
      <c r="CP48" s="58">
        <f t="shared" si="24"/>
        <v>76320</v>
      </c>
      <c r="CQ48" s="58" t="s">
        <v>130</v>
      </c>
      <c r="CR48" s="21">
        <v>24</v>
      </c>
      <c r="CS48" s="21">
        <v>200</v>
      </c>
      <c r="CT48" s="21">
        <v>200</v>
      </c>
      <c r="CU48" s="21">
        <f t="shared" si="25"/>
        <v>424</v>
      </c>
      <c r="CV48" s="58">
        <v>180</v>
      </c>
      <c r="CW48" s="58">
        <f t="shared" si="26"/>
        <v>76320</v>
      </c>
      <c r="CX48" s="58"/>
      <c r="CY48" s="21">
        <f>IF(Table1[[#This Row],[Check 4 Status]]="Continued", Table1[[#This Row],[Check 4 Students Summer]], 0)</f>
        <v>24</v>
      </c>
      <c r="CZ48" s="58">
        <f>Table1[[#This Row],[Check 4 Per Student Savings]]*CY48</f>
        <v>4320</v>
      </c>
      <c r="DA48" s="21">
        <f>IF(Table1[[#This Row],[Check 4 Status]]="Continued", Table1[[#This Row],[Check 4 Students Fall]], 0)</f>
        <v>200</v>
      </c>
      <c r="DB48" s="58">
        <f>Table1[[#This Row],[Check 4 Per Student Savings]]*DA48</f>
        <v>36000</v>
      </c>
      <c r="DC48" s="21">
        <f>IF(Table1[[#This Row],[Check 4 Status]]="Continued", Table1[[#This Row],[Check 4 Students Spring]], 0)</f>
        <v>200</v>
      </c>
      <c r="DD48" s="58">
        <f>Table1[[#This Row],[Check 4 Per Student Savings]]*DC48</f>
        <v>36000</v>
      </c>
      <c r="DE48" s="58">
        <f t="shared" si="27"/>
        <v>424</v>
      </c>
      <c r="DF48" s="58">
        <f t="shared" si="28"/>
        <v>76320</v>
      </c>
      <c r="DG4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2506.333333333333</v>
      </c>
      <c r="DH4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401694.21666666667</v>
      </c>
      <c r="DI48" s="58">
        <f>Table1[[#This Row],[Grand Total Savings]]/Table1[[#This Row],[Total Award]]</f>
        <v>13.389807222222222</v>
      </c>
      <c r="DJ48" s="17"/>
      <c r="DK48" s="17"/>
      <c r="DL48" s="17"/>
      <c r="DM48" s="17"/>
      <c r="EC48" s="17"/>
      <c r="ED48" s="17"/>
      <c r="EE48" s="17"/>
      <c r="EF48" s="17"/>
    </row>
    <row r="49" spans="1:136" x14ac:dyDescent="0.25">
      <c r="A49" s="157">
        <v>111</v>
      </c>
      <c r="B49" s="17" t="s">
        <v>2011</v>
      </c>
      <c r="D49" s="97">
        <v>510260</v>
      </c>
      <c r="E49" s="158">
        <v>42191</v>
      </c>
      <c r="F49" s="158">
        <v>42514</v>
      </c>
      <c r="G49" s="159" t="s">
        <v>330</v>
      </c>
      <c r="H49" s="95" t="s">
        <v>10</v>
      </c>
      <c r="I49" s="226" t="s">
        <v>118</v>
      </c>
      <c r="J49" s="17" t="s">
        <v>119</v>
      </c>
      <c r="K49" s="107">
        <v>16600</v>
      </c>
      <c r="L49" s="107"/>
      <c r="M49" s="101" t="s">
        <v>413</v>
      </c>
      <c r="N49" s="17" t="s">
        <v>414</v>
      </c>
      <c r="O49" s="101" t="s">
        <v>415</v>
      </c>
      <c r="P49" s="101" t="s">
        <v>416</v>
      </c>
      <c r="Q49" s="101" t="s">
        <v>304</v>
      </c>
      <c r="R49" s="101" t="s">
        <v>417</v>
      </c>
      <c r="S49" s="160" t="s">
        <v>36</v>
      </c>
      <c r="T49" s="17" t="s">
        <v>129</v>
      </c>
      <c r="U49" s="160" t="s">
        <v>418</v>
      </c>
      <c r="V49" s="17" t="s">
        <v>127</v>
      </c>
      <c r="W49" s="17" t="s">
        <v>127</v>
      </c>
      <c r="X49" s="17" t="s">
        <v>127</v>
      </c>
      <c r="Y49" s="58">
        <v>77400</v>
      </c>
      <c r="Z49" s="17">
        <v>360</v>
      </c>
      <c r="AA49" s="58">
        <f t="shared" si="59"/>
        <v>215</v>
      </c>
      <c r="AB49" s="21">
        <f>Z49/3</f>
        <v>120</v>
      </c>
      <c r="AC49" s="21">
        <f>Z49/3</f>
        <v>120</v>
      </c>
      <c r="AD49" s="21">
        <f>Z49/3</f>
        <v>120</v>
      </c>
      <c r="AE49" s="17" t="s">
        <v>208</v>
      </c>
      <c r="AF49" s="17" t="s">
        <v>129</v>
      </c>
      <c r="AG49" s="17"/>
      <c r="AI49" s="17" t="s">
        <v>130</v>
      </c>
      <c r="AJ49" s="21">
        <v>0</v>
      </c>
      <c r="AK49" s="58">
        <v>0</v>
      </c>
      <c r="AL49" s="21">
        <v>0</v>
      </c>
      <c r="AM49" s="58">
        <f t="shared" si="52"/>
        <v>0</v>
      </c>
      <c r="AN49" s="21">
        <v>0</v>
      </c>
      <c r="AO49" s="58">
        <f t="shared" si="54"/>
        <v>0</v>
      </c>
      <c r="AP49" s="21">
        <f>Table1[[#This Row],[Students Per Fall]]</f>
        <v>120</v>
      </c>
      <c r="AQ49" s="58">
        <f t="shared" si="55"/>
        <v>25800</v>
      </c>
      <c r="AR49" s="21">
        <f>IF(Table1[[#This Row],[Sustainability Check 1 (2017-2018) Status]]="Continued", Table1[[#This Row],[Students Per Spring]], 0)</f>
        <v>120</v>
      </c>
      <c r="AS49" s="58">
        <f t="shared" si="56"/>
        <v>25800</v>
      </c>
      <c r="AT49" s="21">
        <f t="shared" si="40"/>
        <v>240</v>
      </c>
      <c r="AU49" s="58">
        <f t="shared" si="58"/>
        <v>51600</v>
      </c>
      <c r="AV49" s="21">
        <f>IF(Table1[[#This Row],[Sustainability Check 1 (2017-2018) Status]]="Continued", Table1[[#This Row],[Students Per Summer]], 0)</f>
        <v>120</v>
      </c>
      <c r="AW49" s="58">
        <f t="shared" si="41"/>
        <v>25800</v>
      </c>
      <c r="AX49" s="31">
        <f>IF(Table1[[#This Row],[Sustainability Check 1 (2017-2018) Status]]="Continued", Table1[[#This Row],[Students Per Fall]], 0)</f>
        <v>120</v>
      </c>
      <c r="AY49" s="58">
        <f t="shared" si="42"/>
        <v>25800</v>
      </c>
      <c r="AZ49" s="31">
        <f>IF(Table1[[#This Row],[Sustainability Check 1 (2017-2018) Status]]="Continued", Table1[[#This Row],[Students Per Spring]], 0)</f>
        <v>120</v>
      </c>
      <c r="BA49" s="58">
        <f t="shared" si="43"/>
        <v>25800</v>
      </c>
      <c r="BB49" s="31">
        <f t="shared" si="44"/>
        <v>360</v>
      </c>
      <c r="BC49" s="58">
        <f t="shared" si="45"/>
        <v>77400</v>
      </c>
      <c r="BD49" s="31">
        <f>IF(Table1[[#This Row],[Sustainability Check 1 (2017-2018) Status]]="Continued", Table1[[#This Row],[Students Per Summer]], 0)</f>
        <v>120</v>
      </c>
      <c r="BE49" s="58">
        <f t="shared" si="46"/>
        <v>25800</v>
      </c>
      <c r="BF49" s="31">
        <f>IF(Table1[[#This Row],[Sustainability Check 1 (2017-2018) Status]]="Continued", Table1[[#This Row],[Students Per Fall]], 0)</f>
        <v>120</v>
      </c>
      <c r="BG49" s="58">
        <f t="shared" si="47"/>
        <v>25800</v>
      </c>
      <c r="BH49" s="31">
        <f>IF(Table1[[#This Row],[Sustainability Check 1 (2017-2018) Status]]="Continued", Table1[[#This Row],[Students Per Spring]], 0)</f>
        <v>120</v>
      </c>
      <c r="BI49" s="58">
        <f t="shared" si="48"/>
        <v>25800</v>
      </c>
      <c r="BJ49" s="31">
        <f t="shared" si="49"/>
        <v>360</v>
      </c>
      <c r="BK49" s="58">
        <f t="shared" si="50"/>
        <v>77400</v>
      </c>
      <c r="BL49" s="58" t="s">
        <v>130</v>
      </c>
      <c r="BM49" s="31">
        <v>50</v>
      </c>
      <c r="BN49" s="31">
        <v>150</v>
      </c>
      <c r="BO49" s="31">
        <v>150</v>
      </c>
      <c r="BP49" s="31">
        <f t="shared" si="51"/>
        <v>350</v>
      </c>
      <c r="BQ49" s="96">
        <v>40</v>
      </c>
      <c r="BR49" s="58">
        <f>Table1[[#This Row],[Check 2 Students Total]]*Table1[[#This Row],[Summer 2018 Price Check]]</f>
        <v>14000</v>
      </c>
      <c r="BS49" s="31">
        <f>IF(Table1[[#This Row],[Sustainability Check 2 (2018-2019) Status]]="Continued", Table1[[#This Row],[Check 2 Students Summer]], 0)</f>
        <v>50</v>
      </c>
      <c r="BT49" s="58">
        <f>Table1[[#This Row],[Summer 2018 Price Check]]*BS49</f>
        <v>2000</v>
      </c>
      <c r="BU49" s="31">
        <f>IF(Table1[[#This Row],[Sustainability Check 2 (2018-2019) Status]]="Continued", Table1[[#This Row],[Check 2 Students Fall]], 0)</f>
        <v>150</v>
      </c>
      <c r="BV49" s="58">
        <f>Table1[[#This Row],[Summer 2018 Price Check]]*BU49</f>
        <v>6000</v>
      </c>
      <c r="BW49" s="21">
        <f>IF(Table1[[#This Row],[Sustainability Check 2 (2018-2019) Status]]="Continued", Table1[Check 2 Students Spring], 0)</f>
        <v>150</v>
      </c>
      <c r="BX49" s="58">
        <f>Table1[[#This Row],[Summer 2018 Price Check]]*Table1[[#This Row],[Spring 2019 Students]]</f>
        <v>6000</v>
      </c>
      <c r="BY49" s="31">
        <f t="shared" si="19"/>
        <v>350</v>
      </c>
      <c r="BZ49" s="58">
        <f t="shared" si="20"/>
        <v>14000</v>
      </c>
      <c r="CA49" s="58" t="s">
        <v>130</v>
      </c>
      <c r="CB49" s="21">
        <v>50</v>
      </c>
      <c r="CC49" s="21">
        <v>150</v>
      </c>
      <c r="CD49" s="21">
        <v>150</v>
      </c>
      <c r="CE49" s="21">
        <f t="shared" si="57"/>
        <v>350</v>
      </c>
      <c r="CF49" s="58">
        <v>100</v>
      </c>
      <c r="CG49" s="58">
        <f t="shared" si="22"/>
        <v>35000</v>
      </c>
      <c r="CH49" s="17" t="s">
        <v>208</v>
      </c>
      <c r="CI49" s="21">
        <f>IF(Table1[[#This Row],[Check 3 Status]]="Continued", Table1[[#This Row],[Check 3 Students Summer]], 0)</f>
        <v>50</v>
      </c>
      <c r="CJ49" s="58">
        <f>Table1[[#This Row],[Check 3 Per Student Savings]]*CI49</f>
        <v>5000</v>
      </c>
      <c r="CK49" s="21">
        <f>IF(Table1[[#This Row],[Check 3 Status]]="Continued", Table1[[#This Row],[Check 3 Students Fall]], 0)</f>
        <v>150</v>
      </c>
      <c r="CL49" s="58">
        <f>Table1[[#This Row],[Check 3 Per Student Savings]]*CK49</f>
        <v>15000</v>
      </c>
      <c r="CM49" s="21">
        <f>IF(Table1[[#This Row],[Check 3 Status]]="Continued", Table1[[#This Row],[Check 3 Students Spring]], 0)</f>
        <v>150</v>
      </c>
      <c r="CN49" s="58">
        <f>Table1[[#This Row],[Check 3 Per Student Savings]]*CM49</f>
        <v>15000</v>
      </c>
      <c r="CO49" s="21">
        <f t="shared" si="23"/>
        <v>350</v>
      </c>
      <c r="CP49" s="58">
        <f t="shared" si="24"/>
        <v>35000</v>
      </c>
      <c r="CQ49" s="58" t="s">
        <v>130</v>
      </c>
      <c r="CR49" s="21">
        <v>50</v>
      </c>
      <c r="CS49" s="21">
        <v>150</v>
      </c>
      <c r="CT49" s="21">
        <v>150</v>
      </c>
      <c r="CU49" s="21">
        <f t="shared" si="25"/>
        <v>350</v>
      </c>
      <c r="CV49" s="58">
        <v>100</v>
      </c>
      <c r="CW49" s="58">
        <f t="shared" si="26"/>
        <v>35000</v>
      </c>
      <c r="CX49" s="58"/>
      <c r="CY49" s="21">
        <f>IF(Table1[[#This Row],[Check 4 Status]]="Continued", Table1[[#This Row],[Check 4 Students Summer]], 0)</f>
        <v>50</v>
      </c>
      <c r="CZ49" s="58">
        <f>Table1[[#This Row],[Check 4 Per Student Savings]]*CY49</f>
        <v>5000</v>
      </c>
      <c r="DA49" s="21">
        <f>IF(Table1[[#This Row],[Check 4 Status]]="Continued", Table1[[#This Row],[Check 4 Students Fall]], 0)</f>
        <v>150</v>
      </c>
      <c r="DB49" s="58">
        <f>Table1[[#This Row],[Check 4 Per Student Savings]]*DA49</f>
        <v>15000</v>
      </c>
      <c r="DC49" s="21">
        <f>IF(Table1[[#This Row],[Check 4 Status]]="Continued", Table1[[#This Row],[Check 4 Students Spring]], 0)</f>
        <v>150</v>
      </c>
      <c r="DD49" s="58">
        <f>Table1[[#This Row],[Check 4 Per Student Savings]]*DC49</f>
        <v>15000</v>
      </c>
      <c r="DE49" s="58">
        <f t="shared" si="27"/>
        <v>350</v>
      </c>
      <c r="DF49" s="58">
        <f t="shared" si="28"/>
        <v>35000</v>
      </c>
      <c r="DG4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2010</v>
      </c>
      <c r="DH4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290400</v>
      </c>
      <c r="DI49" s="58">
        <f>Table1[[#This Row],[Grand Total Savings]]/Table1[[#This Row],[Total Award]]</f>
        <v>17.493975903614459</v>
      </c>
      <c r="DJ49" s="17"/>
      <c r="DK49" s="17"/>
      <c r="DL49" s="17"/>
      <c r="DM49" s="17"/>
      <c r="EC49" s="17"/>
      <c r="ED49" s="17"/>
      <c r="EE49" s="17"/>
      <c r="EF49" s="17"/>
    </row>
    <row r="50" spans="1:136" x14ac:dyDescent="0.25">
      <c r="A50" s="159">
        <v>113</v>
      </c>
      <c r="B50" s="17" t="s">
        <v>2011</v>
      </c>
      <c r="D50" s="97">
        <v>510245</v>
      </c>
      <c r="E50" s="158">
        <v>42180</v>
      </c>
      <c r="F50" s="158">
        <v>42514</v>
      </c>
      <c r="G50" s="159" t="s">
        <v>330</v>
      </c>
      <c r="H50" s="95" t="s">
        <v>10</v>
      </c>
      <c r="I50" s="226" t="s">
        <v>118</v>
      </c>
      <c r="J50" s="17" t="s">
        <v>419</v>
      </c>
      <c r="K50" s="107">
        <v>29000</v>
      </c>
      <c r="L50" s="107"/>
      <c r="M50" s="101" t="s">
        <v>420</v>
      </c>
      <c r="N50" s="17" t="s">
        <v>421</v>
      </c>
      <c r="O50" s="101" t="s">
        <v>422</v>
      </c>
      <c r="P50" s="101" t="s">
        <v>423</v>
      </c>
      <c r="Q50" s="101" t="s">
        <v>148</v>
      </c>
      <c r="R50" s="101" t="s">
        <v>422</v>
      </c>
      <c r="S50" s="101" t="s">
        <v>129</v>
      </c>
      <c r="T50" s="17" t="s">
        <v>129</v>
      </c>
      <c r="U50" s="101" t="s">
        <v>157</v>
      </c>
      <c r="V50" s="17" t="s">
        <v>150</v>
      </c>
      <c r="W50" s="17" t="s">
        <v>139</v>
      </c>
      <c r="X50" s="17" t="s">
        <v>139</v>
      </c>
      <c r="Y50" s="58">
        <v>131250</v>
      </c>
      <c r="Z50" s="17">
        <v>750</v>
      </c>
      <c r="AA50" s="58">
        <f t="shared" si="59"/>
        <v>175</v>
      </c>
      <c r="AB50" s="21">
        <f>Z50/3</f>
        <v>250</v>
      </c>
      <c r="AC50" s="21">
        <f>Z50/3</f>
        <v>250</v>
      </c>
      <c r="AD50" s="21">
        <f>Z50/3</f>
        <v>250</v>
      </c>
      <c r="AE50" s="17" t="s">
        <v>194</v>
      </c>
      <c r="AF50" s="17" t="s">
        <v>129</v>
      </c>
      <c r="AG50" s="17"/>
      <c r="AI50" s="17" t="s">
        <v>130</v>
      </c>
      <c r="AJ50" s="21">
        <v>0</v>
      </c>
      <c r="AK50" s="58">
        <v>0</v>
      </c>
      <c r="AL50" s="21">
        <v>0</v>
      </c>
      <c r="AM50" s="58">
        <f t="shared" si="52"/>
        <v>0</v>
      </c>
      <c r="AN50" s="21">
        <v>0</v>
      </c>
      <c r="AO50" s="58">
        <f t="shared" si="54"/>
        <v>0</v>
      </c>
      <c r="AP50" s="21">
        <v>0</v>
      </c>
      <c r="AQ50" s="58">
        <f t="shared" si="55"/>
        <v>0</v>
      </c>
      <c r="AR50" s="21">
        <f>Table1[[#This Row],[Students Per Spring]]</f>
        <v>250</v>
      </c>
      <c r="AS50" s="58">
        <f t="shared" si="56"/>
        <v>43750</v>
      </c>
      <c r="AT50" s="21">
        <f t="shared" si="40"/>
        <v>250</v>
      </c>
      <c r="AU50" s="58">
        <f t="shared" si="58"/>
        <v>43750</v>
      </c>
      <c r="AV50" s="21">
        <f>IF(Table1[[#This Row],[Sustainability Check 1 (2017-2018) Status]]="Continued", Table1[[#This Row],[Students Per Summer]], 0)</f>
        <v>250</v>
      </c>
      <c r="AW50" s="58">
        <f t="shared" si="41"/>
        <v>43750</v>
      </c>
      <c r="AX50" s="31">
        <f>IF(Table1[[#This Row],[Sustainability Check 1 (2017-2018) Status]]="Continued", Table1[[#This Row],[Students Per Fall]], 0)</f>
        <v>250</v>
      </c>
      <c r="AY50" s="58">
        <f t="shared" si="42"/>
        <v>43750</v>
      </c>
      <c r="AZ50" s="31">
        <f>IF(Table1[[#This Row],[Sustainability Check 1 (2017-2018) Status]]="Continued", Table1[[#This Row],[Students Per Spring]], 0)</f>
        <v>250</v>
      </c>
      <c r="BA50" s="58">
        <f t="shared" si="43"/>
        <v>43750</v>
      </c>
      <c r="BB50" s="31">
        <f t="shared" si="44"/>
        <v>750</v>
      </c>
      <c r="BC50" s="58">
        <f t="shared" si="45"/>
        <v>131250</v>
      </c>
      <c r="BD50" s="31">
        <f>IF(Table1[[#This Row],[Sustainability Check 1 (2017-2018) Status]]="Continued", Table1[[#This Row],[Students Per Summer]], 0)</f>
        <v>250</v>
      </c>
      <c r="BE50" s="58">
        <f t="shared" si="46"/>
        <v>43750</v>
      </c>
      <c r="BF50" s="31">
        <f>IF(Table1[[#This Row],[Sustainability Check 1 (2017-2018) Status]]="Continued", Table1[[#This Row],[Students Per Fall]], 0)</f>
        <v>250</v>
      </c>
      <c r="BG50" s="58">
        <f t="shared" si="47"/>
        <v>43750</v>
      </c>
      <c r="BH50" s="31">
        <f>IF(Table1[[#This Row],[Sustainability Check 1 (2017-2018) Status]]="Continued", Table1[[#This Row],[Students Per Spring]], 0)</f>
        <v>250</v>
      </c>
      <c r="BI50" s="58">
        <f t="shared" si="48"/>
        <v>43750</v>
      </c>
      <c r="BJ50" s="31">
        <f t="shared" si="49"/>
        <v>750</v>
      </c>
      <c r="BK50" s="58">
        <f t="shared" si="50"/>
        <v>131250</v>
      </c>
      <c r="BL50" s="58" t="s">
        <v>130</v>
      </c>
      <c r="BM50" s="31">
        <v>250</v>
      </c>
      <c r="BN50" s="31">
        <v>250</v>
      </c>
      <c r="BO50" s="31">
        <v>250</v>
      </c>
      <c r="BP50" s="31">
        <f t="shared" si="51"/>
        <v>750</v>
      </c>
      <c r="BQ50" s="96">
        <v>244.91</v>
      </c>
      <c r="BR50" s="58">
        <f>Table1[[#This Row],[Check 2 Students Total]]*Table1[[#This Row],[Summer 2018 Price Check]]</f>
        <v>183682.5</v>
      </c>
      <c r="BS50" s="31">
        <f>IF(Table1[[#This Row],[Sustainability Check 2 (2018-2019) Status]]="Continued", Table1[[#This Row],[Check 2 Students Summer]], 0)</f>
        <v>250</v>
      </c>
      <c r="BT50" s="58">
        <f>Table1[[#This Row],[Summer 2018 Price Check]]*BS50</f>
        <v>61227.5</v>
      </c>
      <c r="BU50" s="31">
        <f>IF(Table1[[#This Row],[Sustainability Check 2 (2018-2019) Status]]="Continued", Table1[[#This Row],[Check 2 Students Fall]], 0)</f>
        <v>250</v>
      </c>
      <c r="BV50" s="58">
        <f>Table1[[#This Row],[Summer 2018 Price Check]]*BU50</f>
        <v>61227.5</v>
      </c>
      <c r="BW50" s="21">
        <f>IF(Table1[[#This Row],[Sustainability Check 2 (2018-2019) Status]]="Continued", Table1[Check 2 Students Spring], 0)</f>
        <v>250</v>
      </c>
      <c r="BX50" s="58">
        <f>Table1[[#This Row],[Summer 2018 Price Check]]*Table1[[#This Row],[Spring 2019 Students]]</f>
        <v>61227.5</v>
      </c>
      <c r="BY50" s="31">
        <f t="shared" si="19"/>
        <v>750</v>
      </c>
      <c r="BZ50" s="58">
        <f t="shared" si="20"/>
        <v>183682.5</v>
      </c>
      <c r="CA50" s="58" t="s">
        <v>130</v>
      </c>
      <c r="CB50" s="21">
        <v>250</v>
      </c>
      <c r="CC50" s="21">
        <v>250</v>
      </c>
      <c r="CD50" s="21">
        <v>250</v>
      </c>
      <c r="CE50" s="21">
        <f t="shared" si="57"/>
        <v>750</v>
      </c>
      <c r="CF50" s="58">
        <v>135</v>
      </c>
      <c r="CG50" s="58">
        <f t="shared" si="22"/>
        <v>101250</v>
      </c>
      <c r="CH50" s="17" t="s">
        <v>194</v>
      </c>
      <c r="CI50" s="21">
        <f>IF(Table1[[#This Row],[Check 3 Status]]="Continued", Table1[[#This Row],[Check 3 Students Summer]], 0)</f>
        <v>250</v>
      </c>
      <c r="CJ50" s="58">
        <f>Table1[[#This Row],[Check 3 Per Student Savings]]*CI50</f>
        <v>33750</v>
      </c>
      <c r="CK50" s="21">
        <f>IF(Table1[[#This Row],[Check 3 Status]]="Continued", Table1[[#This Row],[Check 3 Students Fall]], 0)</f>
        <v>250</v>
      </c>
      <c r="CL50" s="58">
        <f>Table1[[#This Row],[Check 3 Per Student Savings]]*CK50</f>
        <v>33750</v>
      </c>
      <c r="CM50" s="21">
        <f>IF(Table1[[#This Row],[Check 3 Status]]="Continued", Table1[[#This Row],[Check 3 Students Spring]], 0)</f>
        <v>250</v>
      </c>
      <c r="CN50" s="58">
        <f>Table1[[#This Row],[Check 3 Per Student Savings]]*CM50</f>
        <v>33750</v>
      </c>
      <c r="CO50" s="21">
        <f t="shared" si="23"/>
        <v>750</v>
      </c>
      <c r="CP50" s="58">
        <f t="shared" si="24"/>
        <v>101250</v>
      </c>
      <c r="CQ50" s="58" t="s">
        <v>130</v>
      </c>
      <c r="CR50" s="21">
        <v>250</v>
      </c>
      <c r="CS50" s="21">
        <v>250</v>
      </c>
      <c r="CT50" s="21">
        <v>250</v>
      </c>
      <c r="CU50" s="21">
        <f t="shared" si="25"/>
        <v>750</v>
      </c>
      <c r="CV50" s="58">
        <v>135</v>
      </c>
      <c r="CW50" s="58">
        <f t="shared" si="26"/>
        <v>101250</v>
      </c>
      <c r="CX50" s="58"/>
      <c r="CY50" s="21">
        <f>IF(Table1[[#This Row],[Check 4 Status]]="Continued", Table1[[#This Row],[Check 4 Students Summer]], 0)</f>
        <v>250</v>
      </c>
      <c r="CZ50" s="58">
        <f>Table1[[#This Row],[Check 4 Per Student Savings]]*CY50</f>
        <v>33750</v>
      </c>
      <c r="DA50" s="21">
        <f>IF(Table1[[#This Row],[Check 4 Status]]="Continued", Table1[[#This Row],[Check 4 Students Fall]], 0)</f>
        <v>250</v>
      </c>
      <c r="DB50" s="58">
        <f>Table1[[#This Row],[Check 4 Per Student Savings]]*DA50</f>
        <v>33750</v>
      </c>
      <c r="DC50" s="21">
        <f>IF(Table1[[#This Row],[Check 4 Status]]="Continued", Table1[[#This Row],[Check 4 Students Spring]], 0)</f>
        <v>250</v>
      </c>
      <c r="DD50" s="58">
        <f>Table1[[#This Row],[Check 4 Per Student Savings]]*DC50</f>
        <v>33750</v>
      </c>
      <c r="DE50" s="58">
        <f t="shared" si="27"/>
        <v>750</v>
      </c>
      <c r="DF50" s="58">
        <f t="shared" si="28"/>
        <v>101250</v>
      </c>
      <c r="DG5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4000</v>
      </c>
      <c r="DH5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692432.5</v>
      </c>
      <c r="DI50" s="58">
        <f>Table1[[#This Row],[Grand Total Savings]]/Table1[[#This Row],[Total Award]]</f>
        <v>23.876982758620688</v>
      </c>
      <c r="DJ50" s="17"/>
      <c r="DK50" s="17"/>
      <c r="DL50" s="17"/>
      <c r="DM50" s="17"/>
      <c r="EC50" s="17"/>
      <c r="ED50" s="17"/>
      <c r="EE50" s="17"/>
      <c r="EF50" s="17"/>
    </row>
    <row r="51" spans="1:136" x14ac:dyDescent="0.25">
      <c r="A51" s="159">
        <v>114</v>
      </c>
      <c r="B51" s="17" t="s">
        <v>2011</v>
      </c>
      <c r="D51" s="97">
        <v>510248</v>
      </c>
      <c r="E51" s="158">
        <v>42347</v>
      </c>
      <c r="F51" s="158">
        <v>42514</v>
      </c>
      <c r="G51" s="159" t="s">
        <v>330</v>
      </c>
      <c r="H51" s="95" t="s">
        <v>10</v>
      </c>
      <c r="I51" s="226" t="s">
        <v>118</v>
      </c>
      <c r="J51" s="17" t="s">
        <v>159</v>
      </c>
      <c r="K51" s="107">
        <v>30000</v>
      </c>
      <c r="L51" s="107"/>
      <c r="M51" s="101" t="s">
        <v>160</v>
      </c>
      <c r="N51" s="17" t="s">
        <v>161</v>
      </c>
      <c r="O51" s="101" t="s">
        <v>424</v>
      </c>
      <c r="P51" s="101" t="s">
        <v>425</v>
      </c>
      <c r="Q51" s="101" t="s">
        <v>156</v>
      </c>
      <c r="R51" s="101" t="s">
        <v>129</v>
      </c>
      <c r="S51" s="160" t="s">
        <v>36</v>
      </c>
      <c r="T51" s="17" t="s">
        <v>129</v>
      </c>
      <c r="U51" s="101" t="s">
        <v>157</v>
      </c>
      <c r="V51" s="17" t="s">
        <v>150</v>
      </c>
      <c r="W51" s="17" t="s">
        <v>127</v>
      </c>
      <c r="X51" s="17" t="s">
        <v>139</v>
      </c>
      <c r="Y51" s="58">
        <v>271441.45</v>
      </c>
      <c r="Z51" s="31">
        <v>1015</v>
      </c>
      <c r="AA51" s="58">
        <f t="shared" si="59"/>
        <v>267.43</v>
      </c>
      <c r="AB51" s="21">
        <f>Z51/3</f>
        <v>338.33333333333331</v>
      </c>
      <c r="AC51" s="21">
        <f>Z51/3</f>
        <v>338.33333333333331</v>
      </c>
      <c r="AD51" s="21">
        <f>Z51/3</f>
        <v>338.33333333333331</v>
      </c>
      <c r="AE51" s="17" t="s">
        <v>194</v>
      </c>
      <c r="AF51" s="17" t="s">
        <v>129</v>
      </c>
      <c r="AG51" s="17"/>
      <c r="AI51" s="17" t="s">
        <v>130</v>
      </c>
      <c r="AJ51" s="21">
        <v>0</v>
      </c>
      <c r="AK51" s="58">
        <v>0</v>
      </c>
      <c r="AL51" s="21">
        <v>0</v>
      </c>
      <c r="AM51" s="58">
        <f t="shared" si="52"/>
        <v>0</v>
      </c>
      <c r="AN51" s="21">
        <v>0</v>
      </c>
      <c r="AO51" s="58">
        <f t="shared" si="54"/>
        <v>0</v>
      </c>
      <c r="AP51" s="21">
        <v>0</v>
      </c>
      <c r="AQ51" s="58">
        <f t="shared" si="55"/>
        <v>0</v>
      </c>
      <c r="AR51" s="21">
        <v>0</v>
      </c>
      <c r="AS51" s="58">
        <f t="shared" si="56"/>
        <v>0</v>
      </c>
      <c r="AT51" s="21">
        <v>0</v>
      </c>
      <c r="AU51" s="58">
        <f t="shared" si="58"/>
        <v>0</v>
      </c>
      <c r="AV51" s="21">
        <f>IF(Table1[[#This Row],[Sustainability Check 1 (2017-2018) Status]]="Continued", Table1[[#This Row],[Students Per Summer]], 0)</f>
        <v>338.33333333333331</v>
      </c>
      <c r="AW51" s="58">
        <f t="shared" si="41"/>
        <v>90480.483333333337</v>
      </c>
      <c r="AX51" s="31">
        <f>IF(Table1[[#This Row],[Sustainability Check 1 (2017-2018) Status]]="Continued", Table1[[#This Row],[Students Per Fall]], 0)</f>
        <v>338.33333333333331</v>
      </c>
      <c r="AY51" s="58">
        <f t="shared" si="42"/>
        <v>90480.483333333337</v>
      </c>
      <c r="AZ51" s="31">
        <f>IF(Table1[[#This Row],[Sustainability Check 1 (2017-2018) Status]]="Continued", Table1[[#This Row],[Students Per Spring]], 0)</f>
        <v>338.33333333333331</v>
      </c>
      <c r="BA51" s="58">
        <f t="shared" si="43"/>
        <v>90480.483333333337</v>
      </c>
      <c r="BB51" s="31">
        <f t="shared" si="44"/>
        <v>1015</v>
      </c>
      <c r="BC51" s="58">
        <f t="shared" si="45"/>
        <v>271441.45</v>
      </c>
      <c r="BD51" s="31">
        <f>IF(Table1[[#This Row],[Sustainability Check 1 (2017-2018) Status]]="Continued", Table1[[#This Row],[Students Per Summer]], 0)</f>
        <v>338.33333333333331</v>
      </c>
      <c r="BE51" s="58">
        <f t="shared" si="46"/>
        <v>90480.483333333337</v>
      </c>
      <c r="BF51" s="31">
        <f>IF(Table1[[#This Row],[Sustainability Check 1 (2017-2018) Status]]="Continued", Table1[[#This Row],[Students Per Fall]], 0)</f>
        <v>338.33333333333331</v>
      </c>
      <c r="BG51" s="58">
        <f t="shared" si="47"/>
        <v>90480.483333333337</v>
      </c>
      <c r="BH51" s="31">
        <f>IF(Table1[[#This Row],[Sustainability Check 1 (2017-2018) Status]]="Continued", Table1[[#This Row],[Students Per Spring]], 0)</f>
        <v>338.33333333333331</v>
      </c>
      <c r="BI51" s="58">
        <f t="shared" si="48"/>
        <v>90480.483333333337</v>
      </c>
      <c r="BJ51" s="31">
        <f t="shared" si="49"/>
        <v>1015</v>
      </c>
      <c r="BK51" s="58">
        <f t="shared" si="50"/>
        <v>271441.45</v>
      </c>
      <c r="BL51" s="58" t="s">
        <v>142</v>
      </c>
      <c r="BM51" s="31">
        <v>0</v>
      </c>
      <c r="BN51" s="31">
        <v>0</v>
      </c>
      <c r="BO51" s="31">
        <v>0</v>
      </c>
      <c r="BP51" s="31">
        <f t="shared" si="51"/>
        <v>0</v>
      </c>
      <c r="BQ51" s="58">
        <v>267.43</v>
      </c>
      <c r="BR51" s="58">
        <f>Table1[[#This Row],[Check 2 Students Total]]*Table1[[#This Row],[Summer 2018 Price Check]]</f>
        <v>0</v>
      </c>
      <c r="BS51" s="31">
        <f>IF(Table1[[#This Row],[Sustainability Check 2 (2018-2019) Status]]="Continued", Table1[[#This Row],[Check 2 Students Summer]], 0)</f>
        <v>0</v>
      </c>
      <c r="BT51" s="58">
        <f>Table1[[#This Row],[Summer 2018 Price Check]]*BS51</f>
        <v>0</v>
      </c>
      <c r="BU51" s="31">
        <f>IF(Table1[[#This Row],[Sustainability Check 2 (2018-2019) Status]]="Continued", Table1[[#This Row],[Check 2 Students Fall]], 0)</f>
        <v>0</v>
      </c>
      <c r="BV51" s="58">
        <f>Table1[[#This Row],[Summer 2018 Price Check]]*BU51</f>
        <v>0</v>
      </c>
      <c r="BW51" s="21">
        <f>IF(Table1[[#This Row],[Sustainability Check 2 (2018-2019) Status]]="Continued", Table1[Check 2 Students Spring], 0)</f>
        <v>0</v>
      </c>
      <c r="BX51" s="58">
        <f>Table1[[#This Row],[Summer 2018 Price Check]]*Table1[[#This Row],[Spring 2019 Students]]</f>
        <v>0</v>
      </c>
      <c r="BY51" s="31">
        <f t="shared" si="19"/>
        <v>0</v>
      </c>
      <c r="BZ51" s="58">
        <f t="shared" si="20"/>
        <v>0</v>
      </c>
      <c r="CA51" s="58" t="s">
        <v>142</v>
      </c>
      <c r="CB51" s="21">
        <v>0</v>
      </c>
      <c r="CC51" s="21">
        <v>0</v>
      </c>
      <c r="CD51" s="21">
        <v>0</v>
      </c>
      <c r="CE51" s="21">
        <f t="shared" si="57"/>
        <v>0</v>
      </c>
      <c r="CF51" s="58">
        <v>0</v>
      </c>
      <c r="CG51" s="58">
        <f t="shared" si="22"/>
        <v>0</v>
      </c>
      <c r="CH51" s="17" t="s">
        <v>194</v>
      </c>
      <c r="CI51" s="21">
        <f>IF(Table1[[#This Row],[Check 3 Status]]="Continued", Table1[[#This Row],[Check 3 Students Summer]], 0)</f>
        <v>0</v>
      </c>
      <c r="CJ51" s="58">
        <f>Table1[[#This Row],[Check 3 Per Student Savings]]*CI51</f>
        <v>0</v>
      </c>
      <c r="CK51" s="21">
        <f>IF(Table1[[#This Row],[Check 3 Status]]="Continued", Table1[[#This Row],[Check 3 Students Fall]], 0)</f>
        <v>0</v>
      </c>
      <c r="CL51" s="58">
        <f>Table1[[#This Row],[Check 3 Per Student Savings]]*CK51</f>
        <v>0</v>
      </c>
      <c r="CM51" s="21">
        <f>IF(Table1[[#This Row],[Check 3 Status]]="Continued", Table1[[#This Row],[Check 3 Students Spring]], 0)</f>
        <v>0</v>
      </c>
      <c r="CN51" s="58">
        <f>Table1[[#This Row],[Check 3 Per Student Savings]]*CM51</f>
        <v>0</v>
      </c>
      <c r="CO51" s="21">
        <f t="shared" si="23"/>
        <v>0</v>
      </c>
      <c r="CP51" s="58">
        <f t="shared" si="24"/>
        <v>0</v>
      </c>
      <c r="CQ51" s="58" t="s">
        <v>142</v>
      </c>
      <c r="CR51" s="21">
        <v>0</v>
      </c>
      <c r="CS51" s="21">
        <v>0</v>
      </c>
      <c r="CT51" s="21">
        <v>0</v>
      </c>
      <c r="CU51" s="21">
        <f t="shared" si="25"/>
        <v>0</v>
      </c>
      <c r="CV51" s="58">
        <v>0</v>
      </c>
      <c r="CW51" s="58">
        <f t="shared" si="26"/>
        <v>0</v>
      </c>
      <c r="CX51" s="58"/>
      <c r="CY51" s="21">
        <f>IF(Table1[[#This Row],[Check 4 Status]]="Continued", Table1[[#This Row],[Check 4 Students Summer]], 0)</f>
        <v>0</v>
      </c>
      <c r="CZ51" s="58">
        <f>Table1[[#This Row],[Check 4 Per Student Savings]]*CY51</f>
        <v>0</v>
      </c>
      <c r="DA51" s="21">
        <f>IF(Table1[[#This Row],[Check 4 Status]]="Continued", Table1[[#This Row],[Check 4 Students Fall]], 0)</f>
        <v>0</v>
      </c>
      <c r="DB51" s="58">
        <f>Table1[[#This Row],[Check 4 Per Student Savings]]*DA51</f>
        <v>0</v>
      </c>
      <c r="DC51" s="21">
        <f>IF(Table1[[#This Row],[Check 4 Status]]="Continued", Table1[[#This Row],[Check 4 Students Spring]], 0)</f>
        <v>0</v>
      </c>
      <c r="DD51" s="58">
        <f>Table1[[#This Row],[Check 4 Per Student Savings]]*DC51</f>
        <v>0</v>
      </c>
      <c r="DE51" s="58">
        <f t="shared" si="27"/>
        <v>0</v>
      </c>
      <c r="DF51" s="58">
        <f t="shared" si="28"/>
        <v>0</v>
      </c>
      <c r="DG5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2030</v>
      </c>
      <c r="DH5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542882.9</v>
      </c>
      <c r="DI51" s="58">
        <f>Table1[[#This Row],[Grand Total Savings]]/Table1[[#This Row],[Total Award]]</f>
        <v>18.096096666666668</v>
      </c>
      <c r="DJ51" s="17"/>
      <c r="DK51" s="17"/>
      <c r="DL51" s="17"/>
      <c r="DM51" s="17"/>
      <c r="EC51" s="17"/>
      <c r="ED51" s="17"/>
      <c r="EE51" s="17"/>
      <c r="EF51" s="17"/>
    </row>
    <row r="52" spans="1:136" x14ac:dyDescent="0.25">
      <c r="A52" s="159">
        <v>116</v>
      </c>
      <c r="B52" s="17" t="s">
        <v>2011</v>
      </c>
      <c r="D52" s="97">
        <v>510258</v>
      </c>
      <c r="E52" s="158">
        <v>42206</v>
      </c>
      <c r="F52" s="158">
        <v>42514</v>
      </c>
      <c r="G52" s="159" t="s">
        <v>330</v>
      </c>
      <c r="H52" s="95" t="s">
        <v>10</v>
      </c>
      <c r="I52" s="226" t="s">
        <v>118</v>
      </c>
      <c r="J52" s="17" t="s">
        <v>426</v>
      </c>
      <c r="K52" s="107">
        <v>30000</v>
      </c>
      <c r="L52" s="107"/>
      <c r="M52" s="101" t="s">
        <v>427</v>
      </c>
      <c r="N52" s="101" t="s">
        <v>428</v>
      </c>
      <c r="O52" s="101" t="s">
        <v>429</v>
      </c>
      <c r="P52" s="101" t="s">
        <v>430</v>
      </c>
      <c r="Q52" s="101" t="s">
        <v>148</v>
      </c>
      <c r="R52" s="101" t="s">
        <v>431</v>
      </c>
      <c r="S52" s="101" t="s">
        <v>129</v>
      </c>
      <c r="T52" s="17" t="s">
        <v>125</v>
      </c>
      <c r="U52" s="160" t="s">
        <v>432</v>
      </c>
      <c r="V52" s="17" t="s">
        <v>150</v>
      </c>
      <c r="W52" s="17" t="s">
        <v>127</v>
      </c>
      <c r="X52" s="17" t="s">
        <v>127</v>
      </c>
      <c r="Y52" s="58">
        <v>404184</v>
      </c>
      <c r="Z52" s="31">
        <v>1876</v>
      </c>
      <c r="AA52" s="58">
        <f t="shared" si="59"/>
        <v>215.4498933901919</v>
      </c>
      <c r="AB52" s="21">
        <f>Z52/3</f>
        <v>625.33333333333337</v>
      </c>
      <c r="AC52" s="21">
        <f>Z52/3</f>
        <v>625.33333333333337</v>
      </c>
      <c r="AD52" s="21">
        <f>Z52/3</f>
        <v>625.33333333333337</v>
      </c>
      <c r="AE52" s="17" t="s">
        <v>194</v>
      </c>
      <c r="AF52" s="17" t="s">
        <v>129</v>
      </c>
      <c r="AG52" s="17"/>
      <c r="AI52" s="17" t="s">
        <v>130</v>
      </c>
      <c r="AJ52" s="21">
        <v>0</v>
      </c>
      <c r="AK52" s="58">
        <v>0</v>
      </c>
      <c r="AL52" s="21">
        <v>0</v>
      </c>
      <c r="AM52" s="58">
        <f t="shared" si="52"/>
        <v>0</v>
      </c>
      <c r="AN52" s="21">
        <v>0</v>
      </c>
      <c r="AO52" s="58">
        <f t="shared" si="54"/>
        <v>0</v>
      </c>
      <c r="AP52" s="21">
        <v>0</v>
      </c>
      <c r="AQ52" s="58">
        <f t="shared" si="55"/>
        <v>0</v>
      </c>
      <c r="AR52" s="21">
        <f>Table1[[#This Row],[Students Per Spring]]</f>
        <v>625.33333333333337</v>
      </c>
      <c r="AS52" s="58">
        <f t="shared" si="56"/>
        <v>134728</v>
      </c>
      <c r="AT52" s="21">
        <f t="shared" ref="AT52:AT60" si="60">AN52+AP52+AR52</f>
        <v>625.33333333333337</v>
      </c>
      <c r="AU52" s="58">
        <f t="shared" si="58"/>
        <v>134728</v>
      </c>
      <c r="AV52" s="21">
        <f>IF(Table1[[#This Row],[Sustainability Check 1 (2017-2018) Status]]="Continued", Table1[[#This Row],[Students Per Summer]], 0)</f>
        <v>625.33333333333337</v>
      </c>
      <c r="AW52" s="58">
        <f t="shared" ref="AW52:AW76" si="61">$AA52*AV52</f>
        <v>134728</v>
      </c>
      <c r="AX52" s="31">
        <f>IF(Table1[[#This Row],[Sustainability Check 1 (2017-2018) Status]]="Continued", Table1[[#This Row],[Students Per Fall]], 0)</f>
        <v>625.33333333333337</v>
      </c>
      <c r="AY52" s="58">
        <f t="shared" ref="AY52:AY83" si="62">$AA52*AX52</f>
        <v>134728</v>
      </c>
      <c r="AZ52" s="31">
        <f>IF(Table1[[#This Row],[Sustainability Check 1 (2017-2018) Status]]="Continued", Table1[[#This Row],[Students Per Spring]], 0)</f>
        <v>625.33333333333337</v>
      </c>
      <c r="BA52" s="58">
        <f t="shared" ref="BA52:BA83" si="63">$AA52*AZ52</f>
        <v>134728</v>
      </c>
      <c r="BB52" s="31">
        <f t="shared" ref="BB52:BB83" si="64">AV52+AX52+AZ52</f>
        <v>1876</v>
      </c>
      <c r="BC52" s="58">
        <f t="shared" ref="BC52:BC83" si="65">AW52+AY52+BA52</f>
        <v>404184</v>
      </c>
      <c r="BD52" s="31">
        <f>IF(Table1[[#This Row],[Sustainability Check 1 (2017-2018) Status]]="Continued", Table1[[#This Row],[Students Per Summer]], 0)</f>
        <v>625.33333333333337</v>
      </c>
      <c r="BE52" s="58">
        <f t="shared" ref="BE52:BE83" si="66">$AA52*BD52</f>
        <v>134728</v>
      </c>
      <c r="BF52" s="31">
        <f>IF(Table1[[#This Row],[Sustainability Check 1 (2017-2018) Status]]="Continued", Table1[[#This Row],[Students Per Fall]], 0)</f>
        <v>625.33333333333337</v>
      </c>
      <c r="BG52" s="58">
        <f t="shared" ref="BG52:BG83" si="67">$AA52*BF52</f>
        <v>134728</v>
      </c>
      <c r="BH52" s="31">
        <f>IF(Table1[[#This Row],[Sustainability Check 1 (2017-2018) Status]]="Continued", Table1[[#This Row],[Students Per Spring]], 0)</f>
        <v>625.33333333333337</v>
      </c>
      <c r="BI52" s="58">
        <f t="shared" ref="BI52:BI83" si="68">$AA52*BH52</f>
        <v>134728</v>
      </c>
      <c r="BJ52" s="31">
        <f t="shared" ref="BJ52:BJ83" si="69">BD52+BF52+BH52</f>
        <v>1876</v>
      </c>
      <c r="BK52" s="58">
        <f t="shared" ref="BK52:BK83" si="70">BE52+BG52+BI52</f>
        <v>404184</v>
      </c>
      <c r="BL52" s="58" t="s">
        <v>130</v>
      </c>
      <c r="BM52" s="31">
        <v>111</v>
      </c>
      <c r="BN52" s="31">
        <v>445</v>
      </c>
      <c r="BO52" s="31">
        <v>1026</v>
      </c>
      <c r="BP52" s="31">
        <f t="shared" si="51"/>
        <v>1582</v>
      </c>
      <c r="BQ52" s="58">
        <v>247.53</v>
      </c>
      <c r="BR52" s="58">
        <f>Table1[[#This Row],[Check 2 Students Total]]*Table1[[#This Row],[Summer 2018 Price Check]]</f>
        <v>391592.46</v>
      </c>
      <c r="BS52" s="31">
        <f>IF(Table1[[#This Row],[Sustainability Check 2 (2018-2019) Status]]="Continued", Table1[[#This Row],[Check 2 Students Summer]], 0)</f>
        <v>111</v>
      </c>
      <c r="BT52" s="58">
        <f>Table1[[#This Row],[Summer 2018 Price Check]]*BS52</f>
        <v>27475.83</v>
      </c>
      <c r="BU52" s="31">
        <f>IF(Table1[[#This Row],[Sustainability Check 2 (2018-2019) Status]]="Continued", Table1[[#This Row],[Check 2 Students Fall]], 0)</f>
        <v>445</v>
      </c>
      <c r="BV52" s="58">
        <f>Table1[[#This Row],[Summer 2018 Price Check]]*BU52</f>
        <v>110150.85</v>
      </c>
      <c r="BW52" s="21">
        <f>IF(Table1[[#This Row],[Sustainability Check 2 (2018-2019) Status]]="Continued", Table1[Check 2 Students Spring], 0)</f>
        <v>1026</v>
      </c>
      <c r="BX52" s="58">
        <f>Table1[[#This Row],[Summer 2018 Price Check]]*Table1[[#This Row],[Spring 2019 Students]]</f>
        <v>253965.78</v>
      </c>
      <c r="BY52" s="31">
        <f t="shared" si="19"/>
        <v>1582</v>
      </c>
      <c r="BZ52" s="58">
        <f t="shared" si="20"/>
        <v>391592.45999999996</v>
      </c>
      <c r="CA52" s="58" t="s">
        <v>130</v>
      </c>
      <c r="CB52" s="21">
        <v>85</v>
      </c>
      <c r="CC52" s="21">
        <v>381</v>
      </c>
      <c r="CD52" s="21">
        <v>480</v>
      </c>
      <c r="CE52" s="21">
        <f t="shared" si="57"/>
        <v>946</v>
      </c>
      <c r="CF52" s="58">
        <v>242.18</v>
      </c>
      <c r="CG52" s="58">
        <f t="shared" si="22"/>
        <v>229102.28</v>
      </c>
      <c r="CH52" s="17" t="s">
        <v>194</v>
      </c>
      <c r="CI52" s="21">
        <f>IF(Table1[[#This Row],[Check 3 Status]]="Continued", Table1[[#This Row],[Check 3 Students Summer]], 0)</f>
        <v>85</v>
      </c>
      <c r="CJ52" s="58">
        <f>Table1[[#This Row],[Check 3 Per Student Savings]]*CI52</f>
        <v>20585.3</v>
      </c>
      <c r="CK52" s="21">
        <f>IF(Table1[[#This Row],[Check 3 Status]]="Continued", Table1[[#This Row],[Check 3 Students Fall]], 0)</f>
        <v>381</v>
      </c>
      <c r="CL52" s="58">
        <f>Table1[[#This Row],[Check 3 Per Student Savings]]*CK52</f>
        <v>92270.58</v>
      </c>
      <c r="CM52" s="21">
        <f>IF(Table1[[#This Row],[Check 3 Status]]="Continued", Table1[[#This Row],[Check 3 Students Spring]], 0)</f>
        <v>480</v>
      </c>
      <c r="CN52" s="58">
        <f>Table1[[#This Row],[Check 3 Per Student Savings]]*CM52</f>
        <v>116246.40000000001</v>
      </c>
      <c r="CO52" s="21">
        <f t="shared" si="23"/>
        <v>946</v>
      </c>
      <c r="CP52" s="58">
        <f t="shared" si="24"/>
        <v>229102.28000000003</v>
      </c>
      <c r="CQ52" s="58" t="s">
        <v>142</v>
      </c>
      <c r="CR52" s="21">
        <v>85</v>
      </c>
      <c r="CS52" s="21">
        <v>381</v>
      </c>
      <c r="CT52" s="21">
        <v>480</v>
      </c>
      <c r="CU52" s="21">
        <v>0</v>
      </c>
      <c r="CV52" s="58">
        <v>0</v>
      </c>
      <c r="CW52" s="58">
        <f t="shared" si="26"/>
        <v>0</v>
      </c>
      <c r="CX52" s="58"/>
      <c r="CY52" s="21">
        <f>IF(Table1[[#This Row],[Check 4 Status]]="Continued", Table1[[#This Row],[Check 4 Students Summer]], 0)</f>
        <v>0</v>
      </c>
      <c r="CZ52" s="58">
        <f>Table1[[#This Row],[Check 4 Per Student Savings]]*CY52</f>
        <v>0</v>
      </c>
      <c r="DA52" s="21">
        <f>IF(Table1[[#This Row],[Check 4 Status]]="Continued", Table1[[#This Row],[Check 4 Students Fall]], 0)</f>
        <v>0</v>
      </c>
      <c r="DB52" s="58">
        <f>Table1[[#This Row],[Check 4 Per Student Savings]]*DA52</f>
        <v>0</v>
      </c>
      <c r="DC52" s="21">
        <f>IF(Table1[[#This Row],[Check 4 Status]]="Continued", Table1[[#This Row],[Check 4 Students Spring]], 0)</f>
        <v>0</v>
      </c>
      <c r="DD52" s="58">
        <f>Table1[[#This Row],[Check 4 Per Student Savings]]*DC52</f>
        <v>0</v>
      </c>
      <c r="DE52" s="58">
        <f t="shared" si="27"/>
        <v>0</v>
      </c>
      <c r="DF52" s="58">
        <f t="shared" si="28"/>
        <v>0</v>
      </c>
      <c r="DG5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6905.3333333333339</v>
      </c>
      <c r="DH5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1563790.74</v>
      </c>
      <c r="DI52" s="58">
        <f>Table1[[#This Row],[Grand Total Savings]]/Table1[[#This Row],[Total Award]]</f>
        <v>52.126357999999996</v>
      </c>
      <c r="DJ52" s="17"/>
      <c r="DK52" s="17"/>
      <c r="DL52" s="17"/>
      <c r="DM52" s="17"/>
      <c r="EC52" s="17"/>
      <c r="ED52" s="17"/>
      <c r="EE52" s="17"/>
      <c r="EF52" s="17"/>
    </row>
    <row r="53" spans="1:136" x14ac:dyDescent="0.25">
      <c r="A53" s="159">
        <v>118</v>
      </c>
      <c r="B53" s="17" t="s">
        <v>2011</v>
      </c>
      <c r="D53" s="97">
        <v>510246</v>
      </c>
      <c r="E53" s="158">
        <v>42338</v>
      </c>
      <c r="F53" s="158">
        <v>42514</v>
      </c>
      <c r="G53" s="159" t="s">
        <v>330</v>
      </c>
      <c r="H53" s="95" t="s">
        <v>10</v>
      </c>
      <c r="I53" s="226" t="s">
        <v>118</v>
      </c>
      <c r="J53" s="17" t="s">
        <v>159</v>
      </c>
      <c r="K53" s="107">
        <v>28300</v>
      </c>
      <c r="L53" s="107"/>
      <c r="M53" s="101" t="s">
        <v>433</v>
      </c>
      <c r="N53" s="160" t="s">
        <v>434</v>
      </c>
      <c r="O53" s="101" t="s">
        <v>204</v>
      </c>
      <c r="P53" s="101" t="s">
        <v>205</v>
      </c>
      <c r="Q53" s="101" t="s">
        <v>206</v>
      </c>
      <c r="R53" s="101" t="s">
        <v>204</v>
      </c>
      <c r="S53" s="101" t="s">
        <v>129</v>
      </c>
      <c r="T53" s="17" t="s">
        <v>125</v>
      </c>
      <c r="U53" s="160" t="s">
        <v>367</v>
      </c>
      <c r="V53" s="17" t="s">
        <v>127</v>
      </c>
      <c r="W53" s="17" t="s">
        <v>139</v>
      </c>
      <c r="X53" s="17" t="s">
        <v>139</v>
      </c>
      <c r="Y53" s="58">
        <v>290796</v>
      </c>
      <c r="Z53" s="31">
        <v>600</v>
      </c>
      <c r="AA53" s="58">
        <f t="shared" si="59"/>
        <v>484.66</v>
      </c>
      <c r="AB53" s="21">
        <v>0</v>
      </c>
      <c r="AC53" s="21">
        <v>0</v>
      </c>
      <c r="AD53" s="21">
        <v>600</v>
      </c>
      <c r="AE53" s="17" t="s">
        <v>208</v>
      </c>
      <c r="AF53" s="17" t="s">
        <v>129</v>
      </c>
      <c r="AG53" s="17"/>
      <c r="AI53" s="17" t="s">
        <v>130</v>
      </c>
      <c r="AJ53" s="21">
        <v>0</v>
      </c>
      <c r="AK53" s="58">
        <v>0</v>
      </c>
      <c r="AL53" s="21">
        <v>0</v>
      </c>
      <c r="AM53" s="58">
        <f t="shared" si="52"/>
        <v>0</v>
      </c>
      <c r="AN53" s="21">
        <v>0</v>
      </c>
      <c r="AO53" s="58">
        <f t="shared" si="54"/>
        <v>0</v>
      </c>
      <c r="AP53" s="21">
        <f>Table1[[#This Row],[Students Per Fall]]</f>
        <v>0</v>
      </c>
      <c r="AQ53" s="58">
        <f t="shared" si="55"/>
        <v>0</v>
      </c>
      <c r="AR53" s="21">
        <f>IF(Table1[[#This Row],[Sustainability Check 1 (2017-2018) Status]]="Continued", Table1[[#This Row],[Students Per Spring]], 0)</f>
        <v>600</v>
      </c>
      <c r="AS53" s="58">
        <f t="shared" si="56"/>
        <v>290796</v>
      </c>
      <c r="AT53" s="21">
        <f t="shared" si="60"/>
        <v>600</v>
      </c>
      <c r="AU53" s="58">
        <f t="shared" si="58"/>
        <v>290796</v>
      </c>
      <c r="AV53" s="21">
        <f>IF(Table1[[#This Row],[Sustainability Check 1 (2017-2018) Status]]="Continued", Table1[[#This Row],[Students Per Summer]], 0)</f>
        <v>0</v>
      </c>
      <c r="AW53" s="58">
        <f t="shared" si="61"/>
        <v>0</v>
      </c>
      <c r="AX53" s="31">
        <f>IF(Table1[[#This Row],[Sustainability Check 1 (2017-2018) Status]]="Continued", Table1[[#This Row],[Students Per Fall]], 0)</f>
        <v>0</v>
      </c>
      <c r="AY53" s="58">
        <f t="shared" si="62"/>
        <v>0</v>
      </c>
      <c r="AZ53" s="31">
        <f>IF(Table1[[#This Row],[Sustainability Check 1 (2017-2018) Status]]="Continued", Table1[[#This Row],[Students Per Spring]], 0)</f>
        <v>600</v>
      </c>
      <c r="BA53" s="58">
        <f t="shared" si="63"/>
        <v>290796</v>
      </c>
      <c r="BB53" s="31">
        <f t="shared" si="64"/>
        <v>600</v>
      </c>
      <c r="BC53" s="58">
        <f t="shared" si="65"/>
        <v>290796</v>
      </c>
      <c r="BD53" s="31">
        <f>IF(Table1[[#This Row],[Sustainability Check 1 (2017-2018) Status]]="Continued", Table1[[#This Row],[Students Per Summer]], 0)</f>
        <v>0</v>
      </c>
      <c r="BE53" s="58">
        <f t="shared" si="66"/>
        <v>0</v>
      </c>
      <c r="BF53" s="31">
        <f>IF(Table1[[#This Row],[Sustainability Check 1 (2017-2018) Status]]="Continued", Table1[[#This Row],[Students Per Fall]], 0)</f>
        <v>0</v>
      </c>
      <c r="BG53" s="58">
        <f t="shared" si="67"/>
        <v>0</v>
      </c>
      <c r="BH53" s="31">
        <f>IF(Table1[[#This Row],[Sustainability Check 1 (2017-2018) Status]]="Continued", Table1[[#This Row],[Students Per Spring]], 0)</f>
        <v>600</v>
      </c>
      <c r="BI53" s="58">
        <f t="shared" si="68"/>
        <v>290796</v>
      </c>
      <c r="BJ53" s="31">
        <f t="shared" si="69"/>
        <v>600</v>
      </c>
      <c r="BK53" s="58">
        <f t="shared" si="70"/>
        <v>290796</v>
      </c>
      <c r="BL53" s="58" t="s">
        <v>130</v>
      </c>
      <c r="BM53" s="31">
        <v>0</v>
      </c>
      <c r="BN53" s="31">
        <v>600</v>
      </c>
      <c r="BO53" s="31">
        <v>0</v>
      </c>
      <c r="BP53" s="31">
        <f t="shared" si="51"/>
        <v>600</v>
      </c>
      <c r="BQ53" s="96">
        <v>154.4</v>
      </c>
      <c r="BR53" s="58">
        <f>Table1[[#This Row],[Check 2 Students Total]]*Table1[[#This Row],[Summer 2018 Price Check]]</f>
        <v>92640</v>
      </c>
      <c r="BS53" s="31">
        <f>IF(Table1[[#This Row],[Sustainability Check 2 (2018-2019) Status]]="Continued", Table1[[#This Row],[Check 2 Students Summer]], 0)</f>
        <v>0</v>
      </c>
      <c r="BT53" s="58">
        <f>Table1[[#This Row],[Summer 2018 Price Check]]*BS53</f>
        <v>0</v>
      </c>
      <c r="BU53" s="31">
        <f>IF(Table1[[#This Row],[Sustainability Check 2 (2018-2019) Status]]="Continued", Table1[[#This Row],[Check 2 Students Fall]], 0)</f>
        <v>600</v>
      </c>
      <c r="BV53" s="58">
        <f>Table1[[#This Row],[Summer 2018 Price Check]]*BU53</f>
        <v>92640</v>
      </c>
      <c r="BW53" s="21">
        <f>IF(Table1[[#This Row],[Sustainability Check 2 (2018-2019) Status]]="Continued", Table1[Check 2 Students Spring], 0)</f>
        <v>0</v>
      </c>
      <c r="BX53" s="58">
        <f>Table1[[#This Row],[Summer 2018 Price Check]]*Table1[[#This Row],[Spring 2019 Students]]</f>
        <v>0</v>
      </c>
      <c r="BY53" s="31">
        <f t="shared" si="19"/>
        <v>600</v>
      </c>
      <c r="BZ53" s="58">
        <f t="shared" si="20"/>
        <v>92640</v>
      </c>
      <c r="CA53" s="58" t="s">
        <v>130</v>
      </c>
      <c r="CB53" s="21">
        <v>0</v>
      </c>
      <c r="CC53" s="21">
        <v>600</v>
      </c>
      <c r="CD53" s="21">
        <v>0</v>
      </c>
      <c r="CE53" s="21">
        <f t="shared" si="57"/>
        <v>600</v>
      </c>
      <c r="CF53" s="58">
        <v>154.4</v>
      </c>
      <c r="CG53" s="58">
        <f t="shared" si="22"/>
        <v>92640</v>
      </c>
      <c r="CH53" s="17" t="s">
        <v>208</v>
      </c>
      <c r="CI53" s="21">
        <f>IF(Table1[[#This Row],[Check 3 Status]]="Continued", Table1[[#This Row],[Check 3 Students Summer]], 0)</f>
        <v>0</v>
      </c>
      <c r="CJ53" s="58">
        <f>Table1[[#This Row],[Check 3 Per Student Savings]]*CI53</f>
        <v>0</v>
      </c>
      <c r="CK53" s="21">
        <f>IF(Table1[[#This Row],[Check 3 Status]]="Continued", Table1[[#This Row],[Check 3 Students Fall]], 0)</f>
        <v>600</v>
      </c>
      <c r="CL53" s="58">
        <f>Table1[[#This Row],[Check 3 Per Student Savings]]*CK53</f>
        <v>92640</v>
      </c>
      <c r="CM53" s="21">
        <f>IF(Table1[[#This Row],[Check 3 Status]]="Continued", Table1[[#This Row],[Check 3 Students Spring]], 0)</f>
        <v>0</v>
      </c>
      <c r="CN53" s="58">
        <f>Table1[[#This Row],[Check 3 Per Student Savings]]*CM53</f>
        <v>0</v>
      </c>
      <c r="CO53" s="21">
        <f t="shared" si="23"/>
        <v>600</v>
      </c>
      <c r="CP53" s="58">
        <f t="shared" si="24"/>
        <v>92640</v>
      </c>
      <c r="CQ53" s="58" t="s">
        <v>130</v>
      </c>
      <c r="CR53" s="21">
        <v>0</v>
      </c>
      <c r="CS53" s="21">
        <v>600</v>
      </c>
      <c r="CT53" s="21">
        <v>0</v>
      </c>
      <c r="CU53" s="21">
        <f t="shared" si="25"/>
        <v>600</v>
      </c>
      <c r="CV53" s="58">
        <v>154.4</v>
      </c>
      <c r="CW53" s="58">
        <f t="shared" si="26"/>
        <v>92640</v>
      </c>
      <c r="CX53" s="58"/>
      <c r="CY53" s="21">
        <f>IF(Table1[[#This Row],[Check 4 Status]]="Continued", Table1[[#This Row],[Check 4 Students Summer]], 0)</f>
        <v>0</v>
      </c>
      <c r="CZ53" s="58">
        <f>Table1[[#This Row],[Check 4 Per Student Savings]]*CY53</f>
        <v>0</v>
      </c>
      <c r="DA53" s="21">
        <f>IF(Table1[[#This Row],[Check 4 Status]]="Continued", Table1[[#This Row],[Check 4 Students Fall]], 0)</f>
        <v>600</v>
      </c>
      <c r="DB53" s="58">
        <f>Table1[[#This Row],[Check 4 Per Student Savings]]*DA53</f>
        <v>92640</v>
      </c>
      <c r="DC53" s="21">
        <f>IF(Table1[[#This Row],[Check 4 Status]]="Continued", Table1[[#This Row],[Check 4 Students Spring]], 0)</f>
        <v>0</v>
      </c>
      <c r="DD53" s="58">
        <f>Table1[[#This Row],[Check 4 Per Student Savings]]*DC53</f>
        <v>0</v>
      </c>
      <c r="DE53" s="58">
        <f t="shared" si="27"/>
        <v>600</v>
      </c>
      <c r="DF53" s="58">
        <f t="shared" si="28"/>
        <v>92640</v>
      </c>
      <c r="DG5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3600</v>
      </c>
      <c r="DH5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1150308</v>
      </c>
      <c r="DI53" s="58">
        <f>Table1[[#This Row],[Grand Total Savings]]/Table1[[#This Row],[Total Award]]</f>
        <v>40.646925795053001</v>
      </c>
      <c r="DJ53" s="17"/>
      <c r="DK53" s="17"/>
      <c r="DL53" s="17"/>
      <c r="DM53" s="17"/>
      <c r="EC53" s="17"/>
      <c r="ED53" s="17"/>
      <c r="EE53" s="17"/>
      <c r="EF53" s="17"/>
    </row>
    <row r="54" spans="1:136" x14ac:dyDescent="0.25">
      <c r="A54" s="159">
        <v>119</v>
      </c>
      <c r="B54" s="17" t="s">
        <v>2011</v>
      </c>
      <c r="D54" s="97">
        <v>510256</v>
      </c>
      <c r="E54" s="158">
        <v>42237</v>
      </c>
      <c r="F54" s="158">
        <v>42514</v>
      </c>
      <c r="G54" s="159" t="s">
        <v>330</v>
      </c>
      <c r="H54" s="95" t="s">
        <v>10</v>
      </c>
      <c r="I54" s="226" t="s">
        <v>118</v>
      </c>
      <c r="J54" s="17" t="s">
        <v>132</v>
      </c>
      <c r="K54" s="107">
        <v>30000</v>
      </c>
      <c r="L54" s="107"/>
      <c r="M54" s="101" t="s">
        <v>435</v>
      </c>
      <c r="N54" s="101" t="s">
        <v>436</v>
      </c>
      <c r="O54" s="101" t="s">
        <v>437</v>
      </c>
      <c r="P54" s="101" t="s">
        <v>438</v>
      </c>
      <c r="Q54" s="101" t="s">
        <v>177</v>
      </c>
      <c r="R54" s="101" t="s">
        <v>129</v>
      </c>
      <c r="S54" s="101" t="s">
        <v>129</v>
      </c>
      <c r="T54" s="17" t="s">
        <v>129</v>
      </c>
      <c r="U54" s="101" t="s">
        <v>157</v>
      </c>
      <c r="V54" s="17" t="s">
        <v>150</v>
      </c>
      <c r="W54" s="17" t="s">
        <v>150</v>
      </c>
      <c r="X54" s="17" t="s">
        <v>150</v>
      </c>
      <c r="Y54" s="58">
        <v>110419</v>
      </c>
      <c r="Z54" s="17">
        <v>330</v>
      </c>
      <c r="AA54" s="58">
        <f t="shared" si="59"/>
        <v>334.60303030303032</v>
      </c>
      <c r="AB54" s="21">
        <f>Z54/3</f>
        <v>110</v>
      </c>
      <c r="AC54" s="21">
        <f>Z54/3</f>
        <v>110</v>
      </c>
      <c r="AD54" s="21">
        <f>Z54/3</f>
        <v>110</v>
      </c>
      <c r="AE54" s="17" t="s">
        <v>194</v>
      </c>
      <c r="AF54" s="17" t="s">
        <v>129</v>
      </c>
      <c r="AG54" s="17"/>
      <c r="AI54" s="17" t="s">
        <v>130</v>
      </c>
      <c r="AJ54" s="21">
        <v>0</v>
      </c>
      <c r="AK54" s="58">
        <v>0</v>
      </c>
      <c r="AL54" s="21">
        <v>0</v>
      </c>
      <c r="AM54" s="58">
        <f t="shared" si="52"/>
        <v>0</v>
      </c>
      <c r="AN54" s="21">
        <v>0</v>
      </c>
      <c r="AO54" s="58">
        <f t="shared" si="54"/>
        <v>0</v>
      </c>
      <c r="AP54" s="21">
        <v>0</v>
      </c>
      <c r="AQ54" s="58">
        <f t="shared" si="55"/>
        <v>0</v>
      </c>
      <c r="AR54" s="21">
        <f>IF(Table1[[#This Row],[Sustainability Check 1 (2017-2018) Status]]="Continued", Table1[[#This Row],[Students Per Spring]], 0)</f>
        <v>110</v>
      </c>
      <c r="AS54" s="58">
        <f t="shared" si="56"/>
        <v>36806.333333333336</v>
      </c>
      <c r="AT54" s="21">
        <f t="shared" si="60"/>
        <v>110</v>
      </c>
      <c r="AU54" s="58">
        <f t="shared" si="58"/>
        <v>36806.333333333336</v>
      </c>
      <c r="AV54" s="21">
        <f>IF(Table1[[#This Row],[Sustainability Check 1 (2017-2018) Status]]="Continued", Table1[[#This Row],[Students Per Summer]], 0)</f>
        <v>110</v>
      </c>
      <c r="AW54" s="58">
        <f t="shared" si="61"/>
        <v>36806.333333333336</v>
      </c>
      <c r="AX54" s="31">
        <f>IF(Table1[[#This Row],[Sustainability Check 1 (2017-2018) Status]]="Continued", Table1[[#This Row],[Students Per Fall]], 0)</f>
        <v>110</v>
      </c>
      <c r="AY54" s="58">
        <f t="shared" si="62"/>
        <v>36806.333333333336</v>
      </c>
      <c r="AZ54" s="31">
        <f>IF(Table1[[#This Row],[Sustainability Check 1 (2017-2018) Status]]="Continued", Table1[[#This Row],[Students Per Spring]], 0)</f>
        <v>110</v>
      </c>
      <c r="BA54" s="58">
        <f t="shared" si="63"/>
        <v>36806.333333333336</v>
      </c>
      <c r="BB54" s="31">
        <f t="shared" si="64"/>
        <v>330</v>
      </c>
      <c r="BC54" s="58">
        <f t="shared" si="65"/>
        <v>110419</v>
      </c>
      <c r="BD54" s="31">
        <f>IF(Table1[[#This Row],[Sustainability Check 1 (2017-2018) Status]]="Continued", Table1[[#This Row],[Students Per Summer]], 0)</f>
        <v>110</v>
      </c>
      <c r="BE54" s="58">
        <f t="shared" si="66"/>
        <v>36806.333333333336</v>
      </c>
      <c r="BF54" s="31">
        <f>IF(Table1[[#This Row],[Sustainability Check 1 (2017-2018) Status]]="Continued", Table1[[#This Row],[Students Per Fall]], 0)</f>
        <v>110</v>
      </c>
      <c r="BG54" s="58">
        <f t="shared" si="67"/>
        <v>36806.333333333336</v>
      </c>
      <c r="BH54" s="31">
        <f>IF(Table1[[#This Row],[Sustainability Check 1 (2017-2018) Status]]="Continued", Table1[[#This Row],[Students Per Spring]], 0)</f>
        <v>110</v>
      </c>
      <c r="BI54" s="58">
        <f t="shared" si="68"/>
        <v>36806.333333333336</v>
      </c>
      <c r="BJ54" s="31">
        <f t="shared" si="69"/>
        <v>330</v>
      </c>
      <c r="BK54" s="58">
        <f t="shared" si="70"/>
        <v>110419</v>
      </c>
      <c r="BL54" s="58" t="s">
        <v>130</v>
      </c>
      <c r="BM54" s="31">
        <v>110</v>
      </c>
      <c r="BN54" s="31">
        <v>110</v>
      </c>
      <c r="BO54" s="31">
        <v>110</v>
      </c>
      <c r="BP54" s="31">
        <f t="shared" si="51"/>
        <v>330</v>
      </c>
      <c r="BQ54" s="58">
        <v>334.6</v>
      </c>
      <c r="BR54" s="58">
        <f>Table1[[#This Row],[Check 2 Students Total]]*Table1[[#This Row],[Summer 2018 Price Check]]</f>
        <v>110418.00000000001</v>
      </c>
      <c r="BS54" s="31">
        <f>IF(Table1[[#This Row],[Sustainability Check 2 (2018-2019) Status]]="Continued", Table1[[#This Row],[Check 2 Students Summer]], 0)</f>
        <v>110</v>
      </c>
      <c r="BT54" s="58">
        <f>Table1[[#This Row],[Summer 2018 Price Check]]*BS54</f>
        <v>36806</v>
      </c>
      <c r="BU54" s="31">
        <f>IF(Table1[[#This Row],[Sustainability Check 2 (2018-2019) Status]]="Continued", Table1[[#This Row],[Check 2 Students Fall]], 0)</f>
        <v>110</v>
      </c>
      <c r="BV54" s="58">
        <f>Table1[[#This Row],[Summer 2018 Price Check]]*BU54</f>
        <v>36806</v>
      </c>
      <c r="BW54" s="21">
        <f>IF(Table1[[#This Row],[Sustainability Check 2 (2018-2019) Status]]="Continued", Table1[Check 2 Students Spring], 0)</f>
        <v>110</v>
      </c>
      <c r="BX54" s="58">
        <f>Table1[[#This Row],[Summer 2018 Price Check]]*Table1[[#This Row],[Spring 2019 Students]]</f>
        <v>36806</v>
      </c>
      <c r="BY54" s="31">
        <f t="shared" si="19"/>
        <v>330</v>
      </c>
      <c r="BZ54" s="58">
        <f t="shared" si="20"/>
        <v>110418</v>
      </c>
      <c r="CA54" s="58" t="s">
        <v>130</v>
      </c>
      <c r="CB54" s="21">
        <v>36</v>
      </c>
      <c r="CC54" s="21">
        <v>229</v>
      </c>
      <c r="CD54" s="21">
        <v>32</v>
      </c>
      <c r="CE54" s="21">
        <f t="shared" si="57"/>
        <v>297</v>
      </c>
      <c r="CF54" s="58">
        <v>334.6</v>
      </c>
      <c r="CG54" s="58">
        <f t="shared" si="22"/>
        <v>99376.200000000012</v>
      </c>
      <c r="CH54" s="17" t="s">
        <v>194</v>
      </c>
      <c r="CI54" s="21">
        <f>IF(Table1[[#This Row],[Check 3 Status]]="Continued", Table1[[#This Row],[Check 3 Students Summer]], 0)</f>
        <v>36</v>
      </c>
      <c r="CJ54" s="58">
        <f>Table1[[#This Row],[Check 3 Per Student Savings]]*CI54</f>
        <v>12045.6</v>
      </c>
      <c r="CK54" s="21">
        <f>IF(Table1[[#This Row],[Check 3 Status]]="Continued", Table1[[#This Row],[Check 3 Students Fall]], 0)</f>
        <v>229</v>
      </c>
      <c r="CL54" s="58">
        <f>Table1[[#This Row],[Check 3 Per Student Savings]]*CK54</f>
        <v>76623.400000000009</v>
      </c>
      <c r="CM54" s="21">
        <f>IF(Table1[[#This Row],[Check 3 Status]]="Continued", Table1[[#This Row],[Check 3 Students Spring]], 0)</f>
        <v>32</v>
      </c>
      <c r="CN54" s="58">
        <f>Table1[[#This Row],[Check 3 Per Student Savings]]*CM54</f>
        <v>10707.2</v>
      </c>
      <c r="CO54" s="21">
        <f t="shared" si="23"/>
        <v>297</v>
      </c>
      <c r="CP54" s="58">
        <f t="shared" si="24"/>
        <v>99376.200000000012</v>
      </c>
      <c r="CQ54" s="58" t="s">
        <v>130</v>
      </c>
      <c r="CR54" s="21">
        <v>36</v>
      </c>
      <c r="CS54" s="21">
        <v>229</v>
      </c>
      <c r="CT54" s="21">
        <v>32</v>
      </c>
      <c r="CU54" s="21">
        <f t="shared" si="25"/>
        <v>297</v>
      </c>
      <c r="CV54" s="58">
        <v>334.6</v>
      </c>
      <c r="CW54" s="58">
        <f t="shared" si="26"/>
        <v>99376.200000000012</v>
      </c>
      <c r="CX54" s="58"/>
      <c r="CY54" s="21">
        <f>IF(Table1[[#This Row],[Check 4 Status]]="Continued", Table1[[#This Row],[Check 4 Students Summer]], 0)</f>
        <v>36</v>
      </c>
      <c r="CZ54" s="58">
        <f>Table1[[#This Row],[Check 4 Per Student Savings]]*CY54</f>
        <v>12045.6</v>
      </c>
      <c r="DA54" s="21">
        <f>IF(Table1[[#This Row],[Check 4 Status]]="Continued", Table1[[#This Row],[Check 4 Students Fall]], 0)</f>
        <v>229</v>
      </c>
      <c r="DB54" s="58">
        <f>Table1[[#This Row],[Check 4 Per Student Savings]]*DA54</f>
        <v>76623.400000000009</v>
      </c>
      <c r="DC54" s="21">
        <f>IF(Table1[[#This Row],[Check 4 Status]]="Continued", Table1[[#This Row],[Check 4 Students Spring]], 0)</f>
        <v>32</v>
      </c>
      <c r="DD54" s="58">
        <f>Table1[[#This Row],[Check 4 Per Student Savings]]*DC54</f>
        <v>10707.2</v>
      </c>
      <c r="DE54" s="58">
        <f t="shared" si="27"/>
        <v>297</v>
      </c>
      <c r="DF54" s="58">
        <f t="shared" si="28"/>
        <v>99376.200000000012</v>
      </c>
      <c r="DG5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1694</v>
      </c>
      <c r="DH5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566814.7333333334</v>
      </c>
      <c r="DI54" s="58">
        <f>Table1[[#This Row],[Grand Total Savings]]/Table1[[#This Row],[Total Award]]</f>
        <v>18.893824444444448</v>
      </c>
      <c r="DJ54" s="17"/>
      <c r="DK54" s="17"/>
      <c r="DL54" s="17"/>
      <c r="DM54" s="17"/>
      <c r="EC54" s="17"/>
      <c r="ED54" s="17"/>
      <c r="EE54" s="17"/>
      <c r="EF54" s="17"/>
    </row>
    <row r="55" spans="1:136" x14ac:dyDescent="0.25">
      <c r="A55" s="159">
        <v>120</v>
      </c>
      <c r="B55" s="17" t="s">
        <v>2011</v>
      </c>
      <c r="D55" s="97">
        <v>510257</v>
      </c>
      <c r="E55" s="158">
        <v>42180</v>
      </c>
      <c r="F55" s="158">
        <v>42380</v>
      </c>
      <c r="G55" s="159" t="s">
        <v>330</v>
      </c>
      <c r="H55" s="95" t="s">
        <v>10</v>
      </c>
      <c r="I55" s="226" t="s">
        <v>118</v>
      </c>
      <c r="J55" s="17" t="s">
        <v>250</v>
      </c>
      <c r="K55" s="107">
        <v>18800</v>
      </c>
      <c r="L55" s="107"/>
      <c r="M55" s="101" t="s">
        <v>251</v>
      </c>
      <c r="N55" s="101" t="s">
        <v>252</v>
      </c>
      <c r="O55" s="101" t="s">
        <v>439</v>
      </c>
      <c r="P55" s="101" t="s">
        <v>254</v>
      </c>
      <c r="Q55" s="101" t="s">
        <v>192</v>
      </c>
      <c r="R55" s="101" t="s">
        <v>129</v>
      </c>
      <c r="S55" s="101" t="s">
        <v>129</v>
      </c>
      <c r="T55" s="17" t="s">
        <v>125</v>
      </c>
      <c r="U55" s="160" t="s">
        <v>255</v>
      </c>
      <c r="V55" s="17" t="s">
        <v>150</v>
      </c>
      <c r="W55" s="17" t="s">
        <v>150</v>
      </c>
      <c r="X55" s="17" t="s">
        <v>150</v>
      </c>
      <c r="Y55" s="58">
        <v>71880</v>
      </c>
      <c r="Z55" s="17">
        <v>240</v>
      </c>
      <c r="AA55" s="58">
        <f t="shared" si="59"/>
        <v>299.5</v>
      </c>
      <c r="AB55" s="21">
        <v>80</v>
      </c>
      <c r="AC55" s="21">
        <v>110</v>
      </c>
      <c r="AD55" s="21">
        <v>110</v>
      </c>
      <c r="AE55" s="17" t="s">
        <v>208</v>
      </c>
      <c r="AF55" s="17" t="s">
        <v>129</v>
      </c>
      <c r="AG55" s="17"/>
      <c r="AI55" s="17" t="s">
        <v>130</v>
      </c>
      <c r="AJ55" s="21">
        <v>0</v>
      </c>
      <c r="AK55" s="58">
        <v>0</v>
      </c>
      <c r="AL55" s="21">
        <v>0</v>
      </c>
      <c r="AM55" s="58">
        <f t="shared" si="52"/>
        <v>0</v>
      </c>
      <c r="AN55" s="21">
        <v>0</v>
      </c>
      <c r="AO55" s="58">
        <f t="shared" si="54"/>
        <v>0</v>
      </c>
      <c r="AP55" s="21">
        <f>Table1[[#This Row],[Students Per Fall]]</f>
        <v>110</v>
      </c>
      <c r="AQ55" s="58">
        <f t="shared" si="55"/>
        <v>32945</v>
      </c>
      <c r="AR55" s="21">
        <f>IF(Table1[[#This Row],[Sustainability Check 1 (2017-2018) Status]]="Continued", Table1[[#This Row],[Students Per Spring]], 0)</f>
        <v>110</v>
      </c>
      <c r="AS55" s="58">
        <f t="shared" si="56"/>
        <v>32945</v>
      </c>
      <c r="AT55" s="21">
        <f t="shared" si="60"/>
        <v>220</v>
      </c>
      <c r="AU55" s="58">
        <f t="shared" si="58"/>
        <v>65890</v>
      </c>
      <c r="AV55" s="21">
        <f>IF(Table1[[#This Row],[Sustainability Check 1 (2017-2018) Status]]="Continued", Table1[[#This Row],[Students Per Summer]], 0)</f>
        <v>80</v>
      </c>
      <c r="AW55" s="58">
        <f t="shared" si="61"/>
        <v>23960</v>
      </c>
      <c r="AX55" s="31">
        <f>IF(Table1[[#This Row],[Sustainability Check 1 (2017-2018) Status]]="Continued", Table1[[#This Row],[Students Per Fall]], 0)</f>
        <v>110</v>
      </c>
      <c r="AY55" s="58">
        <f t="shared" si="62"/>
        <v>32945</v>
      </c>
      <c r="AZ55" s="31">
        <f>IF(Table1[[#This Row],[Sustainability Check 1 (2017-2018) Status]]="Continued", Table1[[#This Row],[Students Per Spring]], 0)</f>
        <v>110</v>
      </c>
      <c r="BA55" s="58">
        <f t="shared" si="63"/>
        <v>32945</v>
      </c>
      <c r="BB55" s="31">
        <f t="shared" si="64"/>
        <v>300</v>
      </c>
      <c r="BC55" s="58">
        <f t="shared" si="65"/>
        <v>89850</v>
      </c>
      <c r="BD55" s="31">
        <f>IF(Table1[[#This Row],[Sustainability Check 1 (2017-2018) Status]]="Continued", Table1[[#This Row],[Students Per Summer]], 0)</f>
        <v>80</v>
      </c>
      <c r="BE55" s="58">
        <f t="shared" si="66"/>
        <v>23960</v>
      </c>
      <c r="BF55" s="31">
        <f>IF(Table1[[#This Row],[Sustainability Check 1 (2017-2018) Status]]="Continued", Table1[[#This Row],[Students Per Fall]], 0)</f>
        <v>110</v>
      </c>
      <c r="BG55" s="58">
        <f t="shared" si="67"/>
        <v>32945</v>
      </c>
      <c r="BH55" s="31">
        <f>IF(Table1[[#This Row],[Sustainability Check 1 (2017-2018) Status]]="Continued", Table1[[#This Row],[Students Per Spring]], 0)</f>
        <v>110</v>
      </c>
      <c r="BI55" s="58">
        <f t="shared" si="68"/>
        <v>32945</v>
      </c>
      <c r="BJ55" s="31">
        <f t="shared" si="69"/>
        <v>300</v>
      </c>
      <c r="BK55" s="58">
        <f t="shared" si="70"/>
        <v>89850</v>
      </c>
      <c r="BL55" s="58" t="s">
        <v>130</v>
      </c>
      <c r="BM55" s="31">
        <v>0</v>
      </c>
      <c r="BN55" s="31">
        <v>171</v>
      </c>
      <c r="BO55" s="31">
        <v>80</v>
      </c>
      <c r="BP55" s="31">
        <f t="shared" si="51"/>
        <v>251</v>
      </c>
      <c r="BQ55" s="58">
        <v>261.97000000000003</v>
      </c>
      <c r="BR55" s="58">
        <f>Table1[[#This Row],[Check 2 Students Total]]*Table1[[#This Row],[Summer 2018 Price Check]]</f>
        <v>65754.47</v>
      </c>
      <c r="BS55" s="31">
        <f>IF(Table1[[#This Row],[Sustainability Check 2 (2018-2019) Status]]="Continued", Table1[[#This Row],[Check 2 Students Summer]], 0)</f>
        <v>0</v>
      </c>
      <c r="BT55" s="58">
        <f>Table1[[#This Row],[Summer 2018 Price Check]]*BS55</f>
        <v>0</v>
      </c>
      <c r="BU55" s="31">
        <f>IF(Table1[[#This Row],[Sustainability Check 2 (2018-2019) Status]]="Continued", Table1[[#This Row],[Check 2 Students Fall]], 0)</f>
        <v>171</v>
      </c>
      <c r="BV55" s="58">
        <f>Table1[[#This Row],[Summer 2018 Price Check]]*BU55</f>
        <v>44796.87</v>
      </c>
      <c r="BW55" s="21">
        <f>IF(Table1[[#This Row],[Sustainability Check 2 (2018-2019) Status]]="Continued", Table1[Check 2 Students Spring], 0)</f>
        <v>80</v>
      </c>
      <c r="BX55" s="58">
        <f>Table1[[#This Row],[Summer 2018 Price Check]]*Table1[[#This Row],[Spring 2019 Students]]</f>
        <v>20957.600000000002</v>
      </c>
      <c r="BY55" s="31">
        <f t="shared" si="19"/>
        <v>251</v>
      </c>
      <c r="BZ55" s="58">
        <f t="shared" si="20"/>
        <v>65754.47</v>
      </c>
      <c r="CA55" s="58" t="s">
        <v>142</v>
      </c>
      <c r="CB55" s="21">
        <v>0</v>
      </c>
      <c r="CC55" s="21">
        <v>0</v>
      </c>
      <c r="CD55" s="21">
        <v>0</v>
      </c>
      <c r="CE55" s="21">
        <f t="shared" si="57"/>
        <v>0</v>
      </c>
      <c r="CF55" s="58">
        <v>0</v>
      </c>
      <c r="CG55" s="58">
        <f t="shared" si="22"/>
        <v>0</v>
      </c>
      <c r="CH55" s="17" t="s">
        <v>208</v>
      </c>
      <c r="CI55" s="21">
        <f>IF(Table1[[#This Row],[Check 3 Status]]="Continued", Table1[[#This Row],[Check 3 Students Summer]], 0)</f>
        <v>0</v>
      </c>
      <c r="CJ55" s="58">
        <f>Table1[[#This Row],[Check 3 Per Student Savings]]*CI55</f>
        <v>0</v>
      </c>
      <c r="CK55" s="21">
        <f>IF(Table1[[#This Row],[Check 3 Status]]="Continued", Table1[[#This Row],[Check 3 Students Fall]], 0)</f>
        <v>0</v>
      </c>
      <c r="CL55" s="58">
        <f>Table1[[#This Row],[Check 3 Per Student Savings]]*CK55</f>
        <v>0</v>
      </c>
      <c r="CM55" s="21">
        <f>IF(Table1[[#This Row],[Check 3 Status]]="Continued", Table1[[#This Row],[Check 3 Students Spring]], 0)</f>
        <v>0</v>
      </c>
      <c r="CN55" s="58">
        <f>Table1[[#This Row],[Check 3 Per Student Savings]]*CM55</f>
        <v>0</v>
      </c>
      <c r="CO55" s="21">
        <f t="shared" si="23"/>
        <v>0</v>
      </c>
      <c r="CP55" s="58">
        <f t="shared" si="24"/>
        <v>0</v>
      </c>
      <c r="CQ55" s="58" t="s">
        <v>142</v>
      </c>
      <c r="CR55" s="21">
        <v>0</v>
      </c>
      <c r="CS55" s="21">
        <v>0</v>
      </c>
      <c r="CT55" s="21">
        <v>0</v>
      </c>
      <c r="CU55" s="21">
        <f t="shared" si="25"/>
        <v>0</v>
      </c>
      <c r="CV55" s="58">
        <v>0</v>
      </c>
      <c r="CW55" s="58">
        <f t="shared" si="26"/>
        <v>0</v>
      </c>
      <c r="CX55" s="58"/>
      <c r="CY55" s="21">
        <f>IF(Table1[[#This Row],[Check 4 Status]]="Continued", Table1[[#This Row],[Check 4 Students Summer]], 0)</f>
        <v>0</v>
      </c>
      <c r="CZ55" s="58">
        <f>Table1[[#This Row],[Check 4 Per Student Savings]]*CY55</f>
        <v>0</v>
      </c>
      <c r="DA55" s="21">
        <f>IF(Table1[[#This Row],[Check 4 Status]]="Continued", Table1[[#This Row],[Check 4 Students Fall]], 0)</f>
        <v>0</v>
      </c>
      <c r="DB55" s="58">
        <f>Table1[[#This Row],[Check 4 Per Student Savings]]*DA55</f>
        <v>0</v>
      </c>
      <c r="DC55" s="21">
        <f>IF(Table1[[#This Row],[Check 4 Status]]="Continued", Table1[[#This Row],[Check 4 Students Spring]], 0)</f>
        <v>0</v>
      </c>
      <c r="DD55" s="58">
        <f>Table1[[#This Row],[Check 4 Per Student Savings]]*DC55</f>
        <v>0</v>
      </c>
      <c r="DE55" s="58">
        <f t="shared" si="27"/>
        <v>0</v>
      </c>
      <c r="DF55" s="58">
        <f t="shared" si="28"/>
        <v>0</v>
      </c>
      <c r="DG5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1071</v>
      </c>
      <c r="DH5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311344.46999999997</v>
      </c>
      <c r="DI55" s="58">
        <f>Table1[[#This Row],[Grand Total Savings]]/Table1[[#This Row],[Total Award]]</f>
        <v>16.560876063829784</v>
      </c>
      <c r="DJ55" s="17"/>
      <c r="DK55" s="17"/>
      <c r="DL55" s="17"/>
      <c r="DM55" s="17"/>
      <c r="EC55" s="17"/>
      <c r="ED55" s="17"/>
      <c r="EE55" s="17"/>
      <c r="EF55" s="17"/>
    </row>
    <row r="56" spans="1:136" x14ac:dyDescent="0.25">
      <c r="A56" s="159">
        <v>122</v>
      </c>
      <c r="B56" s="17" t="s">
        <v>2011</v>
      </c>
      <c r="D56" s="97">
        <v>510255</v>
      </c>
      <c r="E56" s="158">
        <v>42230</v>
      </c>
      <c r="F56" s="158">
        <v>42380</v>
      </c>
      <c r="G56" s="159" t="s">
        <v>330</v>
      </c>
      <c r="H56" s="95" t="s">
        <v>10</v>
      </c>
      <c r="I56" s="226" t="s">
        <v>118</v>
      </c>
      <c r="J56" s="17" t="s">
        <v>179</v>
      </c>
      <c r="K56" s="107">
        <v>30000</v>
      </c>
      <c r="L56" s="107"/>
      <c r="M56" s="101" t="s">
        <v>440</v>
      </c>
      <c r="N56" s="101" t="s">
        <v>441</v>
      </c>
      <c r="O56" s="101" t="s">
        <v>442</v>
      </c>
      <c r="P56" s="101" t="s">
        <v>443</v>
      </c>
      <c r="Q56" s="101" t="s">
        <v>192</v>
      </c>
      <c r="R56" s="101" t="s">
        <v>442</v>
      </c>
      <c r="S56" s="160" t="s">
        <v>36</v>
      </c>
      <c r="T56" s="17" t="s">
        <v>125</v>
      </c>
      <c r="U56" s="160" t="s">
        <v>193</v>
      </c>
      <c r="V56" s="17" t="s">
        <v>150</v>
      </c>
      <c r="W56" s="17" t="s">
        <v>150</v>
      </c>
      <c r="X56" s="17" t="s">
        <v>150</v>
      </c>
      <c r="Y56" s="58">
        <v>103950</v>
      </c>
      <c r="Z56" s="17">
        <v>525</v>
      </c>
      <c r="AA56" s="58">
        <f t="shared" si="59"/>
        <v>198</v>
      </c>
      <c r="AB56" s="21">
        <f t="shared" ref="AB56:AB87" si="71">Z56/3</f>
        <v>175</v>
      </c>
      <c r="AC56" s="21">
        <f t="shared" ref="AC56:AC87" si="72">Z56/3</f>
        <v>175</v>
      </c>
      <c r="AD56" s="21">
        <f t="shared" ref="AD56:AD87" si="73">Z56/3</f>
        <v>175</v>
      </c>
      <c r="AE56" s="17" t="s">
        <v>208</v>
      </c>
      <c r="AF56" s="17" t="s">
        <v>129</v>
      </c>
      <c r="AG56" s="17"/>
      <c r="AI56" s="17" t="s">
        <v>130</v>
      </c>
      <c r="AJ56" s="21">
        <v>0</v>
      </c>
      <c r="AK56" s="58">
        <v>0</v>
      </c>
      <c r="AL56" s="21">
        <v>0</v>
      </c>
      <c r="AM56" s="58">
        <f t="shared" si="52"/>
        <v>0</v>
      </c>
      <c r="AN56" s="21">
        <v>0</v>
      </c>
      <c r="AO56" s="58">
        <f t="shared" si="54"/>
        <v>0</v>
      </c>
      <c r="AP56" s="21">
        <f>Table1[[#This Row],[Students Per Fall]]</f>
        <v>175</v>
      </c>
      <c r="AQ56" s="58">
        <f t="shared" si="55"/>
        <v>34650</v>
      </c>
      <c r="AR56" s="21">
        <f>IF(Table1[[#This Row],[Sustainability Check 1 (2017-2018) Status]]="Continued", Table1[[#This Row],[Students Per Spring]], 0)</f>
        <v>175</v>
      </c>
      <c r="AS56" s="58">
        <f t="shared" si="56"/>
        <v>34650</v>
      </c>
      <c r="AT56" s="21">
        <f t="shared" si="60"/>
        <v>350</v>
      </c>
      <c r="AU56" s="58">
        <f t="shared" si="58"/>
        <v>69300</v>
      </c>
      <c r="AV56" s="21">
        <f>IF(Table1[[#This Row],[Sustainability Check 1 (2017-2018) Status]]="Continued", Table1[[#This Row],[Students Per Summer]], 0)</f>
        <v>175</v>
      </c>
      <c r="AW56" s="58">
        <f t="shared" si="61"/>
        <v>34650</v>
      </c>
      <c r="AX56" s="31">
        <f>IF(Table1[[#This Row],[Sustainability Check 1 (2017-2018) Status]]="Continued", Table1[[#This Row],[Students Per Fall]], 0)</f>
        <v>175</v>
      </c>
      <c r="AY56" s="58">
        <f t="shared" si="62"/>
        <v>34650</v>
      </c>
      <c r="AZ56" s="31">
        <f>IF(Table1[[#This Row],[Sustainability Check 1 (2017-2018) Status]]="Continued", Table1[[#This Row],[Students Per Spring]], 0)</f>
        <v>175</v>
      </c>
      <c r="BA56" s="58">
        <f t="shared" si="63"/>
        <v>34650</v>
      </c>
      <c r="BB56" s="31">
        <f t="shared" si="64"/>
        <v>525</v>
      </c>
      <c r="BC56" s="58">
        <f t="shared" si="65"/>
        <v>103950</v>
      </c>
      <c r="BD56" s="31">
        <f>IF(Table1[[#This Row],[Sustainability Check 1 (2017-2018) Status]]="Continued", Table1[[#This Row],[Students Per Summer]], 0)</f>
        <v>175</v>
      </c>
      <c r="BE56" s="58">
        <f t="shared" si="66"/>
        <v>34650</v>
      </c>
      <c r="BF56" s="31">
        <f>IF(Table1[[#This Row],[Sustainability Check 1 (2017-2018) Status]]="Continued", Table1[[#This Row],[Students Per Fall]], 0)</f>
        <v>175</v>
      </c>
      <c r="BG56" s="58">
        <f t="shared" si="67"/>
        <v>34650</v>
      </c>
      <c r="BH56" s="31">
        <f>IF(Table1[[#This Row],[Sustainability Check 1 (2017-2018) Status]]="Continued", Table1[[#This Row],[Students Per Spring]], 0)</f>
        <v>175</v>
      </c>
      <c r="BI56" s="58">
        <f t="shared" si="68"/>
        <v>34650</v>
      </c>
      <c r="BJ56" s="31">
        <f t="shared" si="69"/>
        <v>525</v>
      </c>
      <c r="BK56" s="58">
        <f t="shared" si="70"/>
        <v>103950</v>
      </c>
      <c r="BL56" s="58" t="s">
        <v>142</v>
      </c>
      <c r="BM56" s="31">
        <v>0</v>
      </c>
      <c r="BN56" s="31">
        <v>0</v>
      </c>
      <c r="BO56" s="31">
        <v>0</v>
      </c>
      <c r="BP56" s="31">
        <f t="shared" si="51"/>
        <v>0</v>
      </c>
      <c r="BQ56" s="96">
        <v>248.99</v>
      </c>
      <c r="BR56" s="58">
        <f>Table1[[#This Row],[Check 2 Students Total]]*Table1[[#This Row],[Summer 2018 Price Check]]</f>
        <v>0</v>
      </c>
      <c r="BS56" s="31">
        <f>IF(Table1[[#This Row],[Sustainability Check 2 (2018-2019) Status]]="Continued", Table1[[#This Row],[Check 2 Students Summer]], 0)</f>
        <v>0</v>
      </c>
      <c r="BT56" s="58">
        <f>Table1[[#This Row],[Summer 2018 Price Check]]*BS56</f>
        <v>0</v>
      </c>
      <c r="BU56" s="31">
        <f>IF(Table1[[#This Row],[Sustainability Check 2 (2018-2019) Status]]="Continued", Table1[[#This Row],[Check 2 Students Fall]], 0)</f>
        <v>0</v>
      </c>
      <c r="BV56" s="58">
        <f>Table1[[#This Row],[Summer 2018 Price Check]]*BU56</f>
        <v>0</v>
      </c>
      <c r="BW56" s="21">
        <f>IF(Table1[[#This Row],[Sustainability Check 2 (2018-2019) Status]]="Continued", Table1[Check 2 Students Spring], 0)</f>
        <v>0</v>
      </c>
      <c r="BX56" s="58">
        <f>Table1[[#This Row],[Summer 2018 Price Check]]*Table1[[#This Row],[Spring 2019 Students]]</f>
        <v>0</v>
      </c>
      <c r="BY56" s="31">
        <f t="shared" si="19"/>
        <v>0</v>
      </c>
      <c r="BZ56" s="58">
        <f t="shared" si="20"/>
        <v>0</v>
      </c>
      <c r="CA56" s="58" t="s">
        <v>142</v>
      </c>
      <c r="CB56" s="21">
        <v>0</v>
      </c>
      <c r="CC56" s="21">
        <v>0</v>
      </c>
      <c r="CD56" s="21">
        <v>0</v>
      </c>
      <c r="CE56" s="21">
        <f t="shared" si="57"/>
        <v>0</v>
      </c>
      <c r="CF56" s="58">
        <v>0</v>
      </c>
      <c r="CG56" s="58">
        <f t="shared" si="22"/>
        <v>0</v>
      </c>
      <c r="CH56" s="17" t="s">
        <v>208</v>
      </c>
      <c r="CI56" s="21">
        <f>IF(Table1[[#This Row],[Check 3 Status]]="Continued", Table1[[#This Row],[Check 3 Students Summer]], 0)</f>
        <v>0</v>
      </c>
      <c r="CJ56" s="58">
        <f>Table1[[#This Row],[Check 3 Per Student Savings]]*CI56</f>
        <v>0</v>
      </c>
      <c r="CK56" s="21">
        <f>IF(Table1[[#This Row],[Check 3 Status]]="Continued", Table1[[#This Row],[Check 3 Students Fall]], 0)</f>
        <v>0</v>
      </c>
      <c r="CL56" s="58">
        <f>Table1[[#This Row],[Check 3 Per Student Savings]]*CK56</f>
        <v>0</v>
      </c>
      <c r="CM56" s="21">
        <f>IF(Table1[[#This Row],[Check 3 Status]]="Continued", Table1[[#This Row],[Check 3 Students Spring]], 0)</f>
        <v>0</v>
      </c>
      <c r="CN56" s="58">
        <f>Table1[[#This Row],[Check 3 Per Student Savings]]*CM56</f>
        <v>0</v>
      </c>
      <c r="CO56" s="21">
        <f t="shared" si="23"/>
        <v>0</v>
      </c>
      <c r="CP56" s="58">
        <f t="shared" si="24"/>
        <v>0</v>
      </c>
      <c r="CQ56" s="58" t="s">
        <v>142</v>
      </c>
      <c r="CR56" s="21">
        <v>0</v>
      </c>
      <c r="CS56" s="21">
        <v>0</v>
      </c>
      <c r="CT56" s="21">
        <v>0</v>
      </c>
      <c r="CU56" s="21">
        <f t="shared" si="25"/>
        <v>0</v>
      </c>
      <c r="CV56" s="58">
        <v>0</v>
      </c>
      <c r="CW56" s="58">
        <f t="shared" si="26"/>
        <v>0</v>
      </c>
      <c r="CX56" s="58"/>
      <c r="CY56" s="21">
        <f>IF(Table1[[#This Row],[Check 4 Status]]="Continued", Table1[[#This Row],[Check 4 Students Summer]], 0)</f>
        <v>0</v>
      </c>
      <c r="CZ56" s="58">
        <f>Table1[[#This Row],[Check 4 Per Student Savings]]*CY56</f>
        <v>0</v>
      </c>
      <c r="DA56" s="21">
        <f>IF(Table1[[#This Row],[Check 4 Status]]="Continued", Table1[[#This Row],[Check 4 Students Fall]], 0)</f>
        <v>0</v>
      </c>
      <c r="DB56" s="58">
        <f>Table1[[#This Row],[Check 4 Per Student Savings]]*DA56</f>
        <v>0</v>
      </c>
      <c r="DC56" s="21">
        <f>IF(Table1[[#This Row],[Check 4 Status]]="Continued", Table1[[#This Row],[Check 4 Students Spring]], 0)</f>
        <v>0</v>
      </c>
      <c r="DD56" s="58">
        <f>Table1[[#This Row],[Check 4 Per Student Savings]]*DC56</f>
        <v>0</v>
      </c>
      <c r="DE56" s="58">
        <f t="shared" si="27"/>
        <v>0</v>
      </c>
      <c r="DF56" s="58">
        <f t="shared" si="28"/>
        <v>0</v>
      </c>
      <c r="DG5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1400</v>
      </c>
      <c r="DH5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277200</v>
      </c>
      <c r="DI56" s="58">
        <f>Table1[[#This Row],[Grand Total Savings]]/Table1[[#This Row],[Total Award]]</f>
        <v>9.24</v>
      </c>
      <c r="DJ56" s="17"/>
      <c r="DK56" s="17"/>
      <c r="DL56" s="17"/>
      <c r="DM56" s="17"/>
      <c r="EC56" s="17"/>
      <c r="ED56" s="17"/>
      <c r="EE56" s="17"/>
      <c r="EF56" s="17"/>
    </row>
    <row r="57" spans="1:136" x14ac:dyDescent="0.25">
      <c r="A57" s="159">
        <v>125</v>
      </c>
      <c r="B57" s="17" t="s">
        <v>2011</v>
      </c>
      <c r="D57" s="97">
        <v>510252</v>
      </c>
      <c r="E57" s="158">
        <v>42237</v>
      </c>
      <c r="F57" s="158">
        <v>42380</v>
      </c>
      <c r="G57" s="159" t="s">
        <v>330</v>
      </c>
      <c r="H57" s="95" t="s">
        <v>10</v>
      </c>
      <c r="I57" s="226" t="s">
        <v>118</v>
      </c>
      <c r="J57" s="17" t="s">
        <v>236</v>
      </c>
      <c r="K57" s="107">
        <v>21100</v>
      </c>
      <c r="L57" s="107"/>
      <c r="M57" s="101" t="s">
        <v>237</v>
      </c>
      <c r="N57" s="101" t="s">
        <v>238</v>
      </c>
      <c r="O57" s="101" t="s">
        <v>444</v>
      </c>
      <c r="P57" s="101" t="s">
        <v>445</v>
      </c>
      <c r="Q57" s="101" t="s">
        <v>148</v>
      </c>
      <c r="R57" s="101" t="s">
        <v>446</v>
      </c>
      <c r="S57" s="101" t="s">
        <v>129</v>
      </c>
      <c r="T57" s="17" t="s">
        <v>129</v>
      </c>
      <c r="U57" s="101" t="s">
        <v>157</v>
      </c>
      <c r="V57" s="17" t="s">
        <v>150</v>
      </c>
      <c r="W57" s="17" t="s">
        <v>127</v>
      </c>
      <c r="X57" s="17" t="s">
        <v>127</v>
      </c>
      <c r="Y57" s="58">
        <v>169570.8</v>
      </c>
      <c r="Z57" s="17">
        <v>840</v>
      </c>
      <c r="AA57" s="58">
        <f t="shared" si="59"/>
        <v>201.86999999999998</v>
      </c>
      <c r="AB57" s="21">
        <f t="shared" si="71"/>
        <v>280</v>
      </c>
      <c r="AC57" s="21">
        <f t="shared" si="72"/>
        <v>280</v>
      </c>
      <c r="AD57" s="21">
        <f t="shared" si="73"/>
        <v>280</v>
      </c>
      <c r="AE57" s="17" t="s">
        <v>208</v>
      </c>
      <c r="AF57" s="17" t="s">
        <v>129</v>
      </c>
      <c r="AG57" s="17"/>
      <c r="AI57" s="17" t="s">
        <v>130</v>
      </c>
      <c r="AJ57" s="21">
        <v>0</v>
      </c>
      <c r="AK57" s="58">
        <v>0</v>
      </c>
      <c r="AL57" s="21">
        <v>0</v>
      </c>
      <c r="AM57" s="58">
        <f t="shared" si="52"/>
        <v>0</v>
      </c>
      <c r="AN57" s="21">
        <v>0</v>
      </c>
      <c r="AO57" s="58">
        <f t="shared" si="54"/>
        <v>0</v>
      </c>
      <c r="AP57" s="21">
        <f>Table1[[#This Row],[Students Per Fall]]</f>
        <v>280</v>
      </c>
      <c r="AQ57" s="58">
        <f t="shared" si="55"/>
        <v>56523.599999999991</v>
      </c>
      <c r="AR57" s="21">
        <f>IF(Table1[[#This Row],[Sustainability Check 1 (2017-2018) Status]]="Continued", Table1[[#This Row],[Students Per Spring]], 0)</f>
        <v>280</v>
      </c>
      <c r="AS57" s="58">
        <f t="shared" si="56"/>
        <v>56523.599999999991</v>
      </c>
      <c r="AT57" s="21">
        <f t="shared" si="60"/>
        <v>560</v>
      </c>
      <c r="AU57" s="58">
        <f t="shared" si="58"/>
        <v>113047.19999999998</v>
      </c>
      <c r="AV57" s="21">
        <f>IF(Table1[[#This Row],[Sustainability Check 1 (2017-2018) Status]]="Continued", Table1[[#This Row],[Students Per Summer]], 0)</f>
        <v>280</v>
      </c>
      <c r="AW57" s="58">
        <f t="shared" si="61"/>
        <v>56523.599999999991</v>
      </c>
      <c r="AX57" s="31">
        <f>IF(Table1[[#This Row],[Sustainability Check 1 (2017-2018) Status]]="Continued", Table1[[#This Row],[Students Per Fall]], 0)</f>
        <v>280</v>
      </c>
      <c r="AY57" s="58">
        <f t="shared" si="62"/>
        <v>56523.599999999991</v>
      </c>
      <c r="AZ57" s="31">
        <f>IF(Table1[[#This Row],[Sustainability Check 1 (2017-2018) Status]]="Continued", Table1[[#This Row],[Students Per Spring]], 0)</f>
        <v>280</v>
      </c>
      <c r="BA57" s="58">
        <f t="shared" si="63"/>
        <v>56523.599999999991</v>
      </c>
      <c r="BB57" s="31">
        <f t="shared" si="64"/>
        <v>840</v>
      </c>
      <c r="BC57" s="58">
        <f t="shared" si="65"/>
        <v>169570.8</v>
      </c>
      <c r="BD57" s="31">
        <f>IF(Table1[[#This Row],[Sustainability Check 1 (2017-2018) Status]]="Continued", Table1[[#This Row],[Students Per Summer]], 0)</f>
        <v>280</v>
      </c>
      <c r="BE57" s="58">
        <f t="shared" si="66"/>
        <v>56523.599999999991</v>
      </c>
      <c r="BF57" s="31">
        <f>IF(Table1[[#This Row],[Sustainability Check 1 (2017-2018) Status]]="Continued", Table1[[#This Row],[Students Per Fall]], 0)</f>
        <v>280</v>
      </c>
      <c r="BG57" s="58">
        <f t="shared" si="67"/>
        <v>56523.599999999991</v>
      </c>
      <c r="BH57" s="31">
        <f>IF(Table1[[#This Row],[Sustainability Check 1 (2017-2018) Status]]="Continued", Table1[[#This Row],[Students Per Spring]], 0)</f>
        <v>280</v>
      </c>
      <c r="BI57" s="58">
        <f t="shared" si="68"/>
        <v>56523.599999999991</v>
      </c>
      <c r="BJ57" s="31">
        <f t="shared" si="69"/>
        <v>840</v>
      </c>
      <c r="BK57" s="58">
        <f t="shared" si="70"/>
        <v>169570.8</v>
      </c>
      <c r="BL57" s="58" t="s">
        <v>130</v>
      </c>
      <c r="BM57" s="31">
        <v>30</v>
      </c>
      <c r="BN57" s="31">
        <v>60</v>
      </c>
      <c r="BO57" s="31">
        <v>60</v>
      </c>
      <c r="BP57" s="31">
        <f t="shared" si="51"/>
        <v>150</v>
      </c>
      <c r="BQ57" s="58">
        <v>261.89999999999998</v>
      </c>
      <c r="BR57" s="58">
        <f>Table1[[#This Row],[Check 2 Students Total]]*Table1[[#This Row],[Summer 2018 Price Check]]</f>
        <v>39285</v>
      </c>
      <c r="BS57" s="31">
        <f>IF(Table1[[#This Row],[Sustainability Check 2 (2018-2019) Status]]="Continued", Table1[[#This Row],[Check 2 Students Summer]], 0)</f>
        <v>30</v>
      </c>
      <c r="BT57" s="58">
        <f>Table1[[#This Row],[Summer 2018 Price Check]]*BS57</f>
        <v>7856.9999999999991</v>
      </c>
      <c r="BU57" s="31">
        <f>IF(Table1[[#This Row],[Sustainability Check 2 (2018-2019) Status]]="Continued", Table1[[#This Row],[Check 2 Students Fall]], 0)</f>
        <v>60</v>
      </c>
      <c r="BV57" s="58">
        <f>Table1[[#This Row],[Summer 2018 Price Check]]*BU57</f>
        <v>15713.999999999998</v>
      </c>
      <c r="BW57" s="21">
        <f>IF(Table1[[#This Row],[Sustainability Check 2 (2018-2019) Status]]="Continued", Table1[Check 2 Students Spring], 0)</f>
        <v>60</v>
      </c>
      <c r="BX57" s="58">
        <f>Table1[[#This Row],[Summer 2018 Price Check]]*Table1[[#This Row],[Spring 2019 Students]]</f>
        <v>15713.999999999998</v>
      </c>
      <c r="BY57" s="31">
        <f t="shared" si="19"/>
        <v>150</v>
      </c>
      <c r="BZ57" s="58">
        <f t="shared" si="20"/>
        <v>39284.999999999993</v>
      </c>
      <c r="CA57" s="58" t="s">
        <v>142</v>
      </c>
      <c r="CB57" s="21">
        <v>0</v>
      </c>
      <c r="CC57" s="21">
        <v>0</v>
      </c>
      <c r="CD57" s="21">
        <v>0</v>
      </c>
      <c r="CE57" s="21">
        <f t="shared" si="57"/>
        <v>0</v>
      </c>
      <c r="CF57" s="58">
        <v>0</v>
      </c>
      <c r="CG57" s="58">
        <f t="shared" si="22"/>
        <v>0</v>
      </c>
      <c r="CH57" s="17" t="s">
        <v>208</v>
      </c>
      <c r="CI57" s="21">
        <f>IF(Table1[[#This Row],[Check 3 Status]]="Continued", Table1[[#This Row],[Check 3 Students Summer]], 0)</f>
        <v>0</v>
      </c>
      <c r="CJ57" s="58">
        <f>Table1[[#This Row],[Check 3 Per Student Savings]]*CI57</f>
        <v>0</v>
      </c>
      <c r="CK57" s="21">
        <f>IF(Table1[[#This Row],[Check 3 Status]]="Continued", Table1[[#This Row],[Check 3 Students Fall]], 0)</f>
        <v>0</v>
      </c>
      <c r="CL57" s="58">
        <f>Table1[[#This Row],[Check 3 Per Student Savings]]*CK57</f>
        <v>0</v>
      </c>
      <c r="CM57" s="21">
        <f>IF(Table1[[#This Row],[Check 3 Status]]="Continued", Table1[[#This Row],[Check 3 Students Spring]], 0)</f>
        <v>0</v>
      </c>
      <c r="CN57" s="58">
        <f>Table1[[#This Row],[Check 3 Per Student Savings]]*CM57</f>
        <v>0</v>
      </c>
      <c r="CO57" s="21">
        <f t="shared" si="23"/>
        <v>0</v>
      </c>
      <c r="CP57" s="58">
        <f t="shared" si="24"/>
        <v>0</v>
      </c>
      <c r="CQ57" s="58" t="s">
        <v>142</v>
      </c>
      <c r="CR57" s="21">
        <v>0</v>
      </c>
      <c r="CS57" s="21">
        <v>0</v>
      </c>
      <c r="CT57" s="21">
        <v>0</v>
      </c>
      <c r="CU57" s="21">
        <f t="shared" si="25"/>
        <v>0</v>
      </c>
      <c r="CV57" s="58">
        <v>0</v>
      </c>
      <c r="CW57" s="58">
        <f t="shared" si="26"/>
        <v>0</v>
      </c>
      <c r="CX57" s="58"/>
      <c r="CY57" s="21">
        <f>IF(Table1[[#This Row],[Check 4 Status]]="Continued", Table1[[#This Row],[Check 4 Students Summer]], 0)</f>
        <v>0</v>
      </c>
      <c r="CZ57" s="58">
        <f>Table1[[#This Row],[Check 4 Per Student Savings]]*CY57</f>
        <v>0</v>
      </c>
      <c r="DA57" s="21">
        <f>IF(Table1[[#This Row],[Check 4 Status]]="Continued", Table1[[#This Row],[Check 4 Students Fall]], 0)</f>
        <v>0</v>
      </c>
      <c r="DB57" s="58">
        <f>Table1[[#This Row],[Check 4 Per Student Savings]]*DA57</f>
        <v>0</v>
      </c>
      <c r="DC57" s="21">
        <f>IF(Table1[[#This Row],[Check 4 Status]]="Continued", Table1[[#This Row],[Check 4 Students Spring]], 0)</f>
        <v>0</v>
      </c>
      <c r="DD57" s="58">
        <f>Table1[[#This Row],[Check 4 Per Student Savings]]*DC57</f>
        <v>0</v>
      </c>
      <c r="DE57" s="58">
        <f t="shared" si="27"/>
        <v>0</v>
      </c>
      <c r="DF57" s="58">
        <f t="shared" si="28"/>
        <v>0</v>
      </c>
      <c r="DG5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2390</v>
      </c>
      <c r="DH5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491473.8</v>
      </c>
      <c r="DI57" s="58">
        <f>Table1[[#This Row],[Grand Total Savings]]/Table1[[#This Row],[Total Award]]</f>
        <v>23.292597156398102</v>
      </c>
      <c r="DJ57" s="17"/>
      <c r="DK57" s="17"/>
      <c r="DL57" s="17"/>
      <c r="DM57" s="17"/>
      <c r="EC57" s="17"/>
      <c r="ED57" s="17"/>
      <c r="EE57" s="17"/>
      <c r="EF57" s="17"/>
    </row>
    <row r="58" spans="1:136" x14ac:dyDescent="0.25">
      <c r="A58" s="157">
        <v>126</v>
      </c>
      <c r="B58" s="17" t="s">
        <v>2011</v>
      </c>
      <c r="D58" s="97">
        <v>510560</v>
      </c>
      <c r="E58" s="158">
        <v>42394</v>
      </c>
      <c r="F58" s="158">
        <v>42514</v>
      </c>
      <c r="G58" s="159" t="s">
        <v>330</v>
      </c>
      <c r="H58" s="95" t="s">
        <v>10</v>
      </c>
      <c r="I58" s="226" t="s">
        <v>118</v>
      </c>
      <c r="J58" s="17" t="s">
        <v>119</v>
      </c>
      <c r="K58" s="107">
        <v>28700</v>
      </c>
      <c r="L58" s="107"/>
      <c r="M58" s="101" t="s">
        <v>447</v>
      </c>
      <c r="N58" s="101" t="s">
        <v>448</v>
      </c>
      <c r="O58" s="101" t="s">
        <v>449</v>
      </c>
      <c r="P58" s="101" t="s">
        <v>450</v>
      </c>
      <c r="Q58" s="101" t="s">
        <v>177</v>
      </c>
      <c r="R58" s="101" t="s">
        <v>129</v>
      </c>
      <c r="S58" s="160" t="s">
        <v>36</v>
      </c>
      <c r="T58" s="17" t="s">
        <v>129</v>
      </c>
      <c r="U58" s="101" t="s">
        <v>287</v>
      </c>
      <c r="V58" s="17" t="s">
        <v>150</v>
      </c>
      <c r="W58" s="17" t="s">
        <v>127</v>
      </c>
      <c r="X58" s="17" t="s">
        <v>127</v>
      </c>
      <c r="Y58" s="58">
        <v>39960</v>
      </c>
      <c r="Z58" s="17">
        <v>360</v>
      </c>
      <c r="AA58" s="58">
        <f t="shared" si="59"/>
        <v>111</v>
      </c>
      <c r="AB58" s="21">
        <f t="shared" si="71"/>
        <v>120</v>
      </c>
      <c r="AC58" s="21">
        <f t="shared" si="72"/>
        <v>120</v>
      </c>
      <c r="AD58" s="21">
        <f t="shared" si="73"/>
        <v>120</v>
      </c>
      <c r="AE58" s="17" t="s">
        <v>368</v>
      </c>
      <c r="AF58" s="17" t="s">
        <v>129</v>
      </c>
      <c r="AG58" s="17"/>
      <c r="AI58" s="17" t="s">
        <v>130</v>
      </c>
      <c r="AJ58" s="21">
        <v>0</v>
      </c>
      <c r="AK58" s="58">
        <v>0</v>
      </c>
      <c r="AL58" s="21">
        <v>0</v>
      </c>
      <c r="AM58" s="58">
        <f t="shared" si="52"/>
        <v>0</v>
      </c>
      <c r="AN58" s="21">
        <f>Table1[[#This Row],[Students Per Fall]]</f>
        <v>120</v>
      </c>
      <c r="AO58" s="58">
        <f t="shared" si="54"/>
        <v>13320</v>
      </c>
      <c r="AP58" s="21">
        <f>IF(Table1[[#This Row],[Sustainability Check 1 (2017-2018) Status]]="Continued", Table1[[#This Row],[Students Per Fall]], 0)</f>
        <v>120</v>
      </c>
      <c r="AQ58" s="58">
        <f t="shared" si="55"/>
        <v>13320</v>
      </c>
      <c r="AR58" s="21">
        <f>IF(Table1[[#This Row],[Sustainability Check 1 (2017-2018) Status]]="Continued", Table1[[#This Row],[Students Per Spring]], 0)</f>
        <v>120</v>
      </c>
      <c r="AS58" s="58">
        <f t="shared" si="56"/>
        <v>13320</v>
      </c>
      <c r="AT58" s="21">
        <f t="shared" si="60"/>
        <v>360</v>
      </c>
      <c r="AU58" s="58">
        <f t="shared" si="58"/>
        <v>39960</v>
      </c>
      <c r="AV58" s="21">
        <f>IF(Table1[[#This Row],[Sustainability Check 1 (2017-2018) Status]]="Continued", Table1[[#This Row],[Students Per Summer]], 0)</f>
        <v>120</v>
      </c>
      <c r="AW58" s="58">
        <f t="shared" si="61"/>
        <v>13320</v>
      </c>
      <c r="AX58" s="31">
        <f>IF(Table1[[#This Row],[Sustainability Check 1 (2017-2018) Status]]="Continued", Table1[[#This Row],[Students Per Fall]], 0)</f>
        <v>120</v>
      </c>
      <c r="AY58" s="58">
        <f t="shared" si="62"/>
        <v>13320</v>
      </c>
      <c r="AZ58" s="31">
        <f>IF(Table1[[#This Row],[Sustainability Check 1 (2017-2018) Status]]="Continued", Table1[[#This Row],[Students Per Spring]], 0)</f>
        <v>120</v>
      </c>
      <c r="BA58" s="58">
        <f t="shared" si="63"/>
        <v>13320</v>
      </c>
      <c r="BB58" s="31">
        <f t="shared" si="64"/>
        <v>360</v>
      </c>
      <c r="BC58" s="58">
        <f t="shared" si="65"/>
        <v>39960</v>
      </c>
      <c r="BD58" s="31">
        <f>IF(Table1[[#This Row],[Sustainability Check 1 (2017-2018) Status]]="Continued", Table1[[#This Row],[Students Per Summer]], 0)</f>
        <v>120</v>
      </c>
      <c r="BE58" s="58">
        <f t="shared" si="66"/>
        <v>13320</v>
      </c>
      <c r="BF58" s="31">
        <f>IF(Table1[[#This Row],[Sustainability Check 1 (2017-2018) Status]]="Continued", Table1[[#This Row],[Students Per Fall]], 0)</f>
        <v>120</v>
      </c>
      <c r="BG58" s="58">
        <f t="shared" si="67"/>
        <v>13320</v>
      </c>
      <c r="BH58" s="31">
        <f>IF(Table1[[#This Row],[Sustainability Check 1 (2017-2018) Status]]="Continued", Table1[[#This Row],[Students Per Spring]], 0)</f>
        <v>120</v>
      </c>
      <c r="BI58" s="58">
        <f t="shared" si="68"/>
        <v>13320</v>
      </c>
      <c r="BJ58" s="31">
        <f t="shared" si="69"/>
        <v>360</v>
      </c>
      <c r="BK58" s="58">
        <f t="shared" si="70"/>
        <v>39960</v>
      </c>
      <c r="BL58" s="58" t="s">
        <v>130</v>
      </c>
      <c r="BM58" s="31">
        <v>80</v>
      </c>
      <c r="BN58" s="31">
        <v>140</v>
      </c>
      <c r="BO58" s="31">
        <v>140</v>
      </c>
      <c r="BP58" s="31">
        <f t="shared" si="51"/>
        <v>360</v>
      </c>
      <c r="BQ58" s="58">
        <v>76</v>
      </c>
      <c r="BR58" s="58">
        <f>Table1[[#This Row],[Check 2 Students Total]]*Table1[[#This Row],[Summer 2018 Price Check]]</f>
        <v>27360</v>
      </c>
      <c r="BS58" s="31">
        <f>IF(Table1[[#This Row],[Sustainability Check 2 (2018-2019) Status]]="Continued", Table1[[#This Row],[Check 2 Students Summer]], 0)</f>
        <v>80</v>
      </c>
      <c r="BT58" s="58">
        <f>Table1[[#This Row],[Summer 2018 Price Check]]*BS58</f>
        <v>6080</v>
      </c>
      <c r="BU58" s="31">
        <f>IF(Table1[[#This Row],[Sustainability Check 2 (2018-2019) Status]]="Continued", Table1[[#This Row],[Check 2 Students Fall]], 0)</f>
        <v>140</v>
      </c>
      <c r="BV58" s="58">
        <f>Table1[[#This Row],[Summer 2018 Price Check]]*BU58</f>
        <v>10640</v>
      </c>
      <c r="BW58" s="21">
        <f>IF(Table1[[#This Row],[Sustainability Check 2 (2018-2019) Status]]="Continued", Table1[Check 2 Students Spring], 0)</f>
        <v>140</v>
      </c>
      <c r="BX58" s="58">
        <f>Table1[[#This Row],[Summer 2018 Price Check]]*Table1[[#This Row],[Spring 2019 Students]]</f>
        <v>10640</v>
      </c>
      <c r="BY58" s="31">
        <f t="shared" si="19"/>
        <v>360</v>
      </c>
      <c r="BZ58" s="58">
        <f t="shared" si="20"/>
        <v>27360</v>
      </c>
      <c r="CA58" s="58" t="s">
        <v>130</v>
      </c>
      <c r="CB58" s="21">
        <v>80</v>
      </c>
      <c r="CC58" s="21">
        <v>140</v>
      </c>
      <c r="CD58" s="21">
        <v>140</v>
      </c>
      <c r="CE58" s="21">
        <f t="shared" si="57"/>
        <v>360</v>
      </c>
      <c r="CF58" s="58">
        <v>111</v>
      </c>
      <c r="CG58" s="58">
        <f t="shared" si="22"/>
        <v>39960</v>
      </c>
      <c r="CH58" s="17" t="s">
        <v>368</v>
      </c>
      <c r="CI58" s="21">
        <f>IF(Table1[[#This Row],[Check 3 Status]]="Continued", Table1[[#This Row],[Check 3 Students Summer]], 0)</f>
        <v>80</v>
      </c>
      <c r="CJ58" s="58">
        <f>Table1[[#This Row],[Check 3 Per Student Savings]]*CI58</f>
        <v>8880</v>
      </c>
      <c r="CK58" s="21">
        <f>IF(Table1[[#This Row],[Check 3 Status]]="Continued", Table1[[#This Row],[Check 3 Students Fall]], 0)</f>
        <v>140</v>
      </c>
      <c r="CL58" s="58">
        <f>Table1[[#This Row],[Check 3 Per Student Savings]]*CK58</f>
        <v>15540</v>
      </c>
      <c r="CM58" s="21">
        <f>IF(Table1[[#This Row],[Check 3 Status]]="Continued", Table1[[#This Row],[Check 3 Students Spring]], 0)</f>
        <v>140</v>
      </c>
      <c r="CN58" s="58">
        <f>Table1[[#This Row],[Check 3 Per Student Savings]]*CM58</f>
        <v>15540</v>
      </c>
      <c r="CO58" s="21">
        <f t="shared" si="23"/>
        <v>360</v>
      </c>
      <c r="CP58" s="58">
        <f t="shared" si="24"/>
        <v>39960</v>
      </c>
      <c r="CQ58" s="58" t="s">
        <v>130</v>
      </c>
      <c r="CR58" s="21">
        <v>80</v>
      </c>
      <c r="CS58" s="21">
        <v>140</v>
      </c>
      <c r="CT58" s="21">
        <v>140</v>
      </c>
      <c r="CU58" s="21">
        <f t="shared" si="25"/>
        <v>360</v>
      </c>
      <c r="CV58" s="58">
        <v>111</v>
      </c>
      <c r="CW58" s="58">
        <f t="shared" si="26"/>
        <v>39960</v>
      </c>
      <c r="CX58" s="58"/>
      <c r="CY58" s="21">
        <f>IF(Table1[[#This Row],[Check 4 Status]]="Continued", Table1[[#This Row],[Check 4 Students Summer]], 0)</f>
        <v>80</v>
      </c>
      <c r="CZ58" s="58">
        <f>Table1[[#This Row],[Check 4 Per Student Savings]]*CY58</f>
        <v>8880</v>
      </c>
      <c r="DA58" s="21">
        <f>IF(Table1[[#This Row],[Check 4 Status]]="Continued", Table1[[#This Row],[Check 4 Students Fall]], 0)</f>
        <v>140</v>
      </c>
      <c r="DB58" s="58">
        <f>Table1[[#This Row],[Check 4 Per Student Savings]]*DA58</f>
        <v>15540</v>
      </c>
      <c r="DC58" s="21">
        <f>IF(Table1[[#This Row],[Check 4 Status]]="Continued", Table1[[#This Row],[Check 4 Students Spring]], 0)</f>
        <v>140</v>
      </c>
      <c r="DD58" s="58">
        <f>Table1[[#This Row],[Check 4 Per Student Savings]]*DC58</f>
        <v>15540</v>
      </c>
      <c r="DE58" s="58">
        <f t="shared" si="27"/>
        <v>360</v>
      </c>
      <c r="DF58" s="58">
        <f t="shared" si="28"/>
        <v>39960</v>
      </c>
      <c r="DG5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2160</v>
      </c>
      <c r="DH5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227160</v>
      </c>
      <c r="DI58" s="58">
        <f>Table1[[#This Row],[Grand Total Savings]]/Table1[[#This Row],[Total Award]]</f>
        <v>7.914982578397213</v>
      </c>
      <c r="DJ58" s="17"/>
      <c r="DK58" s="17"/>
      <c r="DL58" s="17"/>
      <c r="DM58" s="17"/>
      <c r="EC58" s="17"/>
      <c r="ED58" s="17"/>
      <c r="EE58" s="17"/>
      <c r="EF58" s="17"/>
    </row>
    <row r="59" spans="1:136" x14ac:dyDescent="0.25">
      <c r="A59" s="159">
        <v>127</v>
      </c>
      <c r="B59" s="17" t="s">
        <v>2011</v>
      </c>
      <c r="D59" s="97">
        <v>510432</v>
      </c>
      <c r="E59" s="158">
        <v>42270</v>
      </c>
      <c r="F59" s="158">
        <v>42478</v>
      </c>
      <c r="G59" s="159" t="s">
        <v>451</v>
      </c>
      <c r="H59" s="95" t="s">
        <v>9</v>
      </c>
      <c r="I59" s="226" t="s">
        <v>118</v>
      </c>
      <c r="J59" s="17" t="s">
        <v>166</v>
      </c>
      <c r="K59" s="107">
        <v>10800</v>
      </c>
      <c r="L59" s="107"/>
      <c r="M59" s="101" t="s">
        <v>452</v>
      </c>
      <c r="N59" s="101" t="s">
        <v>453</v>
      </c>
      <c r="O59" s="101" t="s">
        <v>454</v>
      </c>
      <c r="P59" s="101" t="s">
        <v>455</v>
      </c>
      <c r="Q59" s="101" t="s">
        <v>456</v>
      </c>
      <c r="R59" s="101" t="s">
        <v>454</v>
      </c>
      <c r="S59" s="101" t="s">
        <v>129</v>
      </c>
      <c r="T59" s="17" t="s">
        <v>125</v>
      </c>
      <c r="U59" s="160" t="s">
        <v>457</v>
      </c>
      <c r="V59" s="93" t="s">
        <v>150</v>
      </c>
      <c r="W59" s="93" t="s">
        <v>150</v>
      </c>
      <c r="X59" s="93" t="s">
        <v>150</v>
      </c>
      <c r="Y59" s="58">
        <v>57645</v>
      </c>
      <c r="Z59" s="17">
        <v>315</v>
      </c>
      <c r="AA59" s="58">
        <f t="shared" si="59"/>
        <v>183</v>
      </c>
      <c r="AB59" s="21">
        <f t="shared" si="71"/>
        <v>105</v>
      </c>
      <c r="AC59" s="21">
        <f t="shared" si="72"/>
        <v>105</v>
      </c>
      <c r="AD59" s="21">
        <f t="shared" si="73"/>
        <v>105</v>
      </c>
      <c r="AE59" s="17" t="s">
        <v>208</v>
      </c>
      <c r="AF59" s="17" t="s">
        <v>129</v>
      </c>
      <c r="AG59" s="17"/>
      <c r="AI59" s="17" t="s">
        <v>130</v>
      </c>
      <c r="AJ59" s="21">
        <v>0</v>
      </c>
      <c r="AK59" s="58">
        <v>0</v>
      </c>
      <c r="AL59" s="21">
        <v>0</v>
      </c>
      <c r="AM59" s="58">
        <f t="shared" si="52"/>
        <v>0</v>
      </c>
      <c r="AN59" s="21">
        <v>0</v>
      </c>
      <c r="AO59" s="58">
        <f t="shared" si="54"/>
        <v>0</v>
      </c>
      <c r="AP59" s="21">
        <f>Table1[[#This Row],[Students Per Fall]]</f>
        <v>105</v>
      </c>
      <c r="AQ59" s="58">
        <f t="shared" si="55"/>
        <v>19215</v>
      </c>
      <c r="AR59" s="21">
        <f>IF(Table1[[#This Row],[Sustainability Check 1 (2017-2018) Status]]="Continued", Table1[[#This Row],[Students Per Spring]], 0)</f>
        <v>105</v>
      </c>
      <c r="AS59" s="58">
        <f t="shared" si="56"/>
        <v>19215</v>
      </c>
      <c r="AT59" s="21">
        <f t="shared" si="60"/>
        <v>210</v>
      </c>
      <c r="AU59" s="58">
        <f t="shared" si="58"/>
        <v>38430</v>
      </c>
      <c r="AV59" s="21">
        <f>IF(Table1[[#This Row],[Sustainability Check 1 (2017-2018) Status]]="Continued", Table1[[#This Row],[Students Per Summer]], 0)</f>
        <v>105</v>
      </c>
      <c r="AW59" s="58">
        <f t="shared" si="61"/>
        <v>19215</v>
      </c>
      <c r="AX59" s="31">
        <f>IF(Table1[[#This Row],[Sustainability Check 1 (2017-2018) Status]]="Continued", Table1[[#This Row],[Students Per Fall]], 0)</f>
        <v>105</v>
      </c>
      <c r="AY59" s="58">
        <f t="shared" si="62"/>
        <v>19215</v>
      </c>
      <c r="AZ59" s="31">
        <f>IF(Table1[[#This Row],[Sustainability Check 1 (2017-2018) Status]]="Continued", Table1[[#This Row],[Students Per Spring]], 0)</f>
        <v>105</v>
      </c>
      <c r="BA59" s="58">
        <f t="shared" si="63"/>
        <v>19215</v>
      </c>
      <c r="BB59" s="31">
        <f t="shared" si="64"/>
        <v>315</v>
      </c>
      <c r="BC59" s="58">
        <f t="shared" si="65"/>
        <v>57645</v>
      </c>
      <c r="BD59" s="31">
        <f>IF(Table1[[#This Row],[Sustainability Check 1 (2017-2018) Status]]="Continued", Table1[[#This Row],[Students Per Summer]], 0)</f>
        <v>105</v>
      </c>
      <c r="BE59" s="58">
        <f t="shared" si="66"/>
        <v>19215</v>
      </c>
      <c r="BF59" s="31">
        <f>IF(Table1[[#This Row],[Sustainability Check 1 (2017-2018) Status]]="Continued", Table1[[#This Row],[Students Per Fall]], 0)</f>
        <v>105</v>
      </c>
      <c r="BG59" s="58">
        <f t="shared" si="67"/>
        <v>19215</v>
      </c>
      <c r="BH59" s="31">
        <f>IF(Table1[[#This Row],[Sustainability Check 1 (2017-2018) Status]]="Continued", Table1[[#This Row],[Students Per Spring]], 0)</f>
        <v>105</v>
      </c>
      <c r="BI59" s="58">
        <f t="shared" si="68"/>
        <v>19215</v>
      </c>
      <c r="BJ59" s="31">
        <f t="shared" si="69"/>
        <v>315</v>
      </c>
      <c r="BK59" s="58">
        <f t="shared" si="70"/>
        <v>57645</v>
      </c>
      <c r="BL59" s="58" t="s">
        <v>130</v>
      </c>
      <c r="BM59" s="31">
        <v>40</v>
      </c>
      <c r="BN59" s="31">
        <v>160</v>
      </c>
      <c r="BO59" s="31">
        <v>80</v>
      </c>
      <c r="BP59" s="31">
        <f t="shared" si="51"/>
        <v>280</v>
      </c>
      <c r="BQ59" s="96">
        <v>183</v>
      </c>
      <c r="BR59" s="58">
        <f>Table1[[#This Row],[Check 2 Students Total]]*Table1[[#This Row],[Summer 2018 Price Check]]</f>
        <v>51240</v>
      </c>
      <c r="BS59" s="31">
        <f>IF(Table1[[#This Row],[Sustainability Check 2 (2018-2019) Status]]="Continued", Table1[[#This Row],[Check 2 Students Summer]], 0)</f>
        <v>40</v>
      </c>
      <c r="BT59" s="58">
        <f>Table1[[#This Row],[Summer 2018 Price Check]]*BS59</f>
        <v>7320</v>
      </c>
      <c r="BU59" s="31">
        <f>IF(Table1[[#This Row],[Sustainability Check 2 (2018-2019) Status]]="Continued", Table1[[#This Row],[Check 2 Students Fall]], 0)</f>
        <v>160</v>
      </c>
      <c r="BV59" s="58">
        <f>Table1[[#This Row],[Summer 2018 Price Check]]*BU59</f>
        <v>29280</v>
      </c>
      <c r="BW59" s="21">
        <f>IF(Table1[[#This Row],[Sustainability Check 2 (2018-2019) Status]]="Continued", Table1[Check 2 Students Spring], 0)</f>
        <v>80</v>
      </c>
      <c r="BX59" s="58">
        <f>Table1[[#This Row],[Summer 2018 Price Check]]*Table1[[#This Row],[Spring 2019 Students]]</f>
        <v>14640</v>
      </c>
      <c r="BY59" s="31">
        <f t="shared" si="19"/>
        <v>280</v>
      </c>
      <c r="BZ59" s="58">
        <f t="shared" si="20"/>
        <v>51240</v>
      </c>
      <c r="CA59" s="58" t="s">
        <v>1777</v>
      </c>
      <c r="CB59" s="21"/>
      <c r="CC59" s="21"/>
      <c r="CD59" s="21"/>
      <c r="CE59" s="21">
        <f t="shared" si="57"/>
        <v>0</v>
      </c>
      <c r="CF59" s="58"/>
      <c r="CG59" s="58">
        <f t="shared" si="22"/>
        <v>0</v>
      </c>
      <c r="CH59" s="17" t="s">
        <v>208</v>
      </c>
      <c r="CI59" s="21">
        <f>IF(Table1[[#This Row],[Check 3 Status]]="Continued", Table1[[#This Row],[Check 3 Students Summer]], 0)</f>
        <v>0</v>
      </c>
      <c r="CJ59" s="58">
        <f>Table1[[#This Row],[Check 3 Per Student Savings]]*CI59</f>
        <v>0</v>
      </c>
      <c r="CK59" s="21">
        <f>IF(Table1[[#This Row],[Check 3 Status]]="Continued", Table1[[#This Row],[Check 3 Students Fall]], 0)</f>
        <v>0</v>
      </c>
      <c r="CL59" s="58">
        <f>Table1[[#This Row],[Check 3 Per Student Savings]]*CK59</f>
        <v>0</v>
      </c>
      <c r="CM59" s="21">
        <f>IF(Table1[[#This Row],[Check 3 Status]]="Continued", Table1[[#This Row],[Check 3 Students Spring]], 0)</f>
        <v>0</v>
      </c>
      <c r="CN59" s="58">
        <f>Table1[[#This Row],[Check 3 Per Student Savings]]*CM59</f>
        <v>0</v>
      </c>
      <c r="CO59" s="21">
        <f t="shared" si="23"/>
        <v>0</v>
      </c>
      <c r="CP59" s="58">
        <f t="shared" si="24"/>
        <v>0</v>
      </c>
      <c r="CQ59" s="58" t="s">
        <v>1777</v>
      </c>
      <c r="CR59" s="21"/>
      <c r="CS59" s="21"/>
      <c r="CT59" s="21"/>
      <c r="CU59" s="21">
        <f t="shared" si="25"/>
        <v>0</v>
      </c>
      <c r="CV59" s="58">
        <v>0</v>
      </c>
      <c r="CW59" s="58">
        <f t="shared" si="26"/>
        <v>0</v>
      </c>
      <c r="CX59" s="58"/>
      <c r="CY59" s="21">
        <f>IF(Table1[[#This Row],[Check 4 Status]]="Continued", Table1[[#This Row],[Check 4 Students Summer]], 0)</f>
        <v>0</v>
      </c>
      <c r="CZ59" s="58">
        <f>Table1[[#This Row],[Check 4 Per Student Savings]]*CY59</f>
        <v>0</v>
      </c>
      <c r="DA59" s="21">
        <f>IF(Table1[[#This Row],[Check 4 Status]]="Continued", Table1[[#This Row],[Check 4 Students Fall]], 0)</f>
        <v>0</v>
      </c>
      <c r="DB59" s="58">
        <f>Table1[[#This Row],[Check 4 Per Student Savings]]*DA59</f>
        <v>0</v>
      </c>
      <c r="DC59" s="21">
        <f>IF(Table1[[#This Row],[Check 4 Status]]="Continued", Table1[[#This Row],[Check 4 Students Spring]], 0)</f>
        <v>0</v>
      </c>
      <c r="DD59" s="58">
        <f>Table1[[#This Row],[Check 4 Per Student Savings]]*DC59</f>
        <v>0</v>
      </c>
      <c r="DE59" s="58">
        <f t="shared" si="27"/>
        <v>0</v>
      </c>
      <c r="DF59" s="58">
        <f t="shared" si="28"/>
        <v>0</v>
      </c>
      <c r="DG5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1120</v>
      </c>
      <c r="DH5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204960</v>
      </c>
      <c r="DI59" s="58">
        <f>Table1[[#This Row],[Grand Total Savings]]/Table1[[#This Row],[Total Award]]</f>
        <v>18.977777777777778</v>
      </c>
      <c r="DJ59" s="17"/>
      <c r="DK59" s="17"/>
      <c r="DL59" s="17"/>
      <c r="DM59" s="17"/>
      <c r="EC59" s="17"/>
      <c r="ED59" s="17"/>
      <c r="EE59" s="17"/>
      <c r="EF59" s="17"/>
    </row>
    <row r="60" spans="1:136" x14ac:dyDescent="0.25">
      <c r="A60" s="159">
        <v>128</v>
      </c>
      <c r="B60" s="17" t="s">
        <v>2011</v>
      </c>
      <c r="D60" s="97">
        <v>510524</v>
      </c>
      <c r="E60" s="158">
        <v>42360</v>
      </c>
      <c r="F60" s="158">
        <v>42515</v>
      </c>
      <c r="G60" s="159" t="s">
        <v>451</v>
      </c>
      <c r="H60" s="95" t="s">
        <v>9</v>
      </c>
      <c r="I60" s="226" t="s">
        <v>118</v>
      </c>
      <c r="J60" s="17" t="s">
        <v>166</v>
      </c>
      <c r="K60" s="107">
        <v>15800</v>
      </c>
      <c r="L60" s="107"/>
      <c r="M60" s="101" t="s">
        <v>458</v>
      </c>
      <c r="N60" s="101" t="s">
        <v>459</v>
      </c>
      <c r="O60" s="101" t="s">
        <v>460</v>
      </c>
      <c r="P60" s="101" t="s">
        <v>461</v>
      </c>
      <c r="Q60" s="101" t="s">
        <v>248</v>
      </c>
      <c r="R60" s="101" t="s">
        <v>462</v>
      </c>
      <c r="S60" s="160" t="s">
        <v>36</v>
      </c>
      <c r="T60" s="17" t="s">
        <v>129</v>
      </c>
      <c r="U60" s="101" t="s">
        <v>157</v>
      </c>
      <c r="V60" s="93" t="s">
        <v>150</v>
      </c>
      <c r="W60" s="93" t="s">
        <v>139</v>
      </c>
      <c r="X60" s="93" t="s">
        <v>150</v>
      </c>
      <c r="Y60" s="58">
        <v>11016</v>
      </c>
      <c r="Z60" s="17">
        <v>162</v>
      </c>
      <c r="AA60" s="58">
        <f t="shared" si="59"/>
        <v>68</v>
      </c>
      <c r="AB60" s="21">
        <f t="shared" si="71"/>
        <v>54</v>
      </c>
      <c r="AC60" s="21">
        <f t="shared" si="72"/>
        <v>54</v>
      </c>
      <c r="AD60" s="21">
        <f t="shared" si="73"/>
        <v>54</v>
      </c>
      <c r="AE60" s="17" t="s">
        <v>208</v>
      </c>
      <c r="AF60" s="17" t="s">
        <v>129</v>
      </c>
      <c r="AG60" s="17"/>
      <c r="AI60" s="161" t="s">
        <v>130</v>
      </c>
      <c r="AJ60" s="21">
        <v>0</v>
      </c>
      <c r="AK60" s="58">
        <v>0</v>
      </c>
      <c r="AL60" s="21">
        <v>0</v>
      </c>
      <c r="AM60" s="58">
        <f t="shared" si="52"/>
        <v>0</v>
      </c>
      <c r="AN60" s="21">
        <v>0</v>
      </c>
      <c r="AO60" s="58">
        <f t="shared" si="54"/>
        <v>0</v>
      </c>
      <c r="AP60" s="21">
        <f>Table1[[#This Row],[Students Per Fall]]</f>
        <v>54</v>
      </c>
      <c r="AQ60" s="58">
        <f t="shared" si="55"/>
        <v>3672</v>
      </c>
      <c r="AR60" s="21">
        <f>IF(Table1[[#This Row],[Sustainability Check 1 (2017-2018) Status]]="Continued", Table1[[#This Row],[Students Per Spring]], 0)</f>
        <v>54</v>
      </c>
      <c r="AS60" s="58">
        <f t="shared" si="56"/>
        <v>3672</v>
      </c>
      <c r="AT60" s="21">
        <f t="shared" si="60"/>
        <v>108</v>
      </c>
      <c r="AU60" s="58">
        <f t="shared" si="58"/>
        <v>7344</v>
      </c>
      <c r="AV60" s="21">
        <f>IF(Table1[[#This Row],[Sustainability Check 1 (2017-2018) Status]]="Continued", Table1[[#This Row],[Students Per Summer]], 0)</f>
        <v>54</v>
      </c>
      <c r="AW60" s="58">
        <f t="shared" si="61"/>
        <v>3672</v>
      </c>
      <c r="AX60" s="31">
        <f>IF(Table1[[#This Row],[Sustainability Check 1 (2017-2018) Status]]="Continued", Table1[[#This Row],[Students Per Fall]], 0)</f>
        <v>54</v>
      </c>
      <c r="AY60" s="58">
        <f t="shared" si="62"/>
        <v>3672</v>
      </c>
      <c r="AZ60" s="31">
        <f>IF(Table1[[#This Row],[Sustainability Check 1 (2017-2018) Status]]="Continued", Table1[[#This Row],[Students Per Spring]], 0)</f>
        <v>54</v>
      </c>
      <c r="BA60" s="58">
        <f t="shared" si="63"/>
        <v>3672</v>
      </c>
      <c r="BB60" s="31">
        <f t="shared" si="64"/>
        <v>162</v>
      </c>
      <c r="BC60" s="58">
        <f t="shared" si="65"/>
        <v>11016</v>
      </c>
      <c r="BD60" s="31">
        <f>IF(Table1[[#This Row],[Sustainability Check 1 (2017-2018) Status]]="Continued", Table1[[#This Row],[Students Per Summer]], 0)</f>
        <v>54</v>
      </c>
      <c r="BE60" s="58">
        <f t="shared" si="66"/>
        <v>3672</v>
      </c>
      <c r="BF60" s="31">
        <f>IF(Table1[[#This Row],[Sustainability Check 1 (2017-2018) Status]]="Continued", Table1[[#This Row],[Students Per Fall]], 0)</f>
        <v>54</v>
      </c>
      <c r="BG60" s="58">
        <f t="shared" si="67"/>
        <v>3672</v>
      </c>
      <c r="BH60" s="31">
        <f>IF(Table1[[#This Row],[Sustainability Check 1 (2017-2018) Status]]="Continued", Table1[[#This Row],[Students Per Spring]], 0)</f>
        <v>54</v>
      </c>
      <c r="BI60" s="58">
        <f t="shared" si="68"/>
        <v>3672</v>
      </c>
      <c r="BJ60" s="31">
        <f t="shared" si="69"/>
        <v>162</v>
      </c>
      <c r="BK60" s="58">
        <f t="shared" si="70"/>
        <v>11016</v>
      </c>
      <c r="BL60" s="58" t="s">
        <v>130</v>
      </c>
      <c r="BM60" s="31">
        <v>0</v>
      </c>
      <c r="BN60" s="31">
        <v>150</v>
      </c>
      <c r="BO60" s="31">
        <v>150</v>
      </c>
      <c r="BP60" s="31">
        <f t="shared" si="51"/>
        <v>300</v>
      </c>
      <c r="BQ60" s="96">
        <v>67.95</v>
      </c>
      <c r="BR60" s="58">
        <f>Table1[[#This Row],[Check 2 Students Total]]*Table1[[#This Row],[Summer 2018 Price Check]]</f>
        <v>20385</v>
      </c>
      <c r="BS60" s="31">
        <f>IF(Table1[[#This Row],[Sustainability Check 2 (2018-2019) Status]]="Continued", Table1[[#This Row],[Check 2 Students Summer]], 0)</f>
        <v>0</v>
      </c>
      <c r="BT60" s="58">
        <f>Table1[[#This Row],[Summer 2018 Price Check]]*BS60</f>
        <v>0</v>
      </c>
      <c r="BU60" s="31">
        <f>IF(Table1[[#This Row],[Sustainability Check 2 (2018-2019) Status]]="Continued", Table1[[#This Row],[Check 2 Students Fall]], 0)</f>
        <v>150</v>
      </c>
      <c r="BV60" s="58">
        <f>Table1[[#This Row],[Summer 2018 Price Check]]*BU60</f>
        <v>10192.5</v>
      </c>
      <c r="BW60" s="21">
        <f>IF(Table1[[#This Row],[Sustainability Check 2 (2018-2019) Status]]="Continued", Table1[Check 2 Students Spring], 0)</f>
        <v>150</v>
      </c>
      <c r="BX60" s="58">
        <f>Table1[[#This Row],[Summer 2018 Price Check]]*Table1[[#This Row],[Spring 2019 Students]]</f>
        <v>10192.5</v>
      </c>
      <c r="BY60" s="31">
        <f t="shared" si="19"/>
        <v>300</v>
      </c>
      <c r="BZ60" s="58">
        <f t="shared" si="20"/>
        <v>20385</v>
      </c>
      <c r="CA60" s="58" t="s">
        <v>130</v>
      </c>
      <c r="CB60" s="21">
        <v>0</v>
      </c>
      <c r="CC60" s="21">
        <v>280</v>
      </c>
      <c r="CD60" s="21">
        <v>150</v>
      </c>
      <c r="CE60" s="21">
        <f t="shared" si="57"/>
        <v>430</v>
      </c>
      <c r="CF60" s="58">
        <v>68</v>
      </c>
      <c r="CG60" s="58">
        <f t="shared" si="22"/>
        <v>29240</v>
      </c>
      <c r="CH60" s="17" t="s">
        <v>208</v>
      </c>
      <c r="CI60" s="21">
        <f>IF(Table1[[#This Row],[Check 3 Status]]="Continued", Table1[[#This Row],[Check 3 Students Summer]], 0)</f>
        <v>0</v>
      </c>
      <c r="CJ60" s="58">
        <f>Table1[[#This Row],[Check 3 Per Student Savings]]*CI60</f>
        <v>0</v>
      </c>
      <c r="CK60" s="21">
        <f>IF(Table1[[#This Row],[Check 3 Status]]="Continued", Table1[[#This Row],[Check 3 Students Fall]], 0)</f>
        <v>280</v>
      </c>
      <c r="CL60" s="58">
        <f>Table1[[#This Row],[Check 3 Per Student Savings]]*CK60</f>
        <v>19040</v>
      </c>
      <c r="CM60" s="21">
        <f>IF(Table1[[#This Row],[Check 3 Status]]="Continued", Table1[[#This Row],[Check 3 Students Spring]], 0)</f>
        <v>150</v>
      </c>
      <c r="CN60" s="58">
        <f>Table1[[#This Row],[Check 3 Per Student Savings]]*CM60</f>
        <v>10200</v>
      </c>
      <c r="CO60" s="21">
        <f t="shared" si="23"/>
        <v>430</v>
      </c>
      <c r="CP60" s="58">
        <f t="shared" si="24"/>
        <v>29240</v>
      </c>
      <c r="CQ60" s="58" t="s">
        <v>142</v>
      </c>
      <c r="CR60" s="21">
        <v>0</v>
      </c>
      <c r="CS60" s="21">
        <v>280</v>
      </c>
      <c r="CT60" s="21">
        <v>150</v>
      </c>
      <c r="CU60" s="21">
        <v>0</v>
      </c>
      <c r="CV60" s="58">
        <v>0</v>
      </c>
      <c r="CW60" s="58">
        <f t="shared" si="26"/>
        <v>0</v>
      </c>
      <c r="CX60" s="58"/>
      <c r="CY60" s="21">
        <f>IF(Table1[[#This Row],[Check 4 Status]]="Continued", Table1[[#This Row],[Check 4 Students Summer]], 0)</f>
        <v>0</v>
      </c>
      <c r="CZ60" s="58">
        <f>Table1[[#This Row],[Check 4 Per Student Savings]]*CY60</f>
        <v>0</v>
      </c>
      <c r="DA60" s="21">
        <f>IF(Table1[[#This Row],[Check 4 Status]]="Continued", Table1[[#This Row],[Check 4 Students Fall]], 0)</f>
        <v>0</v>
      </c>
      <c r="DB60" s="58">
        <f>Table1[[#This Row],[Check 4 Per Student Savings]]*DA60</f>
        <v>0</v>
      </c>
      <c r="DC60" s="21">
        <f>IF(Table1[[#This Row],[Check 4 Status]]="Continued", Table1[[#This Row],[Check 4 Students Spring]], 0)</f>
        <v>0</v>
      </c>
      <c r="DD60" s="58">
        <f>Table1[[#This Row],[Check 4 Per Student Savings]]*DC60</f>
        <v>0</v>
      </c>
      <c r="DE60" s="58">
        <f t="shared" si="27"/>
        <v>0</v>
      </c>
      <c r="DF60" s="58">
        <f t="shared" si="28"/>
        <v>0</v>
      </c>
      <c r="DG6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1162</v>
      </c>
      <c r="DH6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79001</v>
      </c>
      <c r="DI60" s="58">
        <f>Table1[[#This Row],[Grand Total Savings]]/Table1[[#This Row],[Total Award]]</f>
        <v>5.0000632911392406</v>
      </c>
      <c r="DJ60" s="17"/>
      <c r="DK60" s="17"/>
      <c r="DL60" s="17"/>
      <c r="DM60" s="17"/>
      <c r="EC60" s="17"/>
      <c r="ED60" s="17"/>
      <c r="EE60" s="17"/>
      <c r="EF60" s="17"/>
    </row>
    <row r="61" spans="1:136" x14ac:dyDescent="0.25">
      <c r="A61" s="159">
        <v>129</v>
      </c>
      <c r="B61" s="17" t="s">
        <v>2011</v>
      </c>
      <c r="D61" s="97">
        <v>510433</v>
      </c>
      <c r="E61" s="158">
        <v>42270</v>
      </c>
      <c r="F61" s="158">
        <v>42734</v>
      </c>
      <c r="G61" s="159" t="s">
        <v>451</v>
      </c>
      <c r="H61" s="95" t="s">
        <v>9</v>
      </c>
      <c r="I61" s="226" t="s">
        <v>118</v>
      </c>
      <c r="J61" s="17" t="s">
        <v>166</v>
      </c>
      <c r="K61" s="107">
        <v>30000</v>
      </c>
      <c r="L61" s="107"/>
      <c r="M61" s="101" t="s">
        <v>463</v>
      </c>
      <c r="N61" s="101" t="s">
        <v>464</v>
      </c>
      <c r="O61" s="101" t="s">
        <v>465</v>
      </c>
      <c r="P61" s="101" t="s">
        <v>466</v>
      </c>
      <c r="Q61" s="101" t="s">
        <v>467</v>
      </c>
      <c r="R61" s="101" t="s">
        <v>465</v>
      </c>
      <c r="S61" s="160" t="s">
        <v>36</v>
      </c>
      <c r="T61" s="17" t="s">
        <v>129</v>
      </c>
      <c r="U61" s="101" t="s">
        <v>287</v>
      </c>
      <c r="V61" s="93" t="s">
        <v>150</v>
      </c>
      <c r="W61" s="93" t="s">
        <v>139</v>
      </c>
      <c r="X61" s="93" t="s">
        <v>139</v>
      </c>
      <c r="Y61" s="58">
        <v>199200</v>
      </c>
      <c r="Z61" s="31">
        <v>1200</v>
      </c>
      <c r="AA61" s="58">
        <f t="shared" si="59"/>
        <v>166</v>
      </c>
      <c r="AB61" s="21">
        <f t="shared" si="71"/>
        <v>400</v>
      </c>
      <c r="AC61" s="21">
        <f t="shared" si="72"/>
        <v>400</v>
      </c>
      <c r="AD61" s="21">
        <f t="shared" si="73"/>
        <v>400</v>
      </c>
      <c r="AE61" s="17" t="s">
        <v>468</v>
      </c>
      <c r="AF61" s="17" t="s">
        <v>129</v>
      </c>
      <c r="AG61" s="17"/>
      <c r="AI61" s="17" t="s">
        <v>130</v>
      </c>
      <c r="AJ61" s="21">
        <v>0</v>
      </c>
      <c r="AK61" s="58">
        <v>0</v>
      </c>
      <c r="AL61" s="21">
        <v>0</v>
      </c>
      <c r="AM61" s="58">
        <f t="shared" si="52"/>
        <v>0</v>
      </c>
      <c r="AN61" s="21">
        <v>0</v>
      </c>
      <c r="AO61" s="58">
        <f t="shared" si="54"/>
        <v>0</v>
      </c>
      <c r="AP61" s="21">
        <v>0</v>
      </c>
      <c r="AQ61" s="58">
        <f t="shared" si="55"/>
        <v>0</v>
      </c>
      <c r="AR61" s="21">
        <v>0</v>
      </c>
      <c r="AS61" s="58">
        <f t="shared" si="56"/>
        <v>0</v>
      </c>
      <c r="AT61" s="21">
        <v>0</v>
      </c>
      <c r="AU61" s="58">
        <f t="shared" si="58"/>
        <v>0</v>
      </c>
      <c r="AV61" s="21">
        <f>IF(Table1[[#This Row],[Sustainability Check 1 (2017-2018) Status]]="Continued", Table1[[#This Row],[Students Per Summer]], 0)</f>
        <v>400</v>
      </c>
      <c r="AW61" s="58">
        <f t="shared" si="61"/>
        <v>66400</v>
      </c>
      <c r="AX61" s="31">
        <f>IF(Table1[[#This Row],[Sustainability Check 1 (2017-2018) Status]]="Continued", Table1[[#This Row],[Students Per Fall]], 0)</f>
        <v>400</v>
      </c>
      <c r="AY61" s="58">
        <f t="shared" si="62"/>
        <v>66400</v>
      </c>
      <c r="AZ61" s="31">
        <f>IF(Table1[[#This Row],[Sustainability Check 1 (2017-2018) Status]]="Continued", Table1[[#This Row],[Students Per Spring]], 0)</f>
        <v>400</v>
      </c>
      <c r="BA61" s="58">
        <f t="shared" si="63"/>
        <v>66400</v>
      </c>
      <c r="BB61" s="31">
        <f t="shared" si="64"/>
        <v>1200</v>
      </c>
      <c r="BC61" s="58">
        <f t="shared" si="65"/>
        <v>199200</v>
      </c>
      <c r="BD61" s="31">
        <f>IF(Table1[[#This Row],[Sustainability Check 1 (2017-2018) Status]]="Continued", Table1[[#This Row],[Students Per Summer]], 0)</f>
        <v>400</v>
      </c>
      <c r="BE61" s="58">
        <f t="shared" si="66"/>
        <v>66400</v>
      </c>
      <c r="BF61" s="31">
        <f>IF(Table1[[#This Row],[Sustainability Check 1 (2017-2018) Status]]="Continued", Table1[[#This Row],[Students Per Fall]], 0)</f>
        <v>400</v>
      </c>
      <c r="BG61" s="58">
        <f t="shared" si="67"/>
        <v>66400</v>
      </c>
      <c r="BH61" s="31">
        <f>IF(Table1[[#This Row],[Sustainability Check 1 (2017-2018) Status]]="Continued", Table1[[#This Row],[Students Per Spring]], 0)</f>
        <v>400</v>
      </c>
      <c r="BI61" s="58">
        <f t="shared" si="68"/>
        <v>66400</v>
      </c>
      <c r="BJ61" s="31">
        <f t="shared" si="69"/>
        <v>1200</v>
      </c>
      <c r="BK61" s="58">
        <f t="shared" si="70"/>
        <v>199200</v>
      </c>
      <c r="BL61" s="58" t="s">
        <v>130</v>
      </c>
      <c r="BM61" s="31">
        <v>100</v>
      </c>
      <c r="BN61" s="31">
        <v>700</v>
      </c>
      <c r="BO61" s="31">
        <v>500</v>
      </c>
      <c r="BP61" s="31">
        <f t="shared" si="51"/>
        <v>1300</v>
      </c>
      <c r="BQ61" s="96">
        <v>168.09</v>
      </c>
      <c r="BR61" s="58">
        <f>Table1[[#This Row],[Check 2 Students Total]]*Table1[[#This Row],[Summer 2018 Price Check]]</f>
        <v>218517</v>
      </c>
      <c r="BS61" s="31">
        <f>IF(Table1[[#This Row],[Sustainability Check 2 (2018-2019) Status]]="Continued", Table1[[#This Row],[Check 2 Students Summer]], 0)</f>
        <v>100</v>
      </c>
      <c r="BT61" s="58">
        <f>Table1[[#This Row],[Summer 2018 Price Check]]*BS61</f>
        <v>16809</v>
      </c>
      <c r="BU61" s="31">
        <f>IF(Table1[[#This Row],[Sustainability Check 2 (2018-2019) Status]]="Continued", Table1[[#This Row],[Check 2 Students Fall]], 0)</f>
        <v>700</v>
      </c>
      <c r="BV61" s="58">
        <f>Table1[[#This Row],[Summer 2018 Price Check]]*BU61</f>
        <v>117663</v>
      </c>
      <c r="BW61" s="21">
        <f>IF(Table1[[#This Row],[Sustainability Check 2 (2018-2019) Status]]="Continued", Table1[Check 2 Students Spring], 0)</f>
        <v>500</v>
      </c>
      <c r="BX61" s="58">
        <f>Table1[[#This Row],[Summer 2018 Price Check]]*Table1[[#This Row],[Spring 2019 Students]]</f>
        <v>84045</v>
      </c>
      <c r="BY61" s="31">
        <f t="shared" si="19"/>
        <v>1300</v>
      </c>
      <c r="BZ61" s="58">
        <f t="shared" si="20"/>
        <v>218517</v>
      </c>
      <c r="CA61" s="58" t="s">
        <v>130</v>
      </c>
      <c r="CB61" s="21">
        <v>76</v>
      </c>
      <c r="CC61" s="21">
        <v>665</v>
      </c>
      <c r="CD61" s="21">
        <v>560</v>
      </c>
      <c r="CE61" s="21">
        <f t="shared" si="57"/>
        <v>1301</v>
      </c>
      <c r="CF61" s="58">
        <v>156.30000000000001</v>
      </c>
      <c r="CG61" s="58">
        <f t="shared" si="22"/>
        <v>203346.30000000002</v>
      </c>
      <c r="CH61" s="17" t="s">
        <v>468</v>
      </c>
      <c r="CI61" s="21">
        <f>IF(Table1[[#This Row],[Check 3 Status]]="Continued", Table1[[#This Row],[Check 3 Students Summer]], 0)</f>
        <v>76</v>
      </c>
      <c r="CJ61" s="58">
        <f>Table1[[#This Row],[Check 3 Per Student Savings]]*CI61</f>
        <v>11878.800000000001</v>
      </c>
      <c r="CK61" s="21">
        <f>IF(Table1[[#This Row],[Check 3 Status]]="Continued", Table1[[#This Row],[Check 3 Students Fall]], 0)</f>
        <v>665</v>
      </c>
      <c r="CL61" s="58">
        <f>Table1[[#This Row],[Check 3 Per Student Savings]]*CK61</f>
        <v>103939.50000000001</v>
      </c>
      <c r="CM61" s="21">
        <f>IF(Table1[[#This Row],[Check 3 Status]]="Continued", Table1[[#This Row],[Check 3 Students Spring]], 0)</f>
        <v>560</v>
      </c>
      <c r="CN61" s="58">
        <f>Table1[[#This Row],[Check 3 Per Student Savings]]*CM61</f>
        <v>87528</v>
      </c>
      <c r="CO61" s="21">
        <f t="shared" si="23"/>
        <v>1301</v>
      </c>
      <c r="CP61" s="58">
        <f t="shared" si="24"/>
        <v>203346.30000000002</v>
      </c>
      <c r="CQ61" s="58" t="s">
        <v>130</v>
      </c>
      <c r="CR61" s="21">
        <v>76</v>
      </c>
      <c r="CS61" s="21">
        <v>665</v>
      </c>
      <c r="CT61" s="21">
        <v>560</v>
      </c>
      <c r="CU61" s="21">
        <f t="shared" si="25"/>
        <v>1301</v>
      </c>
      <c r="CV61" s="58">
        <v>156.30000000000001</v>
      </c>
      <c r="CW61" s="58">
        <f t="shared" si="26"/>
        <v>203346.30000000002</v>
      </c>
      <c r="CX61" s="58"/>
      <c r="CY61" s="21">
        <f>IF(Table1[[#This Row],[Check 4 Status]]="Continued", Table1[[#This Row],[Check 4 Students Summer]], 0)</f>
        <v>76</v>
      </c>
      <c r="CZ61" s="58">
        <f>Table1[[#This Row],[Check 4 Per Student Savings]]*CY61</f>
        <v>11878.800000000001</v>
      </c>
      <c r="DA61" s="21">
        <f>IF(Table1[[#This Row],[Check 4 Status]]="Continued", Table1[[#This Row],[Check 4 Students Fall]], 0)</f>
        <v>665</v>
      </c>
      <c r="DB61" s="58">
        <f>Table1[[#This Row],[Check 4 Per Student Savings]]*DA61</f>
        <v>103939.50000000001</v>
      </c>
      <c r="DC61" s="21">
        <f>IF(Table1[[#This Row],[Check 4 Status]]="Continued", Table1[[#This Row],[Check 4 Students Spring]], 0)</f>
        <v>560</v>
      </c>
      <c r="DD61" s="58">
        <f>Table1[[#This Row],[Check 4 Per Student Savings]]*DC61</f>
        <v>87528</v>
      </c>
      <c r="DE61" s="58">
        <f t="shared" si="27"/>
        <v>1301</v>
      </c>
      <c r="DF61" s="58">
        <f t="shared" si="28"/>
        <v>203346.30000000002</v>
      </c>
      <c r="DG6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6302</v>
      </c>
      <c r="DH6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1023609.6000000001</v>
      </c>
      <c r="DI61" s="58">
        <f>Table1[[#This Row],[Grand Total Savings]]/Table1[[#This Row],[Total Award]]</f>
        <v>34.120320000000007</v>
      </c>
      <c r="DJ61" s="17"/>
      <c r="DK61" s="17"/>
      <c r="DL61" s="17"/>
      <c r="DM61" s="17"/>
      <c r="EC61" s="17"/>
      <c r="ED61" s="17"/>
      <c r="EE61" s="17"/>
      <c r="EF61" s="17"/>
    </row>
    <row r="62" spans="1:136" x14ac:dyDescent="0.25">
      <c r="A62" s="159">
        <v>130</v>
      </c>
      <c r="B62" s="17" t="s">
        <v>2011</v>
      </c>
      <c r="D62" s="97">
        <v>510434</v>
      </c>
      <c r="E62" s="158">
        <v>42306</v>
      </c>
      <c r="F62" s="158">
        <v>42515</v>
      </c>
      <c r="G62" s="159" t="s">
        <v>451</v>
      </c>
      <c r="H62" s="95" t="s">
        <v>9</v>
      </c>
      <c r="I62" s="226" t="s">
        <v>118</v>
      </c>
      <c r="J62" s="17" t="s">
        <v>388</v>
      </c>
      <c r="K62" s="107">
        <v>29900</v>
      </c>
      <c r="L62" s="107"/>
      <c r="M62" s="101" t="s">
        <v>469</v>
      </c>
      <c r="N62" s="101" t="s">
        <v>470</v>
      </c>
      <c r="O62" s="101" t="s">
        <v>204</v>
      </c>
      <c r="P62" s="101" t="s">
        <v>205</v>
      </c>
      <c r="Q62" s="101" t="s">
        <v>206</v>
      </c>
      <c r="R62" s="101" t="s">
        <v>204</v>
      </c>
      <c r="S62" s="101" t="s">
        <v>129</v>
      </c>
      <c r="T62" s="17" t="s">
        <v>125</v>
      </c>
      <c r="U62" s="160" t="s">
        <v>367</v>
      </c>
      <c r="V62" s="93" t="s">
        <v>150</v>
      </c>
      <c r="W62" s="93" t="s">
        <v>150</v>
      </c>
      <c r="X62" s="93" t="s">
        <v>150</v>
      </c>
      <c r="Y62" s="58">
        <v>109592</v>
      </c>
      <c r="Z62" s="17">
        <v>800</v>
      </c>
      <c r="AA62" s="58">
        <f t="shared" si="59"/>
        <v>136.99</v>
      </c>
      <c r="AB62" s="21">
        <f t="shared" si="71"/>
        <v>266.66666666666669</v>
      </c>
      <c r="AC62" s="21">
        <f t="shared" si="72"/>
        <v>266.66666666666669</v>
      </c>
      <c r="AD62" s="21">
        <f t="shared" si="73"/>
        <v>266.66666666666669</v>
      </c>
      <c r="AE62" s="17" t="s">
        <v>208</v>
      </c>
      <c r="AF62" s="17" t="s">
        <v>129</v>
      </c>
      <c r="AG62" s="17"/>
      <c r="AI62" s="17" t="s">
        <v>130</v>
      </c>
      <c r="AJ62" s="21">
        <v>0</v>
      </c>
      <c r="AK62" s="58">
        <v>0</v>
      </c>
      <c r="AL62" s="21">
        <v>0</v>
      </c>
      <c r="AM62" s="58">
        <f t="shared" si="52"/>
        <v>0</v>
      </c>
      <c r="AN62" s="21">
        <v>0</v>
      </c>
      <c r="AO62" s="58">
        <f t="shared" si="54"/>
        <v>0</v>
      </c>
      <c r="AP62" s="21">
        <f>Table1[[#This Row],[Students Per Fall]]</f>
        <v>266.66666666666669</v>
      </c>
      <c r="AQ62" s="58">
        <f t="shared" si="55"/>
        <v>36530.666666666672</v>
      </c>
      <c r="AR62" s="21">
        <f>IF(Table1[[#This Row],[Sustainability Check 1 (2017-2018) Status]]="Continued", Table1[[#This Row],[Students Per Spring]], 0)</f>
        <v>266.66666666666669</v>
      </c>
      <c r="AS62" s="58">
        <f t="shared" si="56"/>
        <v>36530.666666666672</v>
      </c>
      <c r="AT62" s="21">
        <f>AN62+AP62+AR62</f>
        <v>533.33333333333337</v>
      </c>
      <c r="AU62" s="58">
        <f t="shared" si="58"/>
        <v>73061.333333333343</v>
      </c>
      <c r="AV62" s="21">
        <f>IF(Table1[[#This Row],[Sustainability Check 1 (2017-2018) Status]]="Continued", Table1[[#This Row],[Students Per Summer]], 0)</f>
        <v>266.66666666666669</v>
      </c>
      <c r="AW62" s="58">
        <f t="shared" si="61"/>
        <v>36530.666666666672</v>
      </c>
      <c r="AX62" s="31">
        <f>IF(Table1[[#This Row],[Sustainability Check 1 (2017-2018) Status]]="Continued", Table1[[#This Row],[Students Per Fall]], 0)</f>
        <v>266.66666666666669</v>
      </c>
      <c r="AY62" s="58">
        <f t="shared" si="62"/>
        <v>36530.666666666672</v>
      </c>
      <c r="AZ62" s="31">
        <f>IF(Table1[[#This Row],[Sustainability Check 1 (2017-2018) Status]]="Continued", Table1[[#This Row],[Students Per Spring]], 0)</f>
        <v>266.66666666666669</v>
      </c>
      <c r="BA62" s="58">
        <f t="shared" si="63"/>
        <v>36530.666666666672</v>
      </c>
      <c r="BB62" s="31">
        <f t="shared" si="64"/>
        <v>800</v>
      </c>
      <c r="BC62" s="58">
        <f t="shared" si="65"/>
        <v>109592.00000000001</v>
      </c>
      <c r="BD62" s="31">
        <f>IF(Table1[[#This Row],[Sustainability Check 1 (2017-2018) Status]]="Continued", Table1[[#This Row],[Students Per Summer]], 0)</f>
        <v>266.66666666666669</v>
      </c>
      <c r="BE62" s="58">
        <f t="shared" si="66"/>
        <v>36530.666666666672</v>
      </c>
      <c r="BF62" s="31">
        <f>IF(Table1[[#This Row],[Sustainability Check 1 (2017-2018) Status]]="Continued", Table1[[#This Row],[Students Per Fall]], 0)</f>
        <v>266.66666666666669</v>
      </c>
      <c r="BG62" s="58">
        <f t="shared" si="67"/>
        <v>36530.666666666672</v>
      </c>
      <c r="BH62" s="31">
        <f>IF(Table1[[#This Row],[Sustainability Check 1 (2017-2018) Status]]="Continued", Table1[[#This Row],[Students Per Spring]], 0)</f>
        <v>266.66666666666669</v>
      </c>
      <c r="BI62" s="58">
        <f t="shared" si="68"/>
        <v>36530.666666666672</v>
      </c>
      <c r="BJ62" s="31">
        <f t="shared" si="69"/>
        <v>800</v>
      </c>
      <c r="BK62" s="58">
        <f t="shared" si="70"/>
        <v>109592.00000000001</v>
      </c>
      <c r="BL62" s="58" t="s">
        <v>142</v>
      </c>
      <c r="BM62" s="31">
        <v>0</v>
      </c>
      <c r="BN62" s="31">
        <v>0</v>
      </c>
      <c r="BO62" s="31">
        <v>0</v>
      </c>
      <c r="BP62" s="31">
        <v>0</v>
      </c>
      <c r="BQ62" s="96">
        <v>115.99</v>
      </c>
      <c r="BR62" s="58">
        <f>Table1[[#This Row],[Check 2 Students Total]]*Table1[[#This Row],[Summer 2018 Price Check]]</f>
        <v>0</v>
      </c>
      <c r="BS62" s="31">
        <f>IF(Table1[[#This Row],[Sustainability Check 2 (2018-2019) Status]]="Continued", Table1[[#This Row],[Check 2 Students Summer]], 0)</f>
        <v>0</v>
      </c>
      <c r="BT62" s="58">
        <f>Table1[[#This Row],[Summer 2018 Price Check]]*BS62</f>
        <v>0</v>
      </c>
      <c r="BU62" s="31">
        <f>IF(Table1[[#This Row],[Sustainability Check 2 (2018-2019) Status]]="Continued", Table1[[#This Row],[Check 2 Students Fall]], 0)</f>
        <v>0</v>
      </c>
      <c r="BV62" s="58">
        <f>Table1[[#This Row],[Summer 2018 Price Check]]*BU62</f>
        <v>0</v>
      </c>
      <c r="BW62" s="21">
        <f>IF(Table1[[#This Row],[Sustainability Check 2 (2018-2019) Status]]="Continued", Table1[Check 2 Students Spring], 0)</f>
        <v>0</v>
      </c>
      <c r="BX62" s="58">
        <f>Table1[[#This Row],[Summer 2018 Price Check]]*Table1[[#This Row],[Spring 2019 Students]]</f>
        <v>0</v>
      </c>
      <c r="BY62" s="31">
        <f t="shared" si="19"/>
        <v>0</v>
      </c>
      <c r="BZ62" s="58">
        <f t="shared" si="20"/>
        <v>0</v>
      </c>
      <c r="CA62" s="58" t="s">
        <v>142</v>
      </c>
      <c r="CB62" s="21">
        <v>0</v>
      </c>
      <c r="CC62" s="21">
        <v>0</v>
      </c>
      <c r="CD62" s="21">
        <v>0</v>
      </c>
      <c r="CE62" s="21">
        <f t="shared" si="57"/>
        <v>0</v>
      </c>
      <c r="CF62" s="58"/>
      <c r="CG62" s="58">
        <f t="shared" si="22"/>
        <v>0</v>
      </c>
      <c r="CH62" s="17" t="s">
        <v>208</v>
      </c>
      <c r="CI62" s="21">
        <f>IF(Table1[[#This Row],[Check 3 Status]]="Continued", Table1[[#This Row],[Check 3 Students Summer]], 0)</f>
        <v>0</v>
      </c>
      <c r="CJ62" s="58">
        <f>Table1[[#This Row],[Check 3 Per Student Savings]]*CI62</f>
        <v>0</v>
      </c>
      <c r="CK62" s="21">
        <f>IF(Table1[[#This Row],[Check 3 Status]]="Continued", Table1[[#This Row],[Check 3 Students Fall]], 0)</f>
        <v>0</v>
      </c>
      <c r="CL62" s="58">
        <f>Table1[[#This Row],[Check 3 Per Student Savings]]*CK62</f>
        <v>0</v>
      </c>
      <c r="CM62" s="21">
        <f>IF(Table1[[#This Row],[Check 3 Status]]="Continued", Table1[[#This Row],[Check 3 Students Spring]], 0)</f>
        <v>0</v>
      </c>
      <c r="CN62" s="58">
        <f>Table1[[#This Row],[Check 3 Per Student Savings]]*CM62</f>
        <v>0</v>
      </c>
      <c r="CO62" s="21">
        <f t="shared" si="23"/>
        <v>0</v>
      </c>
      <c r="CP62" s="58">
        <f t="shared" si="24"/>
        <v>0</v>
      </c>
      <c r="CQ62" s="58" t="s">
        <v>142</v>
      </c>
      <c r="CR62" s="21">
        <v>0</v>
      </c>
      <c r="CS62" s="21">
        <v>0</v>
      </c>
      <c r="CT62" s="21">
        <v>0</v>
      </c>
      <c r="CU62" s="21">
        <f t="shared" si="25"/>
        <v>0</v>
      </c>
      <c r="CV62" s="58"/>
      <c r="CW62" s="58">
        <f t="shared" si="26"/>
        <v>0</v>
      </c>
      <c r="CX62" s="58"/>
      <c r="CY62" s="21">
        <f>IF(Table1[[#This Row],[Check 4 Status]]="Continued", Table1[[#This Row],[Check 4 Students Summer]], 0)</f>
        <v>0</v>
      </c>
      <c r="CZ62" s="58">
        <f>Table1[[#This Row],[Check 4 Per Student Savings]]*CY62</f>
        <v>0</v>
      </c>
      <c r="DA62" s="21">
        <f>IF(Table1[[#This Row],[Check 4 Status]]="Continued", Table1[[#This Row],[Check 4 Students Fall]], 0)</f>
        <v>0</v>
      </c>
      <c r="DB62" s="58">
        <f>Table1[[#This Row],[Check 4 Per Student Savings]]*DA62</f>
        <v>0</v>
      </c>
      <c r="DC62" s="21">
        <f>IF(Table1[[#This Row],[Check 4 Status]]="Continued", Table1[[#This Row],[Check 4 Students Spring]], 0)</f>
        <v>0</v>
      </c>
      <c r="DD62" s="58">
        <f>Table1[[#This Row],[Check 4 Per Student Savings]]*DC62</f>
        <v>0</v>
      </c>
      <c r="DE62" s="58">
        <f t="shared" si="27"/>
        <v>0</v>
      </c>
      <c r="DF62" s="58">
        <f t="shared" si="28"/>
        <v>0</v>
      </c>
      <c r="DG6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2133.3333333333335</v>
      </c>
      <c r="DH6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292245.33333333337</v>
      </c>
      <c r="DI62" s="58">
        <f>Table1[[#This Row],[Grand Total Savings]]/Table1[[#This Row],[Total Award]]</f>
        <v>9.7740914158305472</v>
      </c>
      <c r="DJ62" s="17"/>
      <c r="DK62" s="17"/>
      <c r="DL62" s="17"/>
      <c r="DM62" s="17"/>
      <c r="EC62" s="17"/>
      <c r="ED62" s="17"/>
      <c r="EE62" s="17"/>
      <c r="EF62" s="17"/>
    </row>
    <row r="63" spans="1:136" x14ac:dyDescent="0.25">
      <c r="A63" s="159">
        <v>132</v>
      </c>
      <c r="B63" s="17" t="s">
        <v>2011</v>
      </c>
      <c r="D63" s="97">
        <v>510435</v>
      </c>
      <c r="E63" s="158">
        <v>42377</v>
      </c>
      <c r="F63" s="158">
        <v>42886</v>
      </c>
      <c r="G63" s="159" t="s">
        <v>451</v>
      </c>
      <c r="H63" s="95" t="s">
        <v>9</v>
      </c>
      <c r="I63" s="226" t="s">
        <v>118</v>
      </c>
      <c r="J63" s="17" t="s">
        <v>218</v>
      </c>
      <c r="K63" s="107">
        <v>20800</v>
      </c>
      <c r="L63" s="107"/>
      <c r="M63" s="101" t="s">
        <v>471</v>
      </c>
      <c r="N63" s="101" t="s">
        <v>472</v>
      </c>
      <c r="O63" s="101" t="s">
        <v>473</v>
      </c>
      <c r="P63" s="101" t="s">
        <v>474</v>
      </c>
      <c r="Q63" s="101" t="s">
        <v>192</v>
      </c>
      <c r="R63" s="101" t="s">
        <v>298</v>
      </c>
      <c r="S63" s="101" t="s">
        <v>129</v>
      </c>
      <c r="T63" s="17" t="s">
        <v>125</v>
      </c>
      <c r="U63" s="160" t="s">
        <v>348</v>
      </c>
      <c r="V63" s="93" t="s">
        <v>150</v>
      </c>
      <c r="W63" s="93" t="s">
        <v>127</v>
      </c>
      <c r="X63" s="93" t="s">
        <v>127</v>
      </c>
      <c r="Y63" s="58">
        <v>115560</v>
      </c>
      <c r="Z63" s="17">
        <v>540</v>
      </c>
      <c r="AA63" s="58">
        <f t="shared" si="59"/>
        <v>214</v>
      </c>
      <c r="AB63" s="21">
        <f t="shared" si="71"/>
        <v>180</v>
      </c>
      <c r="AC63" s="21">
        <f t="shared" si="72"/>
        <v>180</v>
      </c>
      <c r="AD63" s="21">
        <f t="shared" si="73"/>
        <v>180</v>
      </c>
      <c r="AE63" s="17" t="s">
        <v>208</v>
      </c>
      <c r="AF63" s="17" t="s">
        <v>129</v>
      </c>
      <c r="AG63" s="17"/>
      <c r="AI63" s="17" t="s">
        <v>130</v>
      </c>
      <c r="AJ63" s="21">
        <v>0</v>
      </c>
      <c r="AK63" s="58">
        <v>0</v>
      </c>
      <c r="AL63" s="21">
        <v>0</v>
      </c>
      <c r="AM63" s="58">
        <f t="shared" ref="AM63:AM94" si="74">AK63</f>
        <v>0</v>
      </c>
      <c r="AN63" s="21">
        <v>0</v>
      </c>
      <c r="AO63" s="58">
        <f t="shared" si="54"/>
        <v>0</v>
      </c>
      <c r="AP63" s="21">
        <f>Table1[[#This Row],[Students Per Fall]]</f>
        <v>180</v>
      </c>
      <c r="AQ63" s="58">
        <f t="shared" si="55"/>
        <v>38520</v>
      </c>
      <c r="AR63" s="21">
        <f>IF(Table1[[#This Row],[Sustainability Check 1 (2017-2018) Status]]="Continued", Table1[[#This Row],[Students Per Spring]], 0)</f>
        <v>180</v>
      </c>
      <c r="AS63" s="58">
        <f t="shared" si="56"/>
        <v>38520</v>
      </c>
      <c r="AT63" s="21">
        <f>AN63+AP63+AR63</f>
        <v>360</v>
      </c>
      <c r="AU63" s="58">
        <f t="shared" si="58"/>
        <v>77040</v>
      </c>
      <c r="AV63" s="21">
        <f>IF(Table1[[#This Row],[Sustainability Check 1 (2017-2018) Status]]="Continued", Table1[[#This Row],[Students Per Summer]], 0)</f>
        <v>180</v>
      </c>
      <c r="AW63" s="58">
        <f t="shared" si="61"/>
        <v>38520</v>
      </c>
      <c r="AX63" s="31">
        <f>IF(Table1[[#This Row],[Sustainability Check 1 (2017-2018) Status]]="Continued", Table1[[#This Row],[Students Per Fall]], 0)</f>
        <v>180</v>
      </c>
      <c r="AY63" s="58">
        <f t="shared" si="62"/>
        <v>38520</v>
      </c>
      <c r="AZ63" s="31">
        <f>IF(Table1[[#This Row],[Sustainability Check 1 (2017-2018) Status]]="Continued", Table1[[#This Row],[Students Per Spring]], 0)</f>
        <v>180</v>
      </c>
      <c r="BA63" s="58">
        <f t="shared" si="63"/>
        <v>38520</v>
      </c>
      <c r="BB63" s="31">
        <f t="shared" si="64"/>
        <v>540</v>
      </c>
      <c r="BC63" s="58">
        <f t="shared" si="65"/>
        <v>115560</v>
      </c>
      <c r="BD63" s="31">
        <f>IF(Table1[[#This Row],[Sustainability Check 1 (2017-2018) Status]]="Continued", Table1[[#This Row],[Students Per Summer]], 0)</f>
        <v>180</v>
      </c>
      <c r="BE63" s="58">
        <f t="shared" si="66"/>
        <v>38520</v>
      </c>
      <c r="BF63" s="31">
        <f>IF(Table1[[#This Row],[Sustainability Check 1 (2017-2018) Status]]="Continued", Table1[[#This Row],[Students Per Fall]], 0)</f>
        <v>180</v>
      </c>
      <c r="BG63" s="58">
        <f t="shared" si="67"/>
        <v>38520</v>
      </c>
      <c r="BH63" s="31">
        <f>IF(Table1[[#This Row],[Sustainability Check 1 (2017-2018) Status]]="Continued", Table1[[#This Row],[Students Per Spring]], 0)</f>
        <v>180</v>
      </c>
      <c r="BI63" s="58">
        <f t="shared" si="68"/>
        <v>38520</v>
      </c>
      <c r="BJ63" s="31">
        <f t="shared" si="69"/>
        <v>540</v>
      </c>
      <c r="BK63" s="58">
        <f t="shared" si="70"/>
        <v>115560</v>
      </c>
      <c r="BL63" s="58" t="s">
        <v>130</v>
      </c>
      <c r="BM63" s="31">
        <v>50</v>
      </c>
      <c r="BN63" s="31">
        <v>450</v>
      </c>
      <c r="BO63" s="31">
        <v>350</v>
      </c>
      <c r="BP63" s="31">
        <f t="shared" ref="BP63:BP94" si="75">SUM(BM63:BO63)</f>
        <v>850</v>
      </c>
      <c r="BQ63" s="96">
        <v>280.93</v>
      </c>
      <c r="BR63" s="58">
        <f>Table1[[#This Row],[Check 2 Students Total]]*Table1[[#This Row],[Summer 2018 Price Check]]</f>
        <v>238790.5</v>
      </c>
      <c r="BS63" s="31">
        <f>IF(Table1[[#This Row],[Sustainability Check 2 (2018-2019) Status]]="Continued", Table1[[#This Row],[Check 2 Students Summer]], 0)</f>
        <v>50</v>
      </c>
      <c r="BT63" s="58">
        <f>Table1[[#This Row],[Summer 2018 Price Check]]*BS63</f>
        <v>14046.5</v>
      </c>
      <c r="BU63" s="31">
        <f>IF(Table1[[#This Row],[Sustainability Check 2 (2018-2019) Status]]="Continued", Table1[[#This Row],[Check 2 Students Fall]], 0)</f>
        <v>450</v>
      </c>
      <c r="BV63" s="58">
        <f>Table1[[#This Row],[Summer 2018 Price Check]]*BU63</f>
        <v>126418.5</v>
      </c>
      <c r="BW63" s="21">
        <f>IF(Table1[[#This Row],[Sustainability Check 2 (2018-2019) Status]]="Continued", Table1[Check 2 Students Spring], 0)</f>
        <v>350</v>
      </c>
      <c r="BX63" s="58">
        <f>Table1[[#This Row],[Summer 2018 Price Check]]*Table1[[#This Row],[Spring 2019 Students]]</f>
        <v>98325.5</v>
      </c>
      <c r="BY63" s="31">
        <f t="shared" si="19"/>
        <v>850</v>
      </c>
      <c r="BZ63" s="58">
        <f t="shared" si="20"/>
        <v>238790.5</v>
      </c>
      <c r="CA63" s="58" t="s">
        <v>130</v>
      </c>
      <c r="CB63" s="21">
        <v>34</v>
      </c>
      <c r="CC63" s="21">
        <v>260</v>
      </c>
      <c r="CD63" s="21">
        <v>114</v>
      </c>
      <c r="CE63" s="21">
        <f t="shared" si="57"/>
        <v>408</v>
      </c>
      <c r="CF63" s="58">
        <v>240</v>
      </c>
      <c r="CG63" s="58">
        <f t="shared" si="22"/>
        <v>97920</v>
      </c>
      <c r="CH63" s="17" t="s">
        <v>208</v>
      </c>
      <c r="CI63" s="21">
        <f>IF(Table1[[#This Row],[Check 3 Status]]="Continued", Table1[[#This Row],[Check 3 Students Summer]], 0)</f>
        <v>34</v>
      </c>
      <c r="CJ63" s="58">
        <f>Table1[[#This Row],[Check 3 Per Student Savings]]*CI63</f>
        <v>8160</v>
      </c>
      <c r="CK63" s="21">
        <f>IF(Table1[[#This Row],[Check 3 Status]]="Continued", Table1[[#This Row],[Check 3 Students Fall]], 0)</f>
        <v>260</v>
      </c>
      <c r="CL63" s="58">
        <f>Table1[[#This Row],[Check 3 Per Student Savings]]*CK63</f>
        <v>62400</v>
      </c>
      <c r="CM63" s="21">
        <f>IF(Table1[[#This Row],[Check 3 Status]]="Continued", Table1[[#This Row],[Check 3 Students Spring]], 0)</f>
        <v>114</v>
      </c>
      <c r="CN63" s="58">
        <f>Table1[[#This Row],[Check 3 Per Student Savings]]*CM63</f>
        <v>27360</v>
      </c>
      <c r="CO63" s="21">
        <f t="shared" si="23"/>
        <v>408</v>
      </c>
      <c r="CP63" s="58">
        <f t="shared" si="24"/>
        <v>97920</v>
      </c>
      <c r="CQ63" s="58" t="s">
        <v>130</v>
      </c>
      <c r="CR63" s="21">
        <v>34</v>
      </c>
      <c r="CS63" s="21">
        <v>260</v>
      </c>
      <c r="CT63" s="21">
        <v>114</v>
      </c>
      <c r="CU63" s="21">
        <f t="shared" si="25"/>
        <v>408</v>
      </c>
      <c r="CV63" s="58">
        <v>240</v>
      </c>
      <c r="CW63" s="58">
        <f t="shared" si="26"/>
        <v>97920</v>
      </c>
      <c r="CX63" s="58"/>
      <c r="CY63" s="21">
        <f>IF(Table1[[#This Row],[Check 4 Status]]="Continued", Table1[[#This Row],[Check 4 Students Summer]], 0)</f>
        <v>34</v>
      </c>
      <c r="CZ63" s="58">
        <f>Table1[[#This Row],[Check 4 Per Student Savings]]*CY63</f>
        <v>8160</v>
      </c>
      <c r="DA63" s="21">
        <f>IF(Table1[[#This Row],[Check 4 Status]]="Continued", Table1[[#This Row],[Check 4 Students Fall]], 0)</f>
        <v>260</v>
      </c>
      <c r="DB63" s="58">
        <f>Table1[[#This Row],[Check 4 Per Student Savings]]*DA63</f>
        <v>62400</v>
      </c>
      <c r="DC63" s="21">
        <f>IF(Table1[[#This Row],[Check 4 Status]]="Continued", Table1[[#This Row],[Check 4 Students Spring]], 0)</f>
        <v>114</v>
      </c>
      <c r="DD63" s="58">
        <f>Table1[[#This Row],[Check 4 Per Student Savings]]*DC63</f>
        <v>27360</v>
      </c>
      <c r="DE63" s="58">
        <f t="shared" si="27"/>
        <v>408</v>
      </c>
      <c r="DF63" s="58">
        <f t="shared" si="28"/>
        <v>97920</v>
      </c>
      <c r="DG6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3106</v>
      </c>
      <c r="DH6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742790.5</v>
      </c>
      <c r="DI63" s="58">
        <f>Table1[[#This Row],[Grand Total Savings]]/Table1[[#This Row],[Total Award]]</f>
        <v>35.71108173076923</v>
      </c>
      <c r="DJ63" s="17"/>
      <c r="DK63" s="17"/>
      <c r="DL63" s="17"/>
      <c r="DM63" s="17"/>
      <c r="EC63" s="17"/>
      <c r="ED63" s="17"/>
      <c r="EE63" s="17"/>
      <c r="EF63" s="17"/>
    </row>
    <row r="64" spans="1:136" x14ac:dyDescent="0.25">
      <c r="A64" s="159">
        <v>133</v>
      </c>
      <c r="B64" s="17" t="s">
        <v>2011</v>
      </c>
      <c r="D64" s="97">
        <v>510478</v>
      </c>
      <c r="E64" s="158">
        <v>42306</v>
      </c>
      <c r="F64" s="158">
        <v>42734</v>
      </c>
      <c r="G64" s="159" t="s">
        <v>451</v>
      </c>
      <c r="H64" s="95" t="s">
        <v>9</v>
      </c>
      <c r="I64" s="226" t="s">
        <v>118</v>
      </c>
      <c r="J64" s="17" t="s">
        <v>388</v>
      </c>
      <c r="K64" s="107">
        <v>21700</v>
      </c>
      <c r="L64" s="107"/>
      <c r="M64" s="101" t="s">
        <v>475</v>
      </c>
      <c r="N64" s="101" t="s">
        <v>476</v>
      </c>
      <c r="O64" s="101" t="s">
        <v>465</v>
      </c>
      <c r="P64" s="101" t="s">
        <v>466</v>
      </c>
      <c r="Q64" s="101" t="s">
        <v>467</v>
      </c>
      <c r="R64" s="101" t="s">
        <v>465</v>
      </c>
      <c r="S64" s="160" t="s">
        <v>36</v>
      </c>
      <c r="T64" s="17" t="s">
        <v>129</v>
      </c>
      <c r="U64" s="160" t="s">
        <v>477</v>
      </c>
      <c r="V64" s="93" t="s">
        <v>150</v>
      </c>
      <c r="W64" s="93" t="s">
        <v>127</v>
      </c>
      <c r="X64" s="93" t="s">
        <v>127</v>
      </c>
      <c r="Y64" s="58">
        <v>66871.64</v>
      </c>
      <c r="Z64" s="17">
        <v>836</v>
      </c>
      <c r="AA64" s="58">
        <f t="shared" si="59"/>
        <v>79.989999999999995</v>
      </c>
      <c r="AB64" s="21">
        <f t="shared" si="71"/>
        <v>278.66666666666669</v>
      </c>
      <c r="AC64" s="21">
        <f t="shared" si="72"/>
        <v>278.66666666666669</v>
      </c>
      <c r="AD64" s="21">
        <f t="shared" si="73"/>
        <v>278.66666666666669</v>
      </c>
      <c r="AE64" s="17" t="s">
        <v>468</v>
      </c>
      <c r="AF64" s="17" t="s">
        <v>129</v>
      </c>
      <c r="AG64" s="17"/>
      <c r="AI64" s="17" t="s">
        <v>130</v>
      </c>
      <c r="AJ64" s="21">
        <v>0</v>
      </c>
      <c r="AK64" s="58">
        <v>0</v>
      </c>
      <c r="AL64" s="21">
        <v>0</v>
      </c>
      <c r="AM64" s="58">
        <f t="shared" si="74"/>
        <v>0</v>
      </c>
      <c r="AN64" s="21">
        <v>0</v>
      </c>
      <c r="AO64" s="58">
        <f t="shared" si="54"/>
        <v>0</v>
      </c>
      <c r="AP64" s="21">
        <v>0</v>
      </c>
      <c r="AQ64" s="58">
        <f t="shared" si="55"/>
        <v>0</v>
      </c>
      <c r="AR64" s="21">
        <v>0</v>
      </c>
      <c r="AS64" s="58">
        <f t="shared" si="56"/>
        <v>0</v>
      </c>
      <c r="AT64" s="21">
        <v>0</v>
      </c>
      <c r="AU64" s="58">
        <f t="shared" si="58"/>
        <v>0</v>
      </c>
      <c r="AV64" s="21">
        <f>IF(Table1[[#This Row],[Sustainability Check 1 (2017-2018) Status]]="Continued", Table1[[#This Row],[Students Per Summer]], 0)</f>
        <v>278.66666666666669</v>
      </c>
      <c r="AW64" s="58">
        <f t="shared" si="61"/>
        <v>22290.546666666665</v>
      </c>
      <c r="AX64" s="31">
        <f>IF(Table1[[#This Row],[Sustainability Check 1 (2017-2018) Status]]="Continued", Table1[[#This Row],[Students Per Fall]], 0)</f>
        <v>278.66666666666669</v>
      </c>
      <c r="AY64" s="58">
        <f t="shared" si="62"/>
        <v>22290.546666666665</v>
      </c>
      <c r="AZ64" s="31">
        <f>IF(Table1[[#This Row],[Sustainability Check 1 (2017-2018) Status]]="Continued", Table1[[#This Row],[Students Per Spring]], 0)</f>
        <v>278.66666666666669</v>
      </c>
      <c r="BA64" s="58">
        <f t="shared" si="63"/>
        <v>22290.546666666665</v>
      </c>
      <c r="BB64" s="31">
        <f t="shared" si="64"/>
        <v>836</v>
      </c>
      <c r="BC64" s="58">
        <f t="shared" si="65"/>
        <v>66871.64</v>
      </c>
      <c r="BD64" s="31">
        <f>IF(Table1[[#This Row],[Sustainability Check 1 (2017-2018) Status]]="Continued", Table1[[#This Row],[Students Per Summer]], 0)</f>
        <v>278.66666666666669</v>
      </c>
      <c r="BE64" s="58">
        <f t="shared" si="66"/>
        <v>22290.546666666665</v>
      </c>
      <c r="BF64" s="31">
        <f>IF(Table1[[#This Row],[Sustainability Check 1 (2017-2018) Status]]="Continued", Table1[[#This Row],[Students Per Fall]], 0)</f>
        <v>278.66666666666669</v>
      </c>
      <c r="BG64" s="58">
        <f t="shared" si="67"/>
        <v>22290.546666666665</v>
      </c>
      <c r="BH64" s="31">
        <f>IF(Table1[[#This Row],[Sustainability Check 1 (2017-2018) Status]]="Continued", Table1[[#This Row],[Students Per Spring]], 0)</f>
        <v>278.66666666666669</v>
      </c>
      <c r="BI64" s="58">
        <f t="shared" si="68"/>
        <v>22290.546666666665</v>
      </c>
      <c r="BJ64" s="31">
        <f t="shared" si="69"/>
        <v>836</v>
      </c>
      <c r="BK64" s="58">
        <f t="shared" si="70"/>
        <v>66871.64</v>
      </c>
      <c r="BL64" s="58" t="s">
        <v>130</v>
      </c>
      <c r="BM64" s="31">
        <v>100</v>
      </c>
      <c r="BN64" s="31">
        <v>400</v>
      </c>
      <c r="BO64" s="31">
        <v>400</v>
      </c>
      <c r="BP64" s="31">
        <f t="shared" si="75"/>
        <v>900</v>
      </c>
      <c r="BQ64" s="96">
        <v>121.8</v>
      </c>
      <c r="BR64" s="58">
        <f>Table1[[#This Row],[Check 2 Students Total]]*Table1[[#This Row],[Summer 2018 Price Check]]</f>
        <v>109620</v>
      </c>
      <c r="BS64" s="31">
        <f>IF(Table1[[#This Row],[Sustainability Check 2 (2018-2019) Status]]="Continued", Table1[[#This Row],[Check 2 Students Summer]], 0)</f>
        <v>100</v>
      </c>
      <c r="BT64" s="58">
        <f>Table1[[#This Row],[Summer 2018 Price Check]]*BS64</f>
        <v>12180</v>
      </c>
      <c r="BU64" s="31">
        <f>IF(Table1[[#This Row],[Sustainability Check 2 (2018-2019) Status]]="Continued", Table1[[#This Row],[Check 2 Students Fall]], 0)</f>
        <v>400</v>
      </c>
      <c r="BV64" s="58">
        <f>Table1[[#This Row],[Summer 2018 Price Check]]*BU64</f>
        <v>48720</v>
      </c>
      <c r="BW64" s="21">
        <f>IF(Table1[[#This Row],[Sustainability Check 2 (2018-2019) Status]]="Continued", Table1[Check 2 Students Spring], 0)</f>
        <v>400</v>
      </c>
      <c r="BX64" s="58">
        <f>Table1[[#This Row],[Summer 2018 Price Check]]*Table1[[#This Row],[Spring 2019 Students]]</f>
        <v>48720</v>
      </c>
      <c r="BY64" s="31">
        <f t="shared" si="19"/>
        <v>900</v>
      </c>
      <c r="BZ64" s="58">
        <f t="shared" si="20"/>
        <v>109620</v>
      </c>
      <c r="CA64" s="58" t="s">
        <v>130</v>
      </c>
      <c r="CB64" s="21">
        <v>93</v>
      </c>
      <c r="CC64" s="21">
        <v>434</v>
      </c>
      <c r="CD64" s="21">
        <v>434</v>
      </c>
      <c r="CE64" s="21">
        <f t="shared" si="57"/>
        <v>961</v>
      </c>
      <c r="CF64" s="58">
        <v>79.989999999999995</v>
      </c>
      <c r="CG64" s="58">
        <f t="shared" si="22"/>
        <v>76870.39</v>
      </c>
      <c r="CH64" s="17" t="s">
        <v>468</v>
      </c>
      <c r="CI64" s="21">
        <f>IF(Table1[[#This Row],[Check 3 Status]]="Continued", Table1[[#This Row],[Check 3 Students Summer]], 0)</f>
        <v>93</v>
      </c>
      <c r="CJ64" s="58">
        <f>Table1[[#This Row],[Check 3 Per Student Savings]]*CI64</f>
        <v>7439.07</v>
      </c>
      <c r="CK64" s="21">
        <f>IF(Table1[[#This Row],[Check 3 Status]]="Continued", Table1[[#This Row],[Check 3 Students Fall]], 0)</f>
        <v>434</v>
      </c>
      <c r="CL64" s="58">
        <f>Table1[[#This Row],[Check 3 Per Student Savings]]*CK64</f>
        <v>34715.659999999996</v>
      </c>
      <c r="CM64" s="21">
        <f>IF(Table1[[#This Row],[Check 3 Status]]="Continued", Table1[[#This Row],[Check 3 Students Spring]], 0)</f>
        <v>434</v>
      </c>
      <c r="CN64" s="58">
        <f>Table1[[#This Row],[Check 3 Per Student Savings]]*CM64</f>
        <v>34715.659999999996</v>
      </c>
      <c r="CO64" s="21">
        <f t="shared" si="23"/>
        <v>961</v>
      </c>
      <c r="CP64" s="58">
        <f t="shared" si="24"/>
        <v>76870.389999999985</v>
      </c>
      <c r="CQ64" s="58" t="s">
        <v>130</v>
      </c>
      <c r="CR64" s="21">
        <v>93</v>
      </c>
      <c r="CS64" s="21">
        <v>434</v>
      </c>
      <c r="CT64" s="21">
        <v>434</v>
      </c>
      <c r="CU64" s="21">
        <f t="shared" si="25"/>
        <v>961</v>
      </c>
      <c r="CV64" s="58">
        <v>79.989999999999995</v>
      </c>
      <c r="CW64" s="58">
        <f t="shared" si="26"/>
        <v>76870.39</v>
      </c>
      <c r="CX64" s="58"/>
      <c r="CY64" s="21">
        <f>IF(Table1[[#This Row],[Check 4 Status]]="Continued", Table1[[#This Row],[Check 4 Students Summer]], 0)</f>
        <v>93</v>
      </c>
      <c r="CZ64" s="58">
        <f>Table1[[#This Row],[Check 4 Per Student Savings]]*CY64</f>
        <v>7439.07</v>
      </c>
      <c r="DA64" s="21">
        <f>IF(Table1[[#This Row],[Check 4 Status]]="Continued", Table1[[#This Row],[Check 4 Students Fall]], 0)</f>
        <v>434</v>
      </c>
      <c r="DB64" s="58">
        <f>Table1[[#This Row],[Check 4 Per Student Savings]]*DA64</f>
        <v>34715.659999999996</v>
      </c>
      <c r="DC64" s="21">
        <f>IF(Table1[[#This Row],[Check 4 Status]]="Continued", Table1[[#This Row],[Check 4 Students Spring]], 0)</f>
        <v>434</v>
      </c>
      <c r="DD64" s="58">
        <f>Table1[[#This Row],[Check 4 Per Student Savings]]*DC64</f>
        <v>34715.659999999996</v>
      </c>
      <c r="DE64" s="58">
        <f t="shared" si="27"/>
        <v>961</v>
      </c>
      <c r="DF64" s="58">
        <f t="shared" si="28"/>
        <v>76870.389999999985</v>
      </c>
      <c r="DG6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4494</v>
      </c>
      <c r="DH6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397104.05999999994</v>
      </c>
      <c r="DI64" s="58">
        <f>Table1[[#This Row],[Grand Total Savings]]/Table1[[#This Row],[Total Award]]</f>
        <v>18.299726267281102</v>
      </c>
      <c r="DJ64" s="17"/>
      <c r="DK64" s="17"/>
      <c r="DL64" s="17"/>
      <c r="DM64" s="17"/>
      <c r="EC64" s="17"/>
      <c r="ED64" s="17"/>
      <c r="EE64" s="17"/>
      <c r="EF64" s="17"/>
    </row>
    <row r="65" spans="1:136" x14ac:dyDescent="0.25">
      <c r="A65" s="159">
        <v>134</v>
      </c>
      <c r="B65" s="17" t="s">
        <v>2011</v>
      </c>
      <c r="D65" s="97">
        <v>510436</v>
      </c>
      <c r="E65" s="158">
        <v>42338</v>
      </c>
      <c r="F65" s="158">
        <v>42478</v>
      </c>
      <c r="G65" s="159" t="s">
        <v>451</v>
      </c>
      <c r="H65" s="95" t="s">
        <v>9</v>
      </c>
      <c r="I65" s="226" t="s">
        <v>118</v>
      </c>
      <c r="J65" s="17" t="s">
        <v>243</v>
      </c>
      <c r="K65" s="107">
        <v>10800</v>
      </c>
      <c r="L65" s="107"/>
      <c r="M65" s="101" t="s">
        <v>478</v>
      </c>
      <c r="N65" s="101" t="s">
        <v>479</v>
      </c>
      <c r="O65" s="101" t="s">
        <v>480</v>
      </c>
      <c r="P65" s="101" t="s">
        <v>481</v>
      </c>
      <c r="Q65" s="101" t="s">
        <v>482</v>
      </c>
      <c r="R65" s="101" t="s">
        <v>129</v>
      </c>
      <c r="S65" s="101" t="s">
        <v>129</v>
      </c>
      <c r="T65" s="17" t="s">
        <v>129</v>
      </c>
      <c r="U65" s="160" t="s">
        <v>483</v>
      </c>
      <c r="V65" s="93" t="s">
        <v>150</v>
      </c>
      <c r="W65" s="93" t="s">
        <v>127</v>
      </c>
      <c r="X65" s="93" t="s">
        <v>139</v>
      </c>
      <c r="Y65" s="58">
        <v>84000</v>
      </c>
      <c r="Z65" s="17">
        <v>300</v>
      </c>
      <c r="AA65" s="58">
        <f t="shared" si="59"/>
        <v>280</v>
      </c>
      <c r="AB65" s="21">
        <f t="shared" si="71"/>
        <v>100</v>
      </c>
      <c r="AC65" s="21">
        <f t="shared" si="72"/>
        <v>100</v>
      </c>
      <c r="AD65" s="21">
        <f t="shared" si="73"/>
        <v>100</v>
      </c>
      <c r="AE65" s="17" t="s">
        <v>208</v>
      </c>
      <c r="AF65" s="17" t="s">
        <v>129</v>
      </c>
      <c r="AG65" s="17"/>
      <c r="AI65" s="17" t="s">
        <v>130</v>
      </c>
      <c r="AJ65" s="21">
        <v>0</v>
      </c>
      <c r="AK65" s="58">
        <v>0</v>
      </c>
      <c r="AL65" s="21">
        <v>0</v>
      </c>
      <c r="AM65" s="58">
        <f t="shared" si="74"/>
        <v>0</v>
      </c>
      <c r="AN65" s="21">
        <v>0</v>
      </c>
      <c r="AO65" s="58">
        <f t="shared" si="54"/>
        <v>0</v>
      </c>
      <c r="AP65" s="21">
        <f>Table1[[#This Row],[Students Per Fall]]</f>
        <v>100</v>
      </c>
      <c r="AQ65" s="58">
        <f t="shared" si="55"/>
        <v>28000</v>
      </c>
      <c r="AR65" s="21">
        <f>IF(Table1[[#This Row],[Sustainability Check 1 (2017-2018) Status]]="Continued", Table1[[#This Row],[Students Per Spring]], 0)</f>
        <v>100</v>
      </c>
      <c r="AS65" s="58">
        <f t="shared" si="56"/>
        <v>28000</v>
      </c>
      <c r="AT65" s="21">
        <f>AN65+AP65+AR65</f>
        <v>200</v>
      </c>
      <c r="AU65" s="58">
        <f t="shared" si="58"/>
        <v>56000</v>
      </c>
      <c r="AV65" s="21">
        <f>IF(Table1[[#This Row],[Sustainability Check 1 (2017-2018) Status]]="Continued", Table1[[#This Row],[Students Per Summer]], 0)</f>
        <v>100</v>
      </c>
      <c r="AW65" s="58">
        <f t="shared" si="61"/>
        <v>28000</v>
      </c>
      <c r="AX65" s="31">
        <f>IF(Table1[[#This Row],[Sustainability Check 1 (2017-2018) Status]]="Continued", Table1[[#This Row],[Students Per Fall]], 0)</f>
        <v>100</v>
      </c>
      <c r="AY65" s="58">
        <f t="shared" si="62"/>
        <v>28000</v>
      </c>
      <c r="AZ65" s="31">
        <f>IF(Table1[[#This Row],[Sustainability Check 1 (2017-2018) Status]]="Continued", Table1[[#This Row],[Students Per Spring]], 0)</f>
        <v>100</v>
      </c>
      <c r="BA65" s="58">
        <f t="shared" si="63"/>
        <v>28000</v>
      </c>
      <c r="BB65" s="31">
        <f t="shared" si="64"/>
        <v>300</v>
      </c>
      <c r="BC65" s="58">
        <f t="shared" si="65"/>
        <v>84000</v>
      </c>
      <c r="BD65" s="31">
        <f>IF(Table1[[#This Row],[Sustainability Check 1 (2017-2018) Status]]="Continued", Table1[[#This Row],[Students Per Summer]], 0)</f>
        <v>100</v>
      </c>
      <c r="BE65" s="58">
        <f t="shared" si="66"/>
        <v>28000</v>
      </c>
      <c r="BF65" s="31">
        <f>IF(Table1[[#This Row],[Sustainability Check 1 (2017-2018) Status]]="Continued", Table1[[#This Row],[Students Per Fall]], 0)</f>
        <v>100</v>
      </c>
      <c r="BG65" s="58">
        <f t="shared" si="67"/>
        <v>28000</v>
      </c>
      <c r="BH65" s="31">
        <f>IF(Table1[[#This Row],[Sustainability Check 1 (2017-2018) Status]]="Continued", Table1[[#This Row],[Students Per Spring]], 0)</f>
        <v>100</v>
      </c>
      <c r="BI65" s="58">
        <f t="shared" si="68"/>
        <v>28000</v>
      </c>
      <c r="BJ65" s="31">
        <f t="shared" si="69"/>
        <v>300</v>
      </c>
      <c r="BK65" s="58">
        <f t="shared" si="70"/>
        <v>84000</v>
      </c>
      <c r="BL65" s="58" t="s">
        <v>130</v>
      </c>
      <c r="BM65" s="31">
        <v>20</v>
      </c>
      <c r="BN65" s="31">
        <v>120</v>
      </c>
      <c r="BO65" s="31">
        <v>120</v>
      </c>
      <c r="BP65" s="31">
        <f t="shared" si="75"/>
        <v>260</v>
      </c>
      <c r="BQ65" s="96">
        <v>303.93</v>
      </c>
      <c r="BR65" s="58">
        <f>Table1[[#This Row],[Check 2 Students Total]]*Table1[[#This Row],[Summer 2018 Price Check]]</f>
        <v>79021.8</v>
      </c>
      <c r="BS65" s="31">
        <f>IF(Table1[[#This Row],[Sustainability Check 2 (2018-2019) Status]]="Continued", Table1[[#This Row],[Check 2 Students Summer]], 0)</f>
        <v>20</v>
      </c>
      <c r="BT65" s="58">
        <f>Table1[[#This Row],[Summer 2018 Price Check]]*BS65</f>
        <v>6078.6</v>
      </c>
      <c r="BU65" s="31">
        <f>IF(Table1[[#This Row],[Sustainability Check 2 (2018-2019) Status]]="Continued", Table1[[#This Row],[Check 2 Students Fall]], 0)</f>
        <v>120</v>
      </c>
      <c r="BV65" s="58">
        <f>Table1[[#This Row],[Summer 2018 Price Check]]*BU65</f>
        <v>36471.599999999999</v>
      </c>
      <c r="BW65" s="21">
        <f>IF(Table1[[#This Row],[Sustainability Check 2 (2018-2019) Status]]="Continued", Table1[Check 2 Students Spring], 0)</f>
        <v>120</v>
      </c>
      <c r="BX65" s="58">
        <f>Table1[[#This Row],[Summer 2018 Price Check]]*Table1[[#This Row],[Spring 2019 Students]]</f>
        <v>36471.599999999999</v>
      </c>
      <c r="BY65" s="31">
        <f t="shared" si="19"/>
        <v>260</v>
      </c>
      <c r="BZ65" s="58">
        <f t="shared" si="20"/>
        <v>79021.799999999988</v>
      </c>
      <c r="CA65" s="58" t="s">
        <v>130</v>
      </c>
      <c r="CB65" s="21">
        <v>32</v>
      </c>
      <c r="CC65" s="21">
        <v>120</v>
      </c>
      <c r="CD65" s="21">
        <v>120</v>
      </c>
      <c r="CE65" s="21">
        <f t="shared" si="57"/>
        <v>272</v>
      </c>
      <c r="CF65" s="58">
        <v>229</v>
      </c>
      <c r="CG65" s="58">
        <f t="shared" si="22"/>
        <v>62288</v>
      </c>
      <c r="CH65" s="17" t="s">
        <v>208</v>
      </c>
      <c r="CI65" s="21">
        <f>IF(Table1[[#This Row],[Check 3 Status]]="Continued", Table1[[#This Row],[Check 3 Students Summer]], 0)</f>
        <v>32</v>
      </c>
      <c r="CJ65" s="58">
        <f>Table1[[#This Row],[Check 3 Per Student Savings]]*CI65</f>
        <v>7328</v>
      </c>
      <c r="CK65" s="21">
        <f>IF(Table1[[#This Row],[Check 3 Status]]="Continued", Table1[[#This Row],[Check 3 Students Fall]], 0)</f>
        <v>120</v>
      </c>
      <c r="CL65" s="58">
        <f>Table1[[#This Row],[Check 3 Per Student Savings]]*CK65</f>
        <v>27480</v>
      </c>
      <c r="CM65" s="21">
        <f>IF(Table1[[#This Row],[Check 3 Status]]="Continued", Table1[[#This Row],[Check 3 Students Spring]], 0)</f>
        <v>120</v>
      </c>
      <c r="CN65" s="58">
        <f>Table1[[#This Row],[Check 3 Per Student Savings]]*CM65</f>
        <v>27480</v>
      </c>
      <c r="CO65" s="21">
        <f t="shared" si="23"/>
        <v>272</v>
      </c>
      <c r="CP65" s="58">
        <f t="shared" si="24"/>
        <v>62288</v>
      </c>
      <c r="CQ65" s="58" t="s">
        <v>142</v>
      </c>
      <c r="CR65" s="21">
        <v>32</v>
      </c>
      <c r="CS65" s="21">
        <v>120</v>
      </c>
      <c r="CT65" s="21">
        <v>120</v>
      </c>
      <c r="CU65" s="21">
        <v>0</v>
      </c>
      <c r="CV65" s="58">
        <v>0</v>
      </c>
      <c r="CW65" s="58">
        <f t="shared" si="26"/>
        <v>0</v>
      </c>
      <c r="CX65" s="58"/>
      <c r="CY65" s="21">
        <f>IF(Table1[[#This Row],[Check 4 Status]]="Continued", Table1[[#This Row],[Check 4 Students Summer]], 0)</f>
        <v>0</v>
      </c>
      <c r="CZ65" s="58">
        <f>Table1[[#This Row],[Check 4 Per Student Savings]]*CY65</f>
        <v>0</v>
      </c>
      <c r="DA65" s="21">
        <f>IF(Table1[[#This Row],[Check 4 Status]]="Continued", Table1[[#This Row],[Check 4 Students Fall]], 0)</f>
        <v>0</v>
      </c>
      <c r="DB65" s="58">
        <f>Table1[[#This Row],[Check 4 Per Student Savings]]*DA65</f>
        <v>0</v>
      </c>
      <c r="DC65" s="21">
        <f>IF(Table1[[#This Row],[Check 4 Status]]="Continued", Table1[[#This Row],[Check 4 Students Spring]], 0)</f>
        <v>0</v>
      </c>
      <c r="DD65" s="58">
        <f>Table1[[#This Row],[Check 4 Per Student Savings]]*DC65</f>
        <v>0</v>
      </c>
      <c r="DE65" s="58">
        <f t="shared" si="27"/>
        <v>0</v>
      </c>
      <c r="DF65" s="58">
        <f t="shared" si="28"/>
        <v>0</v>
      </c>
      <c r="DG6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1332</v>
      </c>
      <c r="DH6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365309.8</v>
      </c>
      <c r="DI65" s="58">
        <f>Table1[[#This Row],[Grand Total Savings]]/Table1[[#This Row],[Total Award]]</f>
        <v>33.82498148148148</v>
      </c>
      <c r="DJ65" s="17"/>
      <c r="DK65" s="17"/>
      <c r="DL65" s="17"/>
      <c r="DM65" s="17"/>
      <c r="EC65" s="17"/>
      <c r="ED65" s="17"/>
      <c r="EE65" s="17"/>
      <c r="EF65" s="17"/>
    </row>
    <row r="66" spans="1:136" x14ac:dyDescent="0.25">
      <c r="A66" s="159">
        <v>135</v>
      </c>
      <c r="B66" s="17" t="s">
        <v>2011</v>
      </c>
      <c r="D66" s="97">
        <v>510479</v>
      </c>
      <c r="E66" s="158">
        <v>42299</v>
      </c>
      <c r="F66" s="158">
        <v>42478</v>
      </c>
      <c r="G66" s="159" t="s">
        <v>451</v>
      </c>
      <c r="H66" s="95" t="s">
        <v>9</v>
      </c>
      <c r="I66" s="226" t="s">
        <v>118</v>
      </c>
      <c r="J66" s="17" t="s">
        <v>250</v>
      </c>
      <c r="K66" s="107">
        <v>10800</v>
      </c>
      <c r="L66" s="107"/>
      <c r="M66" s="101" t="s">
        <v>484</v>
      </c>
      <c r="N66" s="101" t="s">
        <v>485</v>
      </c>
      <c r="O66" s="101" t="s">
        <v>486</v>
      </c>
      <c r="P66" s="101" t="s">
        <v>487</v>
      </c>
      <c r="Q66" s="101" t="s">
        <v>488</v>
      </c>
      <c r="R66" s="101" t="s">
        <v>486</v>
      </c>
      <c r="S66" s="163" t="s">
        <v>36</v>
      </c>
      <c r="T66" s="17" t="s">
        <v>129</v>
      </c>
      <c r="U66" s="160" t="s">
        <v>489</v>
      </c>
      <c r="V66" s="93" t="s">
        <v>150</v>
      </c>
      <c r="W66" s="93" t="s">
        <v>150</v>
      </c>
      <c r="X66" s="93" t="s">
        <v>150</v>
      </c>
      <c r="Y66" s="58">
        <v>16020</v>
      </c>
      <c r="Z66" s="17">
        <v>90</v>
      </c>
      <c r="AA66" s="58">
        <f t="shared" si="59"/>
        <v>178</v>
      </c>
      <c r="AB66" s="21">
        <f t="shared" si="71"/>
        <v>30</v>
      </c>
      <c r="AC66" s="21">
        <f t="shared" si="72"/>
        <v>30</v>
      </c>
      <c r="AD66" s="21">
        <f t="shared" si="73"/>
        <v>30</v>
      </c>
      <c r="AE66" s="17" t="s">
        <v>208</v>
      </c>
      <c r="AF66" s="17" t="s">
        <v>129</v>
      </c>
      <c r="AG66" s="17"/>
      <c r="AI66" s="17" t="s">
        <v>141</v>
      </c>
      <c r="AJ66" s="21">
        <v>0</v>
      </c>
      <c r="AK66" s="58">
        <v>0</v>
      </c>
      <c r="AL66" s="21">
        <v>0</v>
      </c>
      <c r="AM66" s="58">
        <f t="shared" si="74"/>
        <v>0</v>
      </c>
      <c r="AN66" s="21">
        <v>0</v>
      </c>
      <c r="AO66" s="58">
        <f t="shared" ref="AO66:AO97" si="76">$AA66*AN66</f>
        <v>0</v>
      </c>
      <c r="AP66" s="21">
        <f>Table1[[#This Row],[Students Per Fall]]</f>
        <v>30</v>
      </c>
      <c r="AQ66" s="58">
        <f t="shared" ref="AQ66:AQ97" si="77">$AA66*AP66</f>
        <v>5340</v>
      </c>
      <c r="AR66" s="21">
        <f>IF(Table1[[#This Row],[Sustainability Check 1 (2017-2018) Status]]="Continued", Table1[[#This Row],[Students Per Spring]], 0)</f>
        <v>0</v>
      </c>
      <c r="AS66" s="58">
        <f t="shared" ref="AS66:AS97" si="78">$AA66*AR66</f>
        <v>0</v>
      </c>
      <c r="AT66" s="21">
        <f>AN66+AP66+AR66</f>
        <v>30</v>
      </c>
      <c r="AU66" s="58">
        <f t="shared" si="58"/>
        <v>5340</v>
      </c>
      <c r="AV66" s="21">
        <f>IF(Table1[[#This Row],[Sustainability Check 1 (2017-2018) Status]]="Continued", Table1[[#This Row],[Students Per Summer]], 0)</f>
        <v>0</v>
      </c>
      <c r="AW66" s="58">
        <f t="shared" si="61"/>
        <v>0</v>
      </c>
      <c r="AX66" s="31">
        <f>IF(Table1[[#This Row],[Sustainability Check 1 (2017-2018) Status]]="Continued", Table1[[#This Row],[Students Per Fall]], 0)</f>
        <v>0</v>
      </c>
      <c r="AY66" s="58">
        <f t="shared" si="62"/>
        <v>0</v>
      </c>
      <c r="AZ66" s="31">
        <f>IF(Table1[[#This Row],[Sustainability Check 1 (2017-2018) Status]]="Continued", Table1[[#This Row],[Students Per Spring]], 0)</f>
        <v>0</v>
      </c>
      <c r="BA66" s="58">
        <f t="shared" si="63"/>
        <v>0</v>
      </c>
      <c r="BB66" s="31">
        <f t="shared" si="64"/>
        <v>0</v>
      </c>
      <c r="BC66" s="58">
        <f t="shared" si="65"/>
        <v>0</v>
      </c>
      <c r="BD66" s="31">
        <f>IF(Table1[[#This Row],[Sustainability Check 1 (2017-2018) Status]]="Continued", Table1[[#This Row],[Students Per Summer]], 0)</f>
        <v>0</v>
      </c>
      <c r="BE66" s="58">
        <f t="shared" si="66"/>
        <v>0</v>
      </c>
      <c r="BF66" s="31">
        <f>IF(Table1[[#This Row],[Sustainability Check 1 (2017-2018) Status]]="Continued", Table1[[#This Row],[Students Per Fall]], 0)</f>
        <v>0</v>
      </c>
      <c r="BG66" s="58">
        <f t="shared" si="67"/>
        <v>0</v>
      </c>
      <c r="BH66" s="31">
        <f>IF(Table1[[#This Row],[Sustainability Check 1 (2017-2018) Status]]="Continued", Table1[[#This Row],[Students Per Spring]], 0)</f>
        <v>0</v>
      </c>
      <c r="BI66" s="58">
        <f t="shared" si="68"/>
        <v>0</v>
      </c>
      <c r="BJ66" s="31">
        <f t="shared" si="69"/>
        <v>0</v>
      </c>
      <c r="BK66" s="58">
        <f t="shared" si="70"/>
        <v>0</v>
      </c>
      <c r="BL66" s="58" t="s">
        <v>141</v>
      </c>
      <c r="BM66" s="31">
        <v>0</v>
      </c>
      <c r="BN66" s="31">
        <v>0</v>
      </c>
      <c r="BO66" s="31">
        <v>0</v>
      </c>
      <c r="BP66" s="31">
        <f t="shared" si="75"/>
        <v>0</v>
      </c>
      <c r="BQ66" s="96">
        <v>134.19999999999999</v>
      </c>
      <c r="BR66" s="58">
        <f>Table1[[#This Row],[Check 2 Students Total]]*Table1[[#This Row],[Summer 2018 Price Check]]</f>
        <v>0</v>
      </c>
      <c r="BS66" s="31">
        <f>IF(Table1[[#This Row],[Sustainability Check 2 (2018-2019) Status]]="Continued", Table1[[#This Row],[Check 2 Students Summer]], 0)</f>
        <v>0</v>
      </c>
      <c r="BT66" s="58">
        <f>Table1[[#This Row],[Summer 2018 Price Check]]*BS66</f>
        <v>0</v>
      </c>
      <c r="BU66" s="31">
        <f>IF(Table1[[#This Row],[Sustainability Check 2 (2018-2019) Status]]="Continued", Table1[[#This Row],[Check 2 Students Fall]], 0)</f>
        <v>0</v>
      </c>
      <c r="BV66" s="58">
        <f>Table1[[#This Row],[Summer 2018 Price Check]]*BU66</f>
        <v>0</v>
      </c>
      <c r="BW66" s="21">
        <f>IF(Table1[[#This Row],[Sustainability Check 2 (2018-2019) Status]]="Continued", Table1[Check 2 Students Spring], 0)</f>
        <v>0</v>
      </c>
      <c r="BX66" s="58">
        <f>Table1[[#This Row],[Summer 2018 Price Check]]*Table1[[#This Row],[Spring 2019 Students]]</f>
        <v>0</v>
      </c>
      <c r="BY66" s="31">
        <f t="shared" ref="BY66:BY129" si="79">BS66+BU66+BW66</f>
        <v>0</v>
      </c>
      <c r="BZ66" s="58">
        <f t="shared" ref="BZ66:BZ129" si="80">BT66+BV66+BX66</f>
        <v>0</v>
      </c>
      <c r="CA66" s="58" t="s">
        <v>142</v>
      </c>
      <c r="CB66" s="21">
        <v>0</v>
      </c>
      <c r="CC66" s="21">
        <v>0</v>
      </c>
      <c r="CD66" s="21">
        <v>0</v>
      </c>
      <c r="CE66" s="21">
        <v>0</v>
      </c>
      <c r="CF66" s="58">
        <v>0</v>
      </c>
      <c r="CG66" s="58">
        <f t="shared" ref="CG66:CG129" si="81">(CE66*CF66)</f>
        <v>0</v>
      </c>
      <c r="CH66" s="17" t="s">
        <v>208</v>
      </c>
      <c r="CI66" s="21">
        <f>IF(Table1[[#This Row],[Check 3 Status]]="Continued", Table1[[#This Row],[Check 3 Students Summer]], 0)</f>
        <v>0</v>
      </c>
      <c r="CJ66" s="58">
        <f>Table1[[#This Row],[Check 3 Per Student Savings]]*CI66</f>
        <v>0</v>
      </c>
      <c r="CK66" s="21">
        <f>IF(Table1[[#This Row],[Check 3 Status]]="Continued", Table1[[#This Row],[Check 3 Students Fall]], 0)</f>
        <v>0</v>
      </c>
      <c r="CL66" s="58">
        <f>Table1[[#This Row],[Check 3 Per Student Savings]]*CK66</f>
        <v>0</v>
      </c>
      <c r="CM66" s="21">
        <f>IF(Table1[[#This Row],[Check 3 Status]]="Continued", Table1[[#This Row],[Check 3 Students Spring]], 0)</f>
        <v>0</v>
      </c>
      <c r="CN66" s="58">
        <f>Table1[[#This Row],[Check 3 Per Student Savings]]*CM66</f>
        <v>0</v>
      </c>
      <c r="CO66" s="21">
        <f t="shared" ref="CO66:CO129" si="82">CI66+CK66+CM66</f>
        <v>0</v>
      </c>
      <c r="CP66" s="58">
        <f t="shared" ref="CP66:CP129" si="83">CJ66+CL66+CN66</f>
        <v>0</v>
      </c>
      <c r="CQ66" s="58" t="s">
        <v>142</v>
      </c>
      <c r="CR66" s="21">
        <v>0</v>
      </c>
      <c r="CS66" s="21">
        <v>0</v>
      </c>
      <c r="CT66" s="21">
        <v>0</v>
      </c>
      <c r="CU66" s="21">
        <f t="shared" ref="CU66:CU129" si="84">CR66+CS66+CT66</f>
        <v>0</v>
      </c>
      <c r="CV66" s="58">
        <v>0</v>
      </c>
      <c r="CW66" s="58">
        <f t="shared" ref="CW66:CW129" si="85">CU66*CV66</f>
        <v>0</v>
      </c>
      <c r="CX66" s="58"/>
      <c r="CY66" s="21">
        <f>IF(Table1[[#This Row],[Check 4 Status]]="Continued", Table1[[#This Row],[Check 4 Students Summer]], 0)</f>
        <v>0</v>
      </c>
      <c r="CZ66" s="58">
        <f>Table1[[#This Row],[Check 4 Per Student Savings]]*CY66</f>
        <v>0</v>
      </c>
      <c r="DA66" s="21">
        <f>IF(Table1[[#This Row],[Check 4 Status]]="Continued", Table1[[#This Row],[Check 4 Students Fall]], 0)</f>
        <v>0</v>
      </c>
      <c r="DB66" s="58">
        <f>Table1[[#This Row],[Check 4 Per Student Savings]]*DA66</f>
        <v>0</v>
      </c>
      <c r="DC66" s="21">
        <f>IF(Table1[[#This Row],[Check 4 Status]]="Continued", Table1[[#This Row],[Check 4 Students Spring]], 0)</f>
        <v>0</v>
      </c>
      <c r="DD66" s="58">
        <f>Table1[[#This Row],[Check 4 Per Student Savings]]*DC66</f>
        <v>0</v>
      </c>
      <c r="DE66" s="58">
        <f t="shared" ref="DE66:DE129" si="86">CY66+DA66+DC66</f>
        <v>0</v>
      </c>
      <c r="DF66" s="58">
        <f t="shared" ref="DF66:DF129" si="87">CZ66+DB66+DD66</f>
        <v>0</v>
      </c>
      <c r="DG6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30</v>
      </c>
      <c r="DH6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5340</v>
      </c>
      <c r="DI66" s="58">
        <f>Table1[[#This Row],[Grand Total Savings]]/Table1[[#This Row],[Total Award]]</f>
        <v>0.49444444444444446</v>
      </c>
      <c r="DJ66" s="17"/>
      <c r="DK66" s="17"/>
      <c r="DL66" s="17"/>
      <c r="DM66" s="17"/>
      <c r="EC66" s="17"/>
      <c r="ED66" s="17"/>
      <c r="EE66" s="17"/>
      <c r="EF66" s="17"/>
    </row>
    <row r="67" spans="1:136" x14ac:dyDescent="0.25">
      <c r="A67" s="159">
        <v>136</v>
      </c>
      <c r="B67" s="17" t="s">
        <v>2011</v>
      </c>
      <c r="D67" s="97">
        <v>510437</v>
      </c>
      <c r="E67" s="158">
        <v>42292</v>
      </c>
      <c r="F67" s="158">
        <v>42886</v>
      </c>
      <c r="G67" s="159" t="s">
        <v>451</v>
      </c>
      <c r="H67" s="95" t="s">
        <v>9</v>
      </c>
      <c r="I67" s="226" t="s">
        <v>118</v>
      </c>
      <c r="J67" s="17" t="s">
        <v>132</v>
      </c>
      <c r="K67" s="107">
        <v>16450</v>
      </c>
      <c r="L67" s="107"/>
      <c r="M67" s="101" t="s">
        <v>490</v>
      </c>
      <c r="N67" s="101" t="s">
        <v>491</v>
      </c>
      <c r="O67" s="101" t="s">
        <v>492</v>
      </c>
      <c r="P67" s="101" t="s">
        <v>493</v>
      </c>
      <c r="Q67" s="101" t="s">
        <v>234</v>
      </c>
      <c r="R67" s="101" t="s">
        <v>129</v>
      </c>
      <c r="S67" s="101" t="s">
        <v>129</v>
      </c>
      <c r="T67" s="17" t="s">
        <v>129</v>
      </c>
      <c r="U67" s="101" t="s">
        <v>157</v>
      </c>
      <c r="V67" s="93" t="s">
        <v>150</v>
      </c>
      <c r="W67" s="93" t="s">
        <v>150</v>
      </c>
      <c r="X67" s="93" t="s">
        <v>150</v>
      </c>
      <c r="Y67" s="58">
        <v>112492.8</v>
      </c>
      <c r="Z67" s="17">
        <v>640</v>
      </c>
      <c r="AA67" s="58">
        <f t="shared" si="59"/>
        <v>175.77</v>
      </c>
      <c r="AB67" s="21">
        <f t="shared" si="71"/>
        <v>213.33333333333334</v>
      </c>
      <c r="AC67" s="21">
        <f t="shared" si="72"/>
        <v>213.33333333333334</v>
      </c>
      <c r="AD67" s="21">
        <f t="shared" si="73"/>
        <v>213.33333333333334</v>
      </c>
      <c r="AE67" s="17" t="s">
        <v>194</v>
      </c>
      <c r="AF67" s="17" t="s">
        <v>129</v>
      </c>
      <c r="AG67" s="17"/>
      <c r="AI67" s="17" t="s">
        <v>130</v>
      </c>
      <c r="AJ67" s="21">
        <v>0</v>
      </c>
      <c r="AK67" s="58">
        <v>0</v>
      </c>
      <c r="AL67" s="21">
        <v>0</v>
      </c>
      <c r="AM67" s="58">
        <f t="shared" si="74"/>
        <v>0</v>
      </c>
      <c r="AN67" s="21">
        <v>0</v>
      </c>
      <c r="AO67" s="58">
        <f t="shared" si="76"/>
        <v>0</v>
      </c>
      <c r="AP67" s="21">
        <v>0</v>
      </c>
      <c r="AQ67" s="58">
        <f t="shared" si="77"/>
        <v>0</v>
      </c>
      <c r="AR67" s="21">
        <f>Table1[[#This Row],[Students Per Spring]]</f>
        <v>213.33333333333334</v>
      </c>
      <c r="AS67" s="58">
        <f t="shared" si="78"/>
        <v>37497.600000000006</v>
      </c>
      <c r="AT67" s="21">
        <f>AN67+AP67+AR67</f>
        <v>213.33333333333334</v>
      </c>
      <c r="AU67" s="58">
        <f t="shared" si="58"/>
        <v>37497.600000000006</v>
      </c>
      <c r="AV67" s="21">
        <f>IF(Table1[[#This Row],[Sustainability Check 1 (2017-2018) Status]]="Continued", Table1[[#This Row],[Students Per Summer]], 0)</f>
        <v>213.33333333333334</v>
      </c>
      <c r="AW67" s="58">
        <f t="shared" si="61"/>
        <v>37497.600000000006</v>
      </c>
      <c r="AX67" s="31">
        <f>IF(Table1[[#This Row],[Sustainability Check 1 (2017-2018) Status]]="Continued", Table1[[#This Row],[Students Per Fall]], 0)</f>
        <v>213.33333333333334</v>
      </c>
      <c r="AY67" s="58">
        <f t="shared" si="62"/>
        <v>37497.600000000006</v>
      </c>
      <c r="AZ67" s="31">
        <f>IF(Table1[[#This Row],[Sustainability Check 1 (2017-2018) Status]]="Continued", Table1[[#This Row],[Students Per Spring]], 0)</f>
        <v>213.33333333333334</v>
      </c>
      <c r="BA67" s="58">
        <f t="shared" si="63"/>
        <v>37497.600000000006</v>
      </c>
      <c r="BB67" s="31">
        <f t="shared" si="64"/>
        <v>640</v>
      </c>
      <c r="BC67" s="58">
        <f t="shared" si="65"/>
        <v>112492.80000000002</v>
      </c>
      <c r="BD67" s="31">
        <f>IF(Table1[[#This Row],[Sustainability Check 1 (2017-2018) Status]]="Continued", Table1[[#This Row],[Students Per Summer]], 0)</f>
        <v>213.33333333333334</v>
      </c>
      <c r="BE67" s="58">
        <f t="shared" si="66"/>
        <v>37497.600000000006</v>
      </c>
      <c r="BF67" s="31">
        <f>IF(Table1[[#This Row],[Sustainability Check 1 (2017-2018) Status]]="Continued", Table1[[#This Row],[Students Per Fall]], 0)</f>
        <v>213.33333333333334</v>
      </c>
      <c r="BG67" s="58">
        <f t="shared" si="67"/>
        <v>37497.600000000006</v>
      </c>
      <c r="BH67" s="31">
        <f>IF(Table1[[#This Row],[Sustainability Check 1 (2017-2018) Status]]="Continued", Table1[[#This Row],[Students Per Spring]], 0)</f>
        <v>213.33333333333334</v>
      </c>
      <c r="BI67" s="58">
        <f t="shared" si="68"/>
        <v>37497.600000000006</v>
      </c>
      <c r="BJ67" s="31">
        <f t="shared" si="69"/>
        <v>640</v>
      </c>
      <c r="BK67" s="58">
        <f t="shared" si="70"/>
        <v>112492.80000000002</v>
      </c>
      <c r="BL67" s="58" t="s">
        <v>142</v>
      </c>
      <c r="BM67" s="31">
        <v>0</v>
      </c>
      <c r="BN67" s="31">
        <v>0</v>
      </c>
      <c r="BO67" s="31">
        <v>0</v>
      </c>
      <c r="BP67" s="31">
        <f t="shared" si="75"/>
        <v>0</v>
      </c>
      <c r="BQ67" s="58">
        <v>204.43</v>
      </c>
      <c r="BR67" s="58">
        <f>Table1[[#This Row],[Check 2 Students Total]]*Table1[[#This Row],[Summer 2018 Price Check]]</f>
        <v>0</v>
      </c>
      <c r="BS67" s="31">
        <f>IF(Table1[[#This Row],[Sustainability Check 2 (2018-2019) Status]]="Continued", Table1[[#This Row],[Check 2 Students Summer]], 0)</f>
        <v>0</v>
      </c>
      <c r="BT67" s="58">
        <f>Table1[[#This Row],[Summer 2018 Price Check]]*BS67</f>
        <v>0</v>
      </c>
      <c r="BU67" s="31">
        <f>IF(Table1[[#This Row],[Sustainability Check 2 (2018-2019) Status]]="Continued", Table1[[#This Row],[Check 2 Students Fall]], 0)</f>
        <v>0</v>
      </c>
      <c r="BV67" s="58">
        <f>Table1[[#This Row],[Summer 2018 Price Check]]*BU67</f>
        <v>0</v>
      </c>
      <c r="BW67" s="21">
        <f>IF(Table1[[#This Row],[Sustainability Check 2 (2018-2019) Status]]="Continued", Table1[Check 2 Students Spring], 0)</f>
        <v>0</v>
      </c>
      <c r="BX67" s="58">
        <f>Table1[[#This Row],[Summer 2018 Price Check]]*Table1[[#This Row],[Spring 2019 Students]]</f>
        <v>0</v>
      </c>
      <c r="BY67" s="31">
        <f t="shared" si="79"/>
        <v>0</v>
      </c>
      <c r="BZ67" s="58">
        <f t="shared" si="80"/>
        <v>0</v>
      </c>
      <c r="CA67" s="58" t="s">
        <v>142</v>
      </c>
      <c r="CB67" s="21">
        <v>0</v>
      </c>
      <c r="CC67" s="21">
        <v>0</v>
      </c>
      <c r="CD67" s="21">
        <v>0</v>
      </c>
      <c r="CE67" s="21">
        <f t="shared" ref="CE67:CE97" si="88">CB67+CC67+CD67</f>
        <v>0</v>
      </c>
      <c r="CF67" s="58">
        <v>0</v>
      </c>
      <c r="CG67" s="58">
        <f t="shared" si="81"/>
        <v>0</v>
      </c>
      <c r="CH67" s="17" t="s">
        <v>194</v>
      </c>
      <c r="CI67" s="21">
        <f>IF(Table1[[#This Row],[Check 3 Status]]="Continued", Table1[[#This Row],[Check 3 Students Summer]], 0)</f>
        <v>0</v>
      </c>
      <c r="CJ67" s="58">
        <f>Table1[[#This Row],[Check 3 Per Student Savings]]*CI67</f>
        <v>0</v>
      </c>
      <c r="CK67" s="21">
        <f>IF(Table1[[#This Row],[Check 3 Status]]="Continued", Table1[[#This Row],[Check 3 Students Fall]], 0)</f>
        <v>0</v>
      </c>
      <c r="CL67" s="58">
        <f>Table1[[#This Row],[Check 3 Per Student Savings]]*CK67</f>
        <v>0</v>
      </c>
      <c r="CM67" s="21">
        <f>IF(Table1[[#This Row],[Check 3 Status]]="Continued", Table1[[#This Row],[Check 3 Students Spring]], 0)</f>
        <v>0</v>
      </c>
      <c r="CN67" s="58">
        <f>Table1[[#This Row],[Check 3 Per Student Savings]]*CM67</f>
        <v>0</v>
      </c>
      <c r="CO67" s="21">
        <f t="shared" si="82"/>
        <v>0</v>
      </c>
      <c r="CP67" s="58">
        <f t="shared" si="83"/>
        <v>0</v>
      </c>
      <c r="CQ67" s="58" t="s">
        <v>142</v>
      </c>
      <c r="CR67" s="21">
        <v>0</v>
      </c>
      <c r="CS67" s="21">
        <v>0</v>
      </c>
      <c r="CT67" s="21">
        <v>0</v>
      </c>
      <c r="CU67" s="21">
        <f t="shared" si="84"/>
        <v>0</v>
      </c>
      <c r="CV67" s="58">
        <v>0</v>
      </c>
      <c r="CW67" s="58">
        <f t="shared" si="85"/>
        <v>0</v>
      </c>
      <c r="CX67" s="58"/>
      <c r="CY67" s="21">
        <f>IF(Table1[[#This Row],[Check 4 Status]]="Continued", Table1[[#This Row],[Check 4 Students Summer]], 0)</f>
        <v>0</v>
      </c>
      <c r="CZ67" s="58">
        <f>Table1[[#This Row],[Check 4 Per Student Savings]]*CY67</f>
        <v>0</v>
      </c>
      <c r="DA67" s="21">
        <f>IF(Table1[[#This Row],[Check 4 Status]]="Continued", Table1[[#This Row],[Check 4 Students Fall]], 0)</f>
        <v>0</v>
      </c>
      <c r="DB67" s="58">
        <f>Table1[[#This Row],[Check 4 Per Student Savings]]*DA67</f>
        <v>0</v>
      </c>
      <c r="DC67" s="21">
        <f>IF(Table1[[#This Row],[Check 4 Status]]="Continued", Table1[[#This Row],[Check 4 Students Spring]], 0)</f>
        <v>0</v>
      </c>
      <c r="DD67" s="58">
        <f>Table1[[#This Row],[Check 4 Per Student Savings]]*DC67</f>
        <v>0</v>
      </c>
      <c r="DE67" s="58">
        <f t="shared" si="86"/>
        <v>0</v>
      </c>
      <c r="DF67" s="58">
        <f t="shared" si="87"/>
        <v>0</v>
      </c>
      <c r="DG6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1493.3333333333335</v>
      </c>
      <c r="DH6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262483.20000000007</v>
      </c>
      <c r="DI67" s="58">
        <f>Table1[[#This Row],[Grand Total Savings]]/Table1[[#This Row],[Total Award]]</f>
        <v>15.956425531914897</v>
      </c>
      <c r="DJ67" s="17"/>
      <c r="DK67" s="17"/>
      <c r="DL67" s="17"/>
      <c r="DM67" s="17"/>
      <c r="EC67" s="17"/>
      <c r="ED67" s="17"/>
      <c r="EE67" s="17"/>
      <c r="EF67" s="17"/>
    </row>
    <row r="68" spans="1:136" x14ac:dyDescent="0.25">
      <c r="A68" s="159">
        <v>137</v>
      </c>
      <c r="B68" s="17" t="s">
        <v>2011</v>
      </c>
      <c r="D68" s="97">
        <v>510438</v>
      </c>
      <c r="E68" s="158">
        <v>42290</v>
      </c>
      <c r="F68" s="158">
        <v>42886</v>
      </c>
      <c r="G68" s="159" t="s">
        <v>451</v>
      </c>
      <c r="H68" s="95" t="s">
        <v>9</v>
      </c>
      <c r="I68" s="226" t="s">
        <v>118</v>
      </c>
      <c r="J68" s="17" t="s">
        <v>132</v>
      </c>
      <c r="K68" s="107">
        <v>30000</v>
      </c>
      <c r="L68" s="107"/>
      <c r="M68" s="101" t="s">
        <v>494</v>
      </c>
      <c r="N68" s="101" t="s">
        <v>495</v>
      </c>
      <c r="O68" s="101" t="s">
        <v>496</v>
      </c>
      <c r="P68" s="101" t="s">
        <v>497</v>
      </c>
      <c r="Q68" s="101" t="s">
        <v>467</v>
      </c>
      <c r="R68" s="101" t="s">
        <v>129</v>
      </c>
      <c r="S68" s="160" t="s">
        <v>36</v>
      </c>
      <c r="T68" s="17" t="s">
        <v>129</v>
      </c>
      <c r="U68" s="101" t="s">
        <v>287</v>
      </c>
      <c r="V68" s="93" t="s">
        <v>150</v>
      </c>
      <c r="W68" s="93" t="s">
        <v>127</v>
      </c>
      <c r="X68" s="93" t="s">
        <v>127</v>
      </c>
      <c r="Y68" s="58">
        <v>60894.75</v>
      </c>
      <c r="Z68" s="17">
        <v>525</v>
      </c>
      <c r="AA68" s="58">
        <f t="shared" si="59"/>
        <v>115.99</v>
      </c>
      <c r="AB68" s="21">
        <f t="shared" si="71"/>
        <v>175</v>
      </c>
      <c r="AC68" s="21">
        <f t="shared" si="72"/>
        <v>175</v>
      </c>
      <c r="AD68" s="21">
        <f t="shared" si="73"/>
        <v>175</v>
      </c>
      <c r="AE68" s="17" t="s">
        <v>468</v>
      </c>
      <c r="AF68" s="17" t="s">
        <v>125</v>
      </c>
      <c r="AG68" s="17">
        <v>486</v>
      </c>
      <c r="AH68" s="17" t="s">
        <v>498</v>
      </c>
      <c r="AI68" s="17" t="s">
        <v>130</v>
      </c>
      <c r="AJ68" s="21">
        <v>0</v>
      </c>
      <c r="AK68" s="58">
        <v>0</v>
      </c>
      <c r="AL68" s="21">
        <v>0</v>
      </c>
      <c r="AM68" s="58">
        <f t="shared" si="74"/>
        <v>0</v>
      </c>
      <c r="AN68" s="21">
        <v>0</v>
      </c>
      <c r="AO68" s="58">
        <f t="shared" si="76"/>
        <v>0</v>
      </c>
      <c r="AP68" s="21">
        <v>0</v>
      </c>
      <c r="AQ68" s="58">
        <f t="shared" si="77"/>
        <v>0</v>
      </c>
      <c r="AR68" s="21">
        <v>0</v>
      </c>
      <c r="AS68" s="58">
        <f t="shared" si="78"/>
        <v>0</v>
      </c>
      <c r="AT68" s="21">
        <v>0</v>
      </c>
      <c r="AU68" s="58">
        <f t="shared" si="58"/>
        <v>0</v>
      </c>
      <c r="AV68" s="21">
        <f>IF(Table1[[#This Row],[Sustainability Check 1 (2017-2018) Status]]="Continued", Table1[[#This Row],[Students Per Summer]], 0)</f>
        <v>175</v>
      </c>
      <c r="AW68" s="58">
        <f t="shared" si="61"/>
        <v>20298.25</v>
      </c>
      <c r="AX68" s="31">
        <f>IF(Table1[[#This Row],[Sustainability Check 1 (2017-2018) Status]]="Continued", Table1[[#This Row],[Students Per Fall]], 0)</f>
        <v>175</v>
      </c>
      <c r="AY68" s="58">
        <f t="shared" si="62"/>
        <v>20298.25</v>
      </c>
      <c r="AZ68" s="31">
        <f>IF(Table1[[#This Row],[Sustainability Check 1 (2017-2018) Status]]="Continued", Table1[[#This Row],[Students Per Spring]], 0)</f>
        <v>175</v>
      </c>
      <c r="BA68" s="58">
        <f t="shared" si="63"/>
        <v>20298.25</v>
      </c>
      <c r="BB68" s="31">
        <f t="shared" si="64"/>
        <v>525</v>
      </c>
      <c r="BC68" s="58">
        <f t="shared" si="65"/>
        <v>60894.75</v>
      </c>
      <c r="BD68" s="31">
        <f>IF(Table1[[#This Row],[Sustainability Check 1 (2017-2018) Status]]="Continued", Table1[[#This Row],[Students Per Summer]], 0)</f>
        <v>175</v>
      </c>
      <c r="BE68" s="58">
        <f t="shared" si="66"/>
        <v>20298.25</v>
      </c>
      <c r="BF68" s="31">
        <f>IF(Table1[[#This Row],[Sustainability Check 1 (2017-2018) Status]]="Continued", Table1[[#This Row],[Students Per Fall]], 0)</f>
        <v>175</v>
      </c>
      <c r="BG68" s="58">
        <f t="shared" si="67"/>
        <v>20298.25</v>
      </c>
      <c r="BH68" s="31">
        <f>IF(Table1[[#This Row],[Sustainability Check 1 (2017-2018) Status]]="Continued", Table1[[#This Row],[Students Per Spring]], 0)</f>
        <v>175</v>
      </c>
      <c r="BI68" s="58">
        <f t="shared" si="68"/>
        <v>20298.25</v>
      </c>
      <c r="BJ68" s="31">
        <f t="shared" si="69"/>
        <v>525</v>
      </c>
      <c r="BK68" s="58">
        <f t="shared" si="70"/>
        <v>60894.75</v>
      </c>
      <c r="BL68" s="58" t="s">
        <v>130</v>
      </c>
      <c r="BM68" s="31">
        <v>125</v>
      </c>
      <c r="BN68" s="31">
        <v>250</v>
      </c>
      <c r="BO68" s="31">
        <v>250</v>
      </c>
      <c r="BP68" s="31">
        <f t="shared" si="75"/>
        <v>625</v>
      </c>
      <c r="BQ68" s="96">
        <v>125.99</v>
      </c>
      <c r="BR68" s="58">
        <f>Table1[[#This Row],[Check 2 Students Total]]*Table1[[#This Row],[Summer 2018 Price Check]]</f>
        <v>78743.75</v>
      </c>
      <c r="BS68" s="31">
        <f>IF(Table1[[#This Row],[Sustainability Check 2 (2018-2019) Status]]="Continued", Table1[[#This Row],[Check 2 Students Summer]], 0)</f>
        <v>125</v>
      </c>
      <c r="BT68" s="58">
        <f>Table1[[#This Row],[Summer 2018 Price Check]]*BS68</f>
        <v>15748.75</v>
      </c>
      <c r="BU68" s="31">
        <f>IF(Table1[[#This Row],[Sustainability Check 2 (2018-2019) Status]]="Continued", Table1[[#This Row],[Check 2 Students Fall]], 0)</f>
        <v>250</v>
      </c>
      <c r="BV68" s="58">
        <f>Table1[[#This Row],[Summer 2018 Price Check]]*BU68</f>
        <v>31497.5</v>
      </c>
      <c r="BW68" s="21">
        <f>IF(Table1[[#This Row],[Sustainability Check 2 (2018-2019) Status]]="Continued", Table1[Check 2 Students Spring], 0)</f>
        <v>250</v>
      </c>
      <c r="BX68" s="58">
        <f>Table1[[#This Row],[Summer 2018 Price Check]]*Table1[[#This Row],[Spring 2019 Students]]</f>
        <v>31497.5</v>
      </c>
      <c r="BY68" s="31">
        <f t="shared" si="79"/>
        <v>625</v>
      </c>
      <c r="BZ68" s="58">
        <f t="shared" si="80"/>
        <v>78743.75</v>
      </c>
      <c r="CA68" s="58" t="s">
        <v>130</v>
      </c>
      <c r="CB68" s="21">
        <v>125</v>
      </c>
      <c r="CC68" s="21">
        <v>250</v>
      </c>
      <c r="CD68" s="21">
        <v>250</v>
      </c>
      <c r="CE68" s="21">
        <f t="shared" si="88"/>
        <v>625</v>
      </c>
      <c r="CF68" s="58">
        <v>115.99</v>
      </c>
      <c r="CG68" s="58">
        <f t="shared" si="81"/>
        <v>72493.75</v>
      </c>
      <c r="CH68" s="17" t="s">
        <v>468</v>
      </c>
      <c r="CI68" s="21">
        <f>IF(Table1[[#This Row],[Check 3 Status]]="Continued", Table1[[#This Row],[Check 3 Students Summer]], 0)</f>
        <v>125</v>
      </c>
      <c r="CJ68" s="58">
        <f>Table1[[#This Row],[Check 3 Per Student Savings]]*CI68</f>
        <v>14498.75</v>
      </c>
      <c r="CK68" s="21">
        <f>IF(Table1[[#This Row],[Check 3 Status]]="Continued", Table1[[#This Row],[Check 3 Students Fall]], 0)</f>
        <v>250</v>
      </c>
      <c r="CL68" s="58">
        <f>Table1[[#This Row],[Check 3 Per Student Savings]]*CK68</f>
        <v>28997.5</v>
      </c>
      <c r="CM68" s="21">
        <f>IF(Table1[[#This Row],[Check 3 Status]]="Continued", Table1[[#This Row],[Check 3 Students Spring]], 0)</f>
        <v>250</v>
      </c>
      <c r="CN68" s="58">
        <f>Table1[[#This Row],[Check 3 Per Student Savings]]*CM68</f>
        <v>28997.5</v>
      </c>
      <c r="CO68" s="21">
        <f t="shared" si="82"/>
        <v>625</v>
      </c>
      <c r="CP68" s="58">
        <f t="shared" si="83"/>
        <v>72493.75</v>
      </c>
      <c r="CQ68" s="58" t="s">
        <v>130</v>
      </c>
      <c r="CR68" s="21">
        <v>220</v>
      </c>
      <c r="CS68" s="21">
        <v>594</v>
      </c>
      <c r="CT68" s="21">
        <v>528</v>
      </c>
      <c r="CU68" s="21">
        <f t="shared" si="84"/>
        <v>1342</v>
      </c>
      <c r="CV68" s="58">
        <v>82.97</v>
      </c>
      <c r="CW68" s="58">
        <f t="shared" si="85"/>
        <v>111345.74</v>
      </c>
      <c r="CX68" s="58"/>
      <c r="CY68" s="21">
        <f>IF(Table1[[#This Row],[Check 4 Status]]="Continued", Table1[[#This Row],[Check 4 Students Summer]], 0)</f>
        <v>220</v>
      </c>
      <c r="CZ68" s="58">
        <f>Table1[[#This Row],[Check 4 Per Student Savings]]*CY68</f>
        <v>18253.400000000001</v>
      </c>
      <c r="DA68" s="100">
        <v>0</v>
      </c>
      <c r="DB68" s="99">
        <v>0</v>
      </c>
      <c r="DC68" s="100">
        <v>0</v>
      </c>
      <c r="DD68" s="99">
        <v>0</v>
      </c>
      <c r="DE68" s="58">
        <f t="shared" si="86"/>
        <v>220</v>
      </c>
      <c r="DF68" s="58">
        <f t="shared" si="87"/>
        <v>18253.400000000001</v>
      </c>
      <c r="DG6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2520</v>
      </c>
      <c r="DH6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291280.40000000002</v>
      </c>
      <c r="DI68" s="58">
        <f>Table1[[#This Row],[Grand Total Savings]]/Table1[[#This Row],[Total Award]]</f>
        <v>9.7093466666666668</v>
      </c>
      <c r="DJ68" s="17"/>
      <c r="DK68" s="17"/>
      <c r="DL68" s="17"/>
      <c r="DM68" s="17"/>
      <c r="EC68" s="17"/>
      <c r="ED68" s="17"/>
      <c r="EE68" s="17"/>
      <c r="EF68" s="17"/>
    </row>
    <row r="69" spans="1:136" x14ac:dyDescent="0.25">
      <c r="A69" s="159">
        <v>138</v>
      </c>
      <c r="B69" s="17" t="s">
        <v>2011</v>
      </c>
      <c r="D69" s="97">
        <v>510439</v>
      </c>
      <c r="E69" s="158">
        <v>42279</v>
      </c>
      <c r="F69" s="158">
        <v>42515</v>
      </c>
      <c r="G69" s="159" t="s">
        <v>451</v>
      </c>
      <c r="H69" s="95" t="s">
        <v>9</v>
      </c>
      <c r="I69" s="226" t="s">
        <v>118</v>
      </c>
      <c r="J69" s="17" t="s">
        <v>499</v>
      </c>
      <c r="K69" s="107">
        <v>10800</v>
      </c>
      <c r="L69" s="107"/>
      <c r="M69" s="101" t="s">
        <v>500</v>
      </c>
      <c r="N69" s="101" t="s">
        <v>501</v>
      </c>
      <c r="O69" s="101" t="s">
        <v>502</v>
      </c>
      <c r="P69" s="101" t="s">
        <v>503</v>
      </c>
      <c r="Q69" s="101" t="s">
        <v>177</v>
      </c>
      <c r="R69" s="101" t="s">
        <v>129</v>
      </c>
      <c r="S69" s="160" t="s">
        <v>36</v>
      </c>
      <c r="T69" s="17" t="s">
        <v>129</v>
      </c>
      <c r="U69" s="101" t="s">
        <v>157</v>
      </c>
      <c r="V69" s="93" t="s">
        <v>150</v>
      </c>
      <c r="W69" s="93" t="s">
        <v>150</v>
      </c>
      <c r="X69" s="93" t="s">
        <v>150</v>
      </c>
      <c r="Y69" s="58">
        <v>221424</v>
      </c>
      <c r="Z69" s="31">
        <v>1680</v>
      </c>
      <c r="AA69" s="58">
        <f t="shared" si="59"/>
        <v>131.80000000000001</v>
      </c>
      <c r="AB69" s="21">
        <f t="shared" si="71"/>
        <v>560</v>
      </c>
      <c r="AC69" s="21">
        <f t="shared" si="72"/>
        <v>560</v>
      </c>
      <c r="AD69" s="21">
        <f t="shared" si="73"/>
        <v>560</v>
      </c>
      <c r="AE69" s="17" t="s">
        <v>194</v>
      </c>
      <c r="AF69" s="17" t="s">
        <v>129</v>
      </c>
      <c r="AG69" s="17"/>
      <c r="AI69" s="161" t="s">
        <v>130</v>
      </c>
      <c r="AJ69" s="21">
        <v>0</v>
      </c>
      <c r="AK69" s="58">
        <v>0</v>
      </c>
      <c r="AL69" s="21">
        <v>0</v>
      </c>
      <c r="AM69" s="58">
        <f t="shared" si="74"/>
        <v>0</v>
      </c>
      <c r="AN69" s="21">
        <v>0</v>
      </c>
      <c r="AO69" s="58">
        <f t="shared" si="76"/>
        <v>0</v>
      </c>
      <c r="AP69" s="21">
        <v>0</v>
      </c>
      <c r="AQ69" s="58">
        <f t="shared" si="77"/>
        <v>0</v>
      </c>
      <c r="AR69" s="21">
        <f>Table1[[#This Row],[Students Per Spring]]</f>
        <v>560</v>
      </c>
      <c r="AS69" s="58">
        <f t="shared" si="78"/>
        <v>73808</v>
      </c>
      <c r="AT69" s="21">
        <f>AN69+AP69+AR69</f>
        <v>560</v>
      </c>
      <c r="AU69" s="58">
        <f t="shared" si="58"/>
        <v>73808</v>
      </c>
      <c r="AV69" s="21">
        <f>IF(Table1[[#This Row],[Sustainability Check 1 (2017-2018) Status]]="Continued", Table1[[#This Row],[Students Per Summer]], 0)</f>
        <v>560</v>
      </c>
      <c r="AW69" s="58">
        <f t="shared" si="61"/>
        <v>73808</v>
      </c>
      <c r="AX69" s="31">
        <f>IF(Table1[[#This Row],[Sustainability Check 1 (2017-2018) Status]]="Continued", Table1[[#This Row],[Students Per Fall]], 0)</f>
        <v>560</v>
      </c>
      <c r="AY69" s="58">
        <f t="shared" si="62"/>
        <v>73808</v>
      </c>
      <c r="AZ69" s="31">
        <f>IF(Table1[[#This Row],[Sustainability Check 1 (2017-2018) Status]]="Continued", Table1[[#This Row],[Students Per Spring]], 0)</f>
        <v>560</v>
      </c>
      <c r="BA69" s="58">
        <f t="shared" si="63"/>
        <v>73808</v>
      </c>
      <c r="BB69" s="31">
        <f t="shared" si="64"/>
        <v>1680</v>
      </c>
      <c r="BC69" s="58">
        <f t="shared" si="65"/>
        <v>221424</v>
      </c>
      <c r="BD69" s="31">
        <f>IF(Table1[[#This Row],[Sustainability Check 1 (2017-2018) Status]]="Continued", Table1[[#This Row],[Students Per Summer]], 0)</f>
        <v>560</v>
      </c>
      <c r="BE69" s="58">
        <f t="shared" si="66"/>
        <v>73808</v>
      </c>
      <c r="BF69" s="31">
        <f>IF(Table1[[#This Row],[Sustainability Check 1 (2017-2018) Status]]="Continued", Table1[[#This Row],[Students Per Fall]], 0)</f>
        <v>560</v>
      </c>
      <c r="BG69" s="58">
        <f t="shared" si="67"/>
        <v>73808</v>
      </c>
      <c r="BH69" s="31">
        <f>IF(Table1[[#This Row],[Sustainability Check 1 (2017-2018) Status]]="Continued", Table1[[#This Row],[Students Per Spring]], 0)</f>
        <v>560</v>
      </c>
      <c r="BI69" s="58">
        <f t="shared" si="68"/>
        <v>73808</v>
      </c>
      <c r="BJ69" s="31">
        <f t="shared" si="69"/>
        <v>1680</v>
      </c>
      <c r="BK69" s="58">
        <f t="shared" si="70"/>
        <v>221424</v>
      </c>
      <c r="BL69" s="58" t="s">
        <v>130</v>
      </c>
      <c r="BM69" s="31">
        <v>288</v>
      </c>
      <c r="BN69" s="31">
        <v>768</v>
      </c>
      <c r="BO69" s="31">
        <v>768</v>
      </c>
      <c r="BP69" s="31">
        <f t="shared" si="75"/>
        <v>1824</v>
      </c>
      <c r="BQ69" s="96">
        <v>140</v>
      </c>
      <c r="BR69" s="58">
        <f>Table1[[#This Row],[Check 2 Students Total]]*Table1[[#This Row],[Summer 2018 Price Check]]</f>
        <v>255360</v>
      </c>
      <c r="BS69" s="31">
        <f>IF(Table1[[#This Row],[Sustainability Check 2 (2018-2019) Status]]="Continued", Table1[[#This Row],[Check 2 Students Summer]], 0)</f>
        <v>288</v>
      </c>
      <c r="BT69" s="58">
        <f>Table1[[#This Row],[Summer 2018 Price Check]]*BS69</f>
        <v>40320</v>
      </c>
      <c r="BU69" s="31">
        <f>IF(Table1[[#This Row],[Sustainability Check 2 (2018-2019) Status]]="Continued", Table1[[#This Row],[Check 2 Students Fall]], 0)</f>
        <v>768</v>
      </c>
      <c r="BV69" s="58">
        <f>Table1[[#This Row],[Summer 2018 Price Check]]*BU69</f>
        <v>107520</v>
      </c>
      <c r="BW69" s="21">
        <f>IF(Table1[[#This Row],[Sustainability Check 2 (2018-2019) Status]]="Continued", Table1[Check 2 Students Spring], 0)</f>
        <v>768</v>
      </c>
      <c r="BX69" s="58">
        <f>Table1[[#This Row],[Summer 2018 Price Check]]*Table1[[#This Row],[Spring 2019 Students]]</f>
        <v>107520</v>
      </c>
      <c r="BY69" s="31">
        <f t="shared" si="79"/>
        <v>1824</v>
      </c>
      <c r="BZ69" s="58">
        <f t="shared" si="80"/>
        <v>255360</v>
      </c>
      <c r="CA69" s="58" t="s">
        <v>130</v>
      </c>
      <c r="CB69" s="21">
        <v>225</v>
      </c>
      <c r="CC69" s="21">
        <v>704</v>
      </c>
      <c r="CD69" s="21">
        <v>768</v>
      </c>
      <c r="CE69" s="21">
        <f t="shared" si="88"/>
        <v>1697</v>
      </c>
      <c r="CF69" s="58">
        <v>131.80000000000001</v>
      </c>
      <c r="CG69" s="58">
        <f t="shared" si="81"/>
        <v>223664.6</v>
      </c>
      <c r="CH69" s="17" t="s">
        <v>194</v>
      </c>
      <c r="CI69" s="21">
        <f>IF(Table1[[#This Row],[Check 3 Status]]="Continued", Table1[[#This Row],[Check 3 Students Summer]], 0)</f>
        <v>225</v>
      </c>
      <c r="CJ69" s="58">
        <f>Table1[[#This Row],[Check 3 Per Student Savings]]*CI69</f>
        <v>29655.000000000004</v>
      </c>
      <c r="CK69" s="21">
        <f>IF(Table1[[#This Row],[Check 3 Status]]="Continued", Table1[[#This Row],[Check 3 Students Fall]], 0)</f>
        <v>704</v>
      </c>
      <c r="CL69" s="58">
        <f>Table1[[#This Row],[Check 3 Per Student Savings]]*CK69</f>
        <v>92787.200000000012</v>
      </c>
      <c r="CM69" s="21">
        <f>IF(Table1[[#This Row],[Check 3 Status]]="Continued", Table1[[#This Row],[Check 3 Students Spring]], 0)</f>
        <v>768</v>
      </c>
      <c r="CN69" s="58">
        <f>Table1[[#This Row],[Check 3 Per Student Savings]]*CM69</f>
        <v>101222.40000000001</v>
      </c>
      <c r="CO69" s="21">
        <f t="shared" si="82"/>
        <v>1697</v>
      </c>
      <c r="CP69" s="58">
        <f t="shared" si="83"/>
        <v>223664.60000000003</v>
      </c>
      <c r="CQ69" s="58" t="s">
        <v>130</v>
      </c>
      <c r="CR69" s="21">
        <v>225</v>
      </c>
      <c r="CS69" s="21">
        <v>704</v>
      </c>
      <c r="CT69" s="21">
        <v>768</v>
      </c>
      <c r="CU69" s="21">
        <f t="shared" si="84"/>
        <v>1697</v>
      </c>
      <c r="CV69" s="58">
        <v>131.80000000000001</v>
      </c>
      <c r="CW69" s="58">
        <f t="shared" si="85"/>
        <v>223664.6</v>
      </c>
      <c r="CX69" s="58"/>
      <c r="CY69" s="21">
        <f>IF(Table1[[#This Row],[Check 4 Status]]="Continued", Table1[[#This Row],[Check 4 Students Summer]], 0)</f>
        <v>225</v>
      </c>
      <c r="CZ69" s="58">
        <f>Table1[[#This Row],[Check 4 Per Student Savings]]*CY69</f>
        <v>29655.000000000004</v>
      </c>
      <c r="DA69" s="21">
        <f>IF(Table1[[#This Row],[Check 4 Status]]="Continued", Table1[[#This Row],[Check 4 Students Fall]], 0)</f>
        <v>704</v>
      </c>
      <c r="DB69" s="58">
        <f>Table1[[#This Row],[Check 4 Per Student Savings]]*DA69</f>
        <v>92787.200000000012</v>
      </c>
      <c r="DC69" s="21">
        <f>IF(Table1[[#This Row],[Check 4 Status]]="Continued", Table1[[#This Row],[Check 4 Students Spring]], 0)</f>
        <v>768</v>
      </c>
      <c r="DD69" s="58">
        <f>Table1[[#This Row],[Check 4 Per Student Savings]]*DC69</f>
        <v>101222.40000000001</v>
      </c>
      <c r="DE69" s="58">
        <f t="shared" si="86"/>
        <v>1697</v>
      </c>
      <c r="DF69" s="58">
        <f t="shared" si="87"/>
        <v>223664.60000000003</v>
      </c>
      <c r="DG6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9138</v>
      </c>
      <c r="DH6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1219345.2000000002</v>
      </c>
      <c r="DI69" s="58">
        <f>Table1[[#This Row],[Grand Total Savings]]/Table1[[#This Row],[Total Award]]</f>
        <v>112.90233333333335</v>
      </c>
      <c r="DJ69" s="17"/>
      <c r="DK69" s="17"/>
      <c r="DL69" s="17"/>
      <c r="DM69" s="17"/>
      <c r="EC69" s="17"/>
      <c r="ED69" s="17"/>
      <c r="EE69" s="17"/>
      <c r="EF69" s="17"/>
    </row>
    <row r="70" spans="1:136" x14ac:dyDescent="0.25">
      <c r="A70" s="159">
        <v>139</v>
      </c>
      <c r="B70" s="17" t="s">
        <v>2011</v>
      </c>
      <c r="D70" s="97">
        <v>510480</v>
      </c>
      <c r="E70" s="158">
        <v>42299</v>
      </c>
      <c r="F70" s="158">
        <v>42515</v>
      </c>
      <c r="G70" s="159" t="s">
        <v>451</v>
      </c>
      <c r="H70" s="95" t="s">
        <v>9</v>
      </c>
      <c r="I70" s="226" t="s">
        <v>118</v>
      </c>
      <c r="J70" s="17" t="s">
        <v>132</v>
      </c>
      <c r="K70" s="107">
        <v>10800</v>
      </c>
      <c r="L70" s="107"/>
      <c r="M70" s="101" t="s">
        <v>504</v>
      </c>
      <c r="N70" s="101" t="s">
        <v>505</v>
      </c>
      <c r="O70" s="101" t="s">
        <v>279</v>
      </c>
      <c r="P70" s="101" t="s">
        <v>506</v>
      </c>
      <c r="Q70" s="101" t="s">
        <v>234</v>
      </c>
      <c r="R70" s="101" t="s">
        <v>129</v>
      </c>
      <c r="S70" s="101" t="s">
        <v>129</v>
      </c>
      <c r="T70" s="17" t="s">
        <v>129</v>
      </c>
      <c r="U70" s="101" t="s">
        <v>157</v>
      </c>
      <c r="V70" s="93" t="s">
        <v>150</v>
      </c>
      <c r="W70" s="93" t="s">
        <v>150</v>
      </c>
      <c r="X70" s="93" t="s">
        <v>139</v>
      </c>
      <c r="Y70" s="58">
        <v>66250</v>
      </c>
      <c r="Z70" s="17">
        <v>250</v>
      </c>
      <c r="AA70" s="58">
        <f t="shared" si="59"/>
        <v>265</v>
      </c>
      <c r="AB70" s="21">
        <f t="shared" si="71"/>
        <v>83.333333333333329</v>
      </c>
      <c r="AC70" s="21">
        <f t="shared" si="72"/>
        <v>83.333333333333329</v>
      </c>
      <c r="AD70" s="21">
        <f t="shared" si="73"/>
        <v>83.333333333333329</v>
      </c>
      <c r="AE70" s="17" t="s">
        <v>208</v>
      </c>
      <c r="AF70" s="17" t="s">
        <v>129</v>
      </c>
      <c r="AG70" s="17"/>
      <c r="AI70" s="17" t="s">
        <v>130</v>
      </c>
      <c r="AJ70" s="21">
        <v>0</v>
      </c>
      <c r="AK70" s="58">
        <v>0</v>
      </c>
      <c r="AL70" s="21">
        <v>0</v>
      </c>
      <c r="AM70" s="58">
        <f t="shared" si="74"/>
        <v>0</v>
      </c>
      <c r="AN70" s="21">
        <v>0</v>
      </c>
      <c r="AO70" s="58">
        <f t="shared" si="76"/>
        <v>0</v>
      </c>
      <c r="AP70" s="21">
        <f>Table1[[#This Row],[Students Per Fall]]</f>
        <v>83.333333333333329</v>
      </c>
      <c r="AQ70" s="58">
        <f t="shared" si="77"/>
        <v>22083.333333333332</v>
      </c>
      <c r="AR70" s="21">
        <f>IF(Table1[[#This Row],[Sustainability Check 1 (2017-2018) Status]]="Continued", Table1[[#This Row],[Students Per Spring]], 0)</f>
        <v>83.333333333333329</v>
      </c>
      <c r="AS70" s="58">
        <f t="shared" si="78"/>
        <v>22083.333333333332</v>
      </c>
      <c r="AT70" s="21">
        <f>AN70+AP70+AR70</f>
        <v>166.66666666666666</v>
      </c>
      <c r="AU70" s="58">
        <f t="shared" si="58"/>
        <v>44166.666666666664</v>
      </c>
      <c r="AV70" s="21">
        <f>IF(Table1[[#This Row],[Sustainability Check 1 (2017-2018) Status]]="Continued", Table1[[#This Row],[Students Per Summer]], 0)</f>
        <v>83.333333333333329</v>
      </c>
      <c r="AW70" s="58">
        <f t="shared" si="61"/>
        <v>22083.333333333332</v>
      </c>
      <c r="AX70" s="31">
        <f>IF(Table1[[#This Row],[Sustainability Check 1 (2017-2018) Status]]="Continued", Table1[[#This Row],[Students Per Fall]], 0)</f>
        <v>83.333333333333329</v>
      </c>
      <c r="AY70" s="58">
        <f t="shared" si="62"/>
        <v>22083.333333333332</v>
      </c>
      <c r="AZ70" s="31">
        <f>IF(Table1[[#This Row],[Sustainability Check 1 (2017-2018) Status]]="Continued", Table1[[#This Row],[Students Per Spring]], 0)</f>
        <v>83.333333333333329</v>
      </c>
      <c r="BA70" s="58">
        <f t="shared" si="63"/>
        <v>22083.333333333332</v>
      </c>
      <c r="BB70" s="31">
        <f t="shared" si="64"/>
        <v>250</v>
      </c>
      <c r="BC70" s="58">
        <f t="shared" si="65"/>
        <v>66250</v>
      </c>
      <c r="BD70" s="31">
        <f>IF(Table1[[#This Row],[Sustainability Check 1 (2017-2018) Status]]="Continued", Table1[[#This Row],[Students Per Summer]], 0)</f>
        <v>83.333333333333329</v>
      </c>
      <c r="BE70" s="58">
        <f t="shared" si="66"/>
        <v>22083.333333333332</v>
      </c>
      <c r="BF70" s="31">
        <f>IF(Table1[[#This Row],[Sustainability Check 1 (2017-2018) Status]]="Continued", Table1[[#This Row],[Students Per Fall]], 0)</f>
        <v>83.333333333333329</v>
      </c>
      <c r="BG70" s="58">
        <f t="shared" si="67"/>
        <v>22083.333333333332</v>
      </c>
      <c r="BH70" s="31">
        <f>IF(Table1[[#This Row],[Sustainability Check 1 (2017-2018) Status]]="Continued", Table1[[#This Row],[Students Per Spring]], 0)</f>
        <v>83.333333333333329</v>
      </c>
      <c r="BI70" s="58">
        <f t="shared" si="68"/>
        <v>22083.333333333332</v>
      </c>
      <c r="BJ70" s="31">
        <f t="shared" si="69"/>
        <v>250</v>
      </c>
      <c r="BK70" s="58">
        <f t="shared" si="70"/>
        <v>66250</v>
      </c>
      <c r="BL70" s="58" t="s">
        <v>130</v>
      </c>
      <c r="BM70" s="31">
        <v>0</v>
      </c>
      <c r="BN70" s="31">
        <v>100</v>
      </c>
      <c r="BO70" s="31">
        <v>25</v>
      </c>
      <c r="BP70" s="31">
        <f t="shared" si="75"/>
        <v>125</v>
      </c>
      <c r="BQ70" s="58">
        <v>200</v>
      </c>
      <c r="BR70" s="58">
        <f>Table1[[#This Row],[Check 2 Students Total]]*Table1[[#This Row],[Summer 2018 Price Check]]</f>
        <v>25000</v>
      </c>
      <c r="BS70" s="31">
        <f>IF(Table1[[#This Row],[Sustainability Check 2 (2018-2019) Status]]="Continued", Table1[[#This Row],[Check 2 Students Summer]], 0)</f>
        <v>0</v>
      </c>
      <c r="BT70" s="58">
        <f>Table1[[#This Row],[Summer 2018 Price Check]]*BS70</f>
        <v>0</v>
      </c>
      <c r="BU70" s="31">
        <f>IF(Table1[[#This Row],[Sustainability Check 2 (2018-2019) Status]]="Continued", Table1[[#This Row],[Check 2 Students Fall]], 0)</f>
        <v>100</v>
      </c>
      <c r="BV70" s="58">
        <f>Table1[[#This Row],[Summer 2018 Price Check]]*BU70</f>
        <v>20000</v>
      </c>
      <c r="BW70" s="21">
        <f>IF(Table1[[#This Row],[Sustainability Check 2 (2018-2019) Status]]="Continued", Table1[Check 2 Students Spring], 0)</f>
        <v>25</v>
      </c>
      <c r="BX70" s="58">
        <f>Table1[[#This Row],[Summer 2018 Price Check]]*Table1[[#This Row],[Spring 2019 Students]]</f>
        <v>5000</v>
      </c>
      <c r="BY70" s="31">
        <f t="shared" si="79"/>
        <v>125</v>
      </c>
      <c r="BZ70" s="58">
        <f t="shared" si="80"/>
        <v>25000</v>
      </c>
      <c r="CA70" s="58" t="s">
        <v>130</v>
      </c>
      <c r="CB70" s="21">
        <v>0</v>
      </c>
      <c r="CC70" s="21">
        <v>70</v>
      </c>
      <c r="CD70" s="21">
        <v>50</v>
      </c>
      <c r="CE70" s="21">
        <f t="shared" si="88"/>
        <v>120</v>
      </c>
      <c r="CF70" s="58">
        <v>200</v>
      </c>
      <c r="CG70" s="58">
        <f t="shared" si="81"/>
        <v>24000</v>
      </c>
      <c r="CH70" s="17" t="s">
        <v>208</v>
      </c>
      <c r="CI70" s="21">
        <f>IF(Table1[[#This Row],[Check 3 Status]]="Continued", Table1[[#This Row],[Check 3 Students Summer]], 0)</f>
        <v>0</v>
      </c>
      <c r="CJ70" s="58">
        <f>Table1[[#This Row],[Check 3 Per Student Savings]]*CI70</f>
        <v>0</v>
      </c>
      <c r="CK70" s="21">
        <f>IF(Table1[[#This Row],[Check 3 Status]]="Continued", Table1[[#This Row],[Check 3 Students Fall]], 0)</f>
        <v>70</v>
      </c>
      <c r="CL70" s="58">
        <f>Table1[[#This Row],[Check 3 Per Student Savings]]*CK70</f>
        <v>14000</v>
      </c>
      <c r="CM70" s="21">
        <f>IF(Table1[[#This Row],[Check 3 Status]]="Continued", Table1[[#This Row],[Check 3 Students Spring]], 0)</f>
        <v>50</v>
      </c>
      <c r="CN70" s="58">
        <f>Table1[[#This Row],[Check 3 Per Student Savings]]*CM70</f>
        <v>10000</v>
      </c>
      <c r="CO70" s="21">
        <f t="shared" si="82"/>
        <v>120</v>
      </c>
      <c r="CP70" s="58">
        <f t="shared" si="83"/>
        <v>24000</v>
      </c>
      <c r="CQ70" s="58" t="s">
        <v>130</v>
      </c>
      <c r="CR70" s="21">
        <v>0</v>
      </c>
      <c r="CS70" s="21">
        <v>70</v>
      </c>
      <c r="CT70" s="21">
        <v>50</v>
      </c>
      <c r="CU70" s="21">
        <f t="shared" si="84"/>
        <v>120</v>
      </c>
      <c r="CV70" s="58">
        <v>200</v>
      </c>
      <c r="CW70" s="58">
        <f t="shared" si="85"/>
        <v>24000</v>
      </c>
      <c r="CX70" s="58"/>
      <c r="CY70" s="21">
        <f>IF(Table1[[#This Row],[Check 4 Status]]="Continued", Table1[[#This Row],[Check 4 Students Summer]], 0)</f>
        <v>0</v>
      </c>
      <c r="CZ70" s="58">
        <f>Table1[[#This Row],[Check 4 Per Student Savings]]*CY70</f>
        <v>0</v>
      </c>
      <c r="DA70" s="21">
        <f>IF(Table1[[#This Row],[Check 4 Status]]="Continued", Table1[[#This Row],[Check 4 Students Fall]], 0)</f>
        <v>70</v>
      </c>
      <c r="DB70" s="58">
        <f>Table1[[#This Row],[Check 4 Per Student Savings]]*DA70</f>
        <v>14000</v>
      </c>
      <c r="DC70" s="21">
        <f>IF(Table1[[#This Row],[Check 4 Status]]="Continued", Table1[[#This Row],[Check 4 Students Spring]], 0)</f>
        <v>50</v>
      </c>
      <c r="DD70" s="58">
        <f>Table1[[#This Row],[Check 4 Per Student Savings]]*DC70</f>
        <v>10000</v>
      </c>
      <c r="DE70" s="58">
        <f t="shared" si="86"/>
        <v>120</v>
      </c>
      <c r="DF70" s="58">
        <f t="shared" si="87"/>
        <v>24000</v>
      </c>
      <c r="DG7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1031.6666666666665</v>
      </c>
      <c r="DH7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249666.66666666666</v>
      </c>
      <c r="DI70" s="58">
        <f>Table1[[#This Row],[Grand Total Savings]]/Table1[[#This Row],[Total Award]]</f>
        <v>23.117283950617281</v>
      </c>
      <c r="DJ70" s="17"/>
      <c r="DK70" s="17"/>
      <c r="DL70" s="17"/>
      <c r="DM70" s="17"/>
      <c r="EC70" s="17"/>
      <c r="ED70" s="17"/>
      <c r="EE70" s="17"/>
      <c r="EF70" s="17"/>
    </row>
    <row r="71" spans="1:136" x14ac:dyDescent="0.25">
      <c r="A71" s="159">
        <v>140</v>
      </c>
      <c r="B71" s="17" t="s">
        <v>2011</v>
      </c>
      <c r="D71" s="97">
        <v>510481</v>
      </c>
      <c r="E71" s="158">
        <v>42306</v>
      </c>
      <c r="F71" s="158">
        <v>42734</v>
      </c>
      <c r="G71" s="159" t="s">
        <v>451</v>
      </c>
      <c r="H71" s="95" t="s">
        <v>9</v>
      </c>
      <c r="I71" s="226" t="s">
        <v>118</v>
      </c>
      <c r="J71" s="17" t="s">
        <v>388</v>
      </c>
      <c r="K71" s="107">
        <v>30000</v>
      </c>
      <c r="L71" s="107"/>
      <c r="M71" s="101" t="s">
        <v>507</v>
      </c>
      <c r="N71" s="101" t="s">
        <v>508</v>
      </c>
      <c r="O71" s="101" t="s">
        <v>509</v>
      </c>
      <c r="P71" s="101" t="s">
        <v>510</v>
      </c>
      <c r="Q71" s="101" t="s">
        <v>272</v>
      </c>
      <c r="R71" s="101" t="s">
        <v>511</v>
      </c>
      <c r="S71" s="160" t="s">
        <v>36</v>
      </c>
      <c r="T71" s="17" t="s">
        <v>129</v>
      </c>
      <c r="U71" s="101" t="s">
        <v>157</v>
      </c>
      <c r="V71" s="93" t="s">
        <v>150</v>
      </c>
      <c r="W71" s="93" t="s">
        <v>150</v>
      </c>
      <c r="X71" s="93" t="s">
        <v>127</v>
      </c>
      <c r="Y71" s="58">
        <v>16800</v>
      </c>
      <c r="Z71" s="17">
        <v>600</v>
      </c>
      <c r="AA71" s="58">
        <f t="shared" si="59"/>
        <v>28</v>
      </c>
      <c r="AB71" s="21">
        <f t="shared" si="71"/>
        <v>200</v>
      </c>
      <c r="AC71" s="21">
        <f t="shared" si="72"/>
        <v>200</v>
      </c>
      <c r="AD71" s="21">
        <f t="shared" si="73"/>
        <v>200</v>
      </c>
      <c r="AE71" s="17" t="s">
        <v>194</v>
      </c>
      <c r="AF71" s="17" t="s">
        <v>129</v>
      </c>
      <c r="AG71" s="17"/>
      <c r="AI71" s="17" t="s">
        <v>130</v>
      </c>
      <c r="AJ71" s="21">
        <v>0</v>
      </c>
      <c r="AK71" s="58">
        <v>0</v>
      </c>
      <c r="AL71" s="21">
        <v>0</v>
      </c>
      <c r="AM71" s="58">
        <f t="shared" si="74"/>
        <v>0</v>
      </c>
      <c r="AN71" s="21">
        <v>0</v>
      </c>
      <c r="AO71" s="58">
        <f t="shared" si="76"/>
        <v>0</v>
      </c>
      <c r="AP71" s="21">
        <v>0</v>
      </c>
      <c r="AQ71" s="58">
        <f t="shared" si="77"/>
        <v>0</v>
      </c>
      <c r="AR71" s="21">
        <f>Table1[[#This Row],[Students Per Spring]]</f>
        <v>200</v>
      </c>
      <c r="AS71" s="58">
        <f t="shared" si="78"/>
        <v>5600</v>
      </c>
      <c r="AT71" s="21">
        <f>AN71+AP71+AR71</f>
        <v>200</v>
      </c>
      <c r="AU71" s="58">
        <f t="shared" si="58"/>
        <v>5600</v>
      </c>
      <c r="AV71" s="21">
        <f>IF(Table1[[#This Row],[Sustainability Check 1 (2017-2018) Status]]="Continued", Table1[[#This Row],[Students Per Summer]], 0)</f>
        <v>200</v>
      </c>
      <c r="AW71" s="58">
        <f t="shared" si="61"/>
        <v>5600</v>
      </c>
      <c r="AX71" s="31">
        <f>IF(Table1[[#This Row],[Sustainability Check 1 (2017-2018) Status]]="Continued", Table1[[#This Row],[Students Per Fall]], 0)</f>
        <v>200</v>
      </c>
      <c r="AY71" s="58">
        <f t="shared" si="62"/>
        <v>5600</v>
      </c>
      <c r="AZ71" s="31">
        <f>IF(Table1[[#This Row],[Sustainability Check 1 (2017-2018) Status]]="Continued", Table1[[#This Row],[Students Per Spring]], 0)</f>
        <v>200</v>
      </c>
      <c r="BA71" s="58">
        <f t="shared" si="63"/>
        <v>5600</v>
      </c>
      <c r="BB71" s="31">
        <f t="shared" si="64"/>
        <v>600</v>
      </c>
      <c r="BC71" s="58">
        <f t="shared" si="65"/>
        <v>16800</v>
      </c>
      <c r="BD71" s="31">
        <f>IF(Table1[[#This Row],[Sustainability Check 1 (2017-2018) Status]]="Continued", Table1[[#This Row],[Students Per Summer]], 0)</f>
        <v>200</v>
      </c>
      <c r="BE71" s="58">
        <f t="shared" si="66"/>
        <v>5600</v>
      </c>
      <c r="BF71" s="31">
        <f>IF(Table1[[#This Row],[Sustainability Check 1 (2017-2018) Status]]="Continued", Table1[[#This Row],[Students Per Fall]], 0)</f>
        <v>200</v>
      </c>
      <c r="BG71" s="58">
        <f t="shared" si="67"/>
        <v>5600</v>
      </c>
      <c r="BH71" s="31">
        <f>IF(Table1[[#This Row],[Sustainability Check 1 (2017-2018) Status]]="Continued", Table1[[#This Row],[Students Per Spring]], 0)</f>
        <v>200</v>
      </c>
      <c r="BI71" s="58">
        <f t="shared" si="68"/>
        <v>5600</v>
      </c>
      <c r="BJ71" s="31">
        <f t="shared" si="69"/>
        <v>600</v>
      </c>
      <c r="BK71" s="58">
        <f t="shared" si="70"/>
        <v>16800</v>
      </c>
      <c r="BL71" s="58" t="s">
        <v>130</v>
      </c>
      <c r="BM71" s="31">
        <v>10</v>
      </c>
      <c r="BN71" s="31">
        <v>50</v>
      </c>
      <c r="BO71" s="31">
        <v>50</v>
      </c>
      <c r="BP71" s="31">
        <f t="shared" si="75"/>
        <v>110</v>
      </c>
      <c r="BQ71" s="58">
        <v>17.7</v>
      </c>
      <c r="BR71" s="58">
        <f>Table1[[#This Row],[Check 2 Students Total]]*Table1[[#This Row],[Summer 2018 Price Check]]</f>
        <v>1947</v>
      </c>
      <c r="BS71" s="31">
        <f>IF(Table1[[#This Row],[Sustainability Check 2 (2018-2019) Status]]="Continued", Table1[[#This Row],[Check 2 Students Summer]], 0)</f>
        <v>10</v>
      </c>
      <c r="BT71" s="58">
        <f>Table1[[#This Row],[Summer 2018 Price Check]]*BS71</f>
        <v>177</v>
      </c>
      <c r="BU71" s="31">
        <f>IF(Table1[[#This Row],[Sustainability Check 2 (2018-2019) Status]]="Continued", Table1[[#This Row],[Check 2 Students Fall]], 0)</f>
        <v>50</v>
      </c>
      <c r="BV71" s="58">
        <f>Table1[[#This Row],[Summer 2018 Price Check]]*BU71</f>
        <v>885</v>
      </c>
      <c r="BW71" s="21">
        <f>IF(Table1[[#This Row],[Sustainability Check 2 (2018-2019) Status]]="Continued", Table1[Check 2 Students Spring], 0)</f>
        <v>50</v>
      </c>
      <c r="BX71" s="58">
        <f>Table1[[#This Row],[Summer 2018 Price Check]]*Table1[[#This Row],[Spring 2019 Students]]</f>
        <v>885</v>
      </c>
      <c r="BY71" s="31">
        <f t="shared" si="79"/>
        <v>110</v>
      </c>
      <c r="BZ71" s="58">
        <f t="shared" si="80"/>
        <v>1947</v>
      </c>
      <c r="CA71" s="58" t="s">
        <v>130</v>
      </c>
      <c r="CB71" s="21">
        <v>10</v>
      </c>
      <c r="CC71" s="21">
        <v>50</v>
      </c>
      <c r="CD71" s="21">
        <v>50</v>
      </c>
      <c r="CE71" s="21">
        <f t="shared" si="88"/>
        <v>110</v>
      </c>
      <c r="CF71" s="58">
        <v>28</v>
      </c>
      <c r="CG71" s="58">
        <f t="shared" si="81"/>
        <v>3080</v>
      </c>
      <c r="CH71" s="17" t="s">
        <v>194</v>
      </c>
      <c r="CI71" s="21">
        <f>IF(Table1[[#This Row],[Check 3 Status]]="Continued", Table1[[#This Row],[Check 3 Students Summer]], 0)</f>
        <v>10</v>
      </c>
      <c r="CJ71" s="58">
        <f>Table1[[#This Row],[Check 3 Per Student Savings]]*CI71</f>
        <v>280</v>
      </c>
      <c r="CK71" s="21">
        <f>IF(Table1[[#This Row],[Check 3 Status]]="Continued", Table1[[#This Row],[Check 3 Students Fall]], 0)</f>
        <v>50</v>
      </c>
      <c r="CL71" s="58">
        <f>Table1[[#This Row],[Check 3 Per Student Savings]]*CK71</f>
        <v>1400</v>
      </c>
      <c r="CM71" s="21">
        <f>IF(Table1[[#This Row],[Check 3 Status]]="Continued", Table1[[#This Row],[Check 3 Students Spring]], 0)</f>
        <v>50</v>
      </c>
      <c r="CN71" s="58">
        <f>Table1[[#This Row],[Check 3 Per Student Savings]]*CM71</f>
        <v>1400</v>
      </c>
      <c r="CO71" s="21">
        <f t="shared" si="82"/>
        <v>110</v>
      </c>
      <c r="CP71" s="58">
        <f t="shared" si="83"/>
        <v>3080</v>
      </c>
      <c r="CQ71" s="58" t="s">
        <v>130</v>
      </c>
      <c r="CR71" s="21">
        <v>10</v>
      </c>
      <c r="CS71" s="21">
        <v>50</v>
      </c>
      <c r="CT71" s="21">
        <v>50</v>
      </c>
      <c r="CU71" s="21">
        <f t="shared" si="84"/>
        <v>110</v>
      </c>
      <c r="CV71" s="58">
        <v>28</v>
      </c>
      <c r="CW71" s="58">
        <f t="shared" si="85"/>
        <v>3080</v>
      </c>
      <c r="CX71" s="58"/>
      <c r="CY71" s="21">
        <f>IF(Table1[[#This Row],[Check 4 Status]]="Continued", Table1[[#This Row],[Check 4 Students Summer]], 0)</f>
        <v>10</v>
      </c>
      <c r="CZ71" s="58">
        <f>Table1[[#This Row],[Check 4 Per Student Savings]]*CY71</f>
        <v>280</v>
      </c>
      <c r="DA71" s="21">
        <f>IF(Table1[[#This Row],[Check 4 Status]]="Continued", Table1[[#This Row],[Check 4 Students Fall]], 0)</f>
        <v>50</v>
      </c>
      <c r="DB71" s="58">
        <f>Table1[[#This Row],[Check 4 Per Student Savings]]*DA71</f>
        <v>1400</v>
      </c>
      <c r="DC71" s="21">
        <f>IF(Table1[[#This Row],[Check 4 Status]]="Continued", Table1[[#This Row],[Check 4 Students Spring]], 0)</f>
        <v>50</v>
      </c>
      <c r="DD71" s="58">
        <f>Table1[[#This Row],[Check 4 Per Student Savings]]*DC71</f>
        <v>1400</v>
      </c>
      <c r="DE71" s="58">
        <f t="shared" si="86"/>
        <v>110</v>
      </c>
      <c r="DF71" s="58">
        <f t="shared" si="87"/>
        <v>3080</v>
      </c>
      <c r="DG7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1730</v>
      </c>
      <c r="DH7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47307</v>
      </c>
      <c r="DI71" s="58">
        <f>Table1[[#This Row],[Grand Total Savings]]/Table1[[#This Row],[Total Award]]</f>
        <v>1.5769</v>
      </c>
      <c r="DJ71" s="17"/>
      <c r="DK71" s="17"/>
      <c r="DL71" s="17"/>
      <c r="DM71" s="17"/>
      <c r="EC71" s="17"/>
      <c r="ED71" s="17"/>
      <c r="EE71" s="17"/>
      <c r="EF71" s="17"/>
    </row>
    <row r="72" spans="1:136" x14ac:dyDescent="0.25">
      <c r="A72" s="159">
        <v>141</v>
      </c>
      <c r="B72" s="17" t="s">
        <v>2011</v>
      </c>
      <c r="D72" s="97">
        <v>510440</v>
      </c>
      <c r="E72" s="158">
        <v>42340</v>
      </c>
      <c r="F72" s="158">
        <v>42598</v>
      </c>
      <c r="G72" s="159" t="s">
        <v>451</v>
      </c>
      <c r="H72" s="95" t="s">
        <v>9</v>
      </c>
      <c r="I72" s="226" t="s">
        <v>118</v>
      </c>
      <c r="J72" s="17" t="s">
        <v>276</v>
      </c>
      <c r="K72" s="107">
        <v>10800</v>
      </c>
      <c r="L72" s="107"/>
      <c r="M72" s="101" t="s">
        <v>512</v>
      </c>
      <c r="N72" s="101" t="s">
        <v>513</v>
      </c>
      <c r="O72" s="101" t="s">
        <v>204</v>
      </c>
      <c r="P72" s="101" t="s">
        <v>205</v>
      </c>
      <c r="Q72" s="101" t="s">
        <v>206</v>
      </c>
      <c r="R72" s="101" t="s">
        <v>204</v>
      </c>
      <c r="S72" s="101" t="s">
        <v>129</v>
      </c>
      <c r="T72" s="17" t="s">
        <v>125</v>
      </c>
      <c r="U72" s="160" t="s">
        <v>367</v>
      </c>
      <c r="V72" s="93" t="s">
        <v>150</v>
      </c>
      <c r="W72" s="93" t="s">
        <v>150</v>
      </c>
      <c r="X72" s="93" t="s">
        <v>150</v>
      </c>
      <c r="Y72" s="58">
        <v>54086.32</v>
      </c>
      <c r="Z72" s="17">
        <v>248</v>
      </c>
      <c r="AA72" s="58">
        <f t="shared" si="59"/>
        <v>218.09</v>
      </c>
      <c r="AB72" s="21">
        <f t="shared" si="71"/>
        <v>82.666666666666671</v>
      </c>
      <c r="AC72" s="21">
        <f t="shared" si="72"/>
        <v>82.666666666666671</v>
      </c>
      <c r="AD72" s="21">
        <f t="shared" si="73"/>
        <v>82.666666666666671</v>
      </c>
      <c r="AE72" s="17" t="s">
        <v>208</v>
      </c>
      <c r="AF72" s="17" t="s">
        <v>129</v>
      </c>
      <c r="AG72" s="17"/>
      <c r="AI72" s="17" t="s">
        <v>130</v>
      </c>
      <c r="AJ72" s="21">
        <v>0</v>
      </c>
      <c r="AK72" s="58">
        <v>0</v>
      </c>
      <c r="AL72" s="21">
        <v>0</v>
      </c>
      <c r="AM72" s="58">
        <f t="shared" si="74"/>
        <v>0</v>
      </c>
      <c r="AN72" s="21">
        <v>0</v>
      </c>
      <c r="AO72" s="58">
        <f t="shared" si="76"/>
        <v>0</v>
      </c>
      <c r="AP72" s="21">
        <f>Table1[[#This Row],[Students Per Fall]]</f>
        <v>82.666666666666671</v>
      </c>
      <c r="AQ72" s="58">
        <f t="shared" si="77"/>
        <v>18028.773333333334</v>
      </c>
      <c r="AR72" s="21">
        <f>IF(Table1[[#This Row],[Sustainability Check 1 (2017-2018) Status]]="Continued", Table1[[#This Row],[Students Per Spring]], 0)</f>
        <v>82.666666666666671</v>
      </c>
      <c r="AS72" s="58">
        <f t="shared" si="78"/>
        <v>18028.773333333334</v>
      </c>
      <c r="AT72" s="21">
        <f>AN72+AP72+AR72</f>
        <v>165.33333333333334</v>
      </c>
      <c r="AU72" s="58">
        <f t="shared" si="58"/>
        <v>36057.546666666669</v>
      </c>
      <c r="AV72" s="21">
        <f>IF(Table1[[#This Row],[Sustainability Check 1 (2017-2018) Status]]="Continued", Table1[[#This Row],[Students Per Summer]], 0)</f>
        <v>82.666666666666671</v>
      </c>
      <c r="AW72" s="58">
        <f t="shared" si="61"/>
        <v>18028.773333333334</v>
      </c>
      <c r="AX72" s="31">
        <f>IF(Table1[[#This Row],[Sustainability Check 1 (2017-2018) Status]]="Continued", Table1[[#This Row],[Students Per Fall]], 0)</f>
        <v>82.666666666666671</v>
      </c>
      <c r="AY72" s="58">
        <f t="shared" si="62"/>
        <v>18028.773333333334</v>
      </c>
      <c r="AZ72" s="31">
        <f>IF(Table1[[#This Row],[Sustainability Check 1 (2017-2018) Status]]="Continued", Table1[[#This Row],[Students Per Spring]], 0)</f>
        <v>82.666666666666671</v>
      </c>
      <c r="BA72" s="58">
        <f t="shared" si="63"/>
        <v>18028.773333333334</v>
      </c>
      <c r="BB72" s="31">
        <f t="shared" si="64"/>
        <v>248</v>
      </c>
      <c r="BC72" s="58">
        <f t="shared" si="65"/>
        <v>54086.320000000007</v>
      </c>
      <c r="BD72" s="31">
        <f>IF(Table1[[#This Row],[Sustainability Check 1 (2017-2018) Status]]="Continued", Table1[[#This Row],[Students Per Summer]], 0)</f>
        <v>82.666666666666671</v>
      </c>
      <c r="BE72" s="58">
        <f t="shared" si="66"/>
        <v>18028.773333333334</v>
      </c>
      <c r="BF72" s="31">
        <f>IF(Table1[[#This Row],[Sustainability Check 1 (2017-2018) Status]]="Continued", Table1[[#This Row],[Students Per Fall]], 0)</f>
        <v>82.666666666666671</v>
      </c>
      <c r="BG72" s="58">
        <f t="shared" si="67"/>
        <v>18028.773333333334</v>
      </c>
      <c r="BH72" s="31">
        <f>IF(Table1[[#This Row],[Sustainability Check 1 (2017-2018) Status]]="Continued", Table1[[#This Row],[Students Per Spring]], 0)</f>
        <v>82.666666666666671</v>
      </c>
      <c r="BI72" s="58">
        <f t="shared" si="68"/>
        <v>18028.773333333334</v>
      </c>
      <c r="BJ72" s="31">
        <f t="shared" si="69"/>
        <v>248</v>
      </c>
      <c r="BK72" s="58">
        <f t="shared" si="70"/>
        <v>54086.320000000007</v>
      </c>
      <c r="BL72" s="58" t="s">
        <v>130</v>
      </c>
      <c r="BM72" s="31">
        <v>45</v>
      </c>
      <c r="BN72" s="31">
        <v>120</v>
      </c>
      <c r="BO72" s="31">
        <v>120</v>
      </c>
      <c r="BP72" s="31">
        <f t="shared" si="75"/>
        <v>285</v>
      </c>
      <c r="BQ72" s="96">
        <v>255.67</v>
      </c>
      <c r="BR72" s="58">
        <f>Table1[[#This Row],[Check 2 Students Total]]*Table1[[#This Row],[Summer 2018 Price Check]]</f>
        <v>72865.95</v>
      </c>
      <c r="BS72" s="31">
        <f>IF(Table1[[#This Row],[Sustainability Check 2 (2018-2019) Status]]="Continued", Table1[[#This Row],[Check 2 Students Summer]], 0)</f>
        <v>45</v>
      </c>
      <c r="BT72" s="58">
        <f>Table1[[#This Row],[Summer 2018 Price Check]]*BS72</f>
        <v>11505.15</v>
      </c>
      <c r="BU72" s="31">
        <f>IF(Table1[[#This Row],[Sustainability Check 2 (2018-2019) Status]]="Continued", Table1[[#This Row],[Check 2 Students Fall]], 0)</f>
        <v>120</v>
      </c>
      <c r="BV72" s="58">
        <f>Table1[[#This Row],[Summer 2018 Price Check]]*BU72</f>
        <v>30680.399999999998</v>
      </c>
      <c r="BW72" s="21">
        <f>IF(Table1[[#This Row],[Sustainability Check 2 (2018-2019) Status]]="Continued", Table1[Check 2 Students Spring], 0)</f>
        <v>120</v>
      </c>
      <c r="BX72" s="58">
        <f>Table1[[#This Row],[Summer 2018 Price Check]]*Table1[[#This Row],[Spring 2019 Students]]</f>
        <v>30680.399999999998</v>
      </c>
      <c r="BY72" s="31">
        <f t="shared" si="79"/>
        <v>285</v>
      </c>
      <c r="BZ72" s="58">
        <f t="shared" si="80"/>
        <v>72865.95</v>
      </c>
      <c r="CA72" s="58" t="s">
        <v>130</v>
      </c>
      <c r="CB72" s="21">
        <v>45</v>
      </c>
      <c r="CC72" s="21">
        <v>120</v>
      </c>
      <c r="CD72" s="21">
        <v>120</v>
      </c>
      <c r="CE72" s="21">
        <f t="shared" si="88"/>
        <v>285</v>
      </c>
      <c r="CF72" s="58">
        <v>238.75</v>
      </c>
      <c r="CG72" s="58">
        <f t="shared" si="81"/>
        <v>68043.75</v>
      </c>
      <c r="CH72" s="17" t="s">
        <v>208</v>
      </c>
      <c r="CI72" s="21">
        <f>IF(Table1[[#This Row],[Check 3 Status]]="Continued", Table1[[#This Row],[Check 3 Students Summer]], 0)</f>
        <v>45</v>
      </c>
      <c r="CJ72" s="58">
        <f>Table1[[#This Row],[Check 3 Per Student Savings]]*CI72</f>
        <v>10743.75</v>
      </c>
      <c r="CK72" s="21">
        <f>IF(Table1[[#This Row],[Check 3 Status]]="Continued", Table1[[#This Row],[Check 3 Students Fall]], 0)</f>
        <v>120</v>
      </c>
      <c r="CL72" s="58">
        <f>Table1[[#This Row],[Check 3 Per Student Savings]]*CK72</f>
        <v>28650</v>
      </c>
      <c r="CM72" s="21">
        <f>IF(Table1[[#This Row],[Check 3 Status]]="Continued", Table1[[#This Row],[Check 3 Students Spring]], 0)</f>
        <v>120</v>
      </c>
      <c r="CN72" s="58">
        <f>Table1[[#This Row],[Check 3 Per Student Savings]]*CM72</f>
        <v>28650</v>
      </c>
      <c r="CO72" s="21">
        <f t="shared" si="82"/>
        <v>285</v>
      </c>
      <c r="CP72" s="58">
        <f t="shared" si="83"/>
        <v>68043.75</v>
      </c>
      <c r="CQ72" s="58" t="s">
        <v>130</v>
      </c>
      <c r="CR72" s="21">
        <v>45</v>
      </c>
      <c r="CS72" s="21">
        <v>120</v>
      </c>
      <c r="CT72" s="21">
        <v>120</v>
      </c>
      <c r="CU72" s="21">
        <f t="shared" si="84"/>
        <v>285</v>
      </c>
      <c r="CV72" s="58">
        <v>238.75</v>
      </c>
      <c r="CW72" s="58">
        <f t="shared" si="85"/>
        <v>68043.75</v>
      </c>
      <c r="CX72" s="58"/>
      <c r="CY72" s="21">
        <f>IF(Table1[[#This Row],[Check 4 Status]]="Continued", Table1[[#This Row],[Check 4 Students Summer]], 0)</f>
        <v>45</v>
      </c>
      <c r="CZ72" s="58">
        <f>Table1[[#This Row],[Check 4 Per Student Savings]]*CY72</f>
        <v>10743.75</v>
      </c>
      <c r="DA72" s="21">
        <f>IF(Table1[[#This Row],[Check 4 Status]]="Continued", Table1[[#This Row],[Check 4 Students Fall]], 0)</f>
        <v>120</v>
      </c>
      <c r="DB72" s="58">
        <f>Table1[[#This Row],[Check 4 Per Student Savings]]*DA72</f>
        <v>28650</v>
      </c>
      <c r="DC72" s="21">
        <f>IF(Table1[[#This Row],[Check 4 Status]]="Continued", Table1[[#This Row],[Check 4 Students Spring]], 0)</f>
        <v>120</v>
      </c>
      <c r="DD72" s="58">
        <f>Table1[[#This Row],[Check 4 Per Student Savings]]*DC72</f>
        <v>28650</v>
      </c>
      <c r="DE72" s="58">
        <f t="shared" si="86"/>
        <v>285</v>
      </c>
      <c r="DF72" s="58">
        <f t="shared" si="87"/>
        <v>68043.75</v>
      </c>
      <c r="DG7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1516.3333333333335</v>
      </c>
      <c r="DH7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353183.63666666666</v>
      </c>
      <c r="DI72" s="58">
        <f>Table1[[#This Row],[Grand Total Savings]]/Table1[[#This Row],[Total Award]]</f>
        <v>32.702188580246911</v>
      </c>
      <c r="DJ72" s="17"/>
      <c r="DK72" s="17"/>
      <c r="DL72" s="17"/>
      <c r="DM72" s="17"/>
      <c r="EC72" s="17"/>
      <c r="ED72" s="17"/>
      <c r="EE72" s="17"/>
      <c r="EF72" s="17"/>
    </row>
    <row r="73" spans="1:136" x14ac:dyDescent="0.25">
      <c r="A73" s="159">
        <v>142</v>
      </c>
      <c r="B73" s="17" t="s">
        <v>2011</v>
      </c>
      <c r="D73" s="97">
        <v>510485</v>
      </c>
      <c r="E73" s="158">
        <v>42354</v>
      </c>
      <c r="F73" s="158">
        <v>42515</v>
      </c>
      <c r="G73" s="159" t="s">
        <v>451</v>
      </c>
      <c r="H73" s="95" t="s">
        <v>9</v>
      </c>
      <c r="I73" s="226" t="s">
        <v>118</v>
      </c>
      <c r="J73" s="17" t="s">
        <v>250</v>
      </c>
      <c r="K73" s="107">
        <v>10800</v>
      </c>
      <c r="L73" s="107"/>
      <c r="M73" s="101" t="s">
        <v>514</v>
      </c>
      <c r="N73" s="101" t="s">
        <v>515</v>
      </c>
      <c r="O73" s="101" t="s">
        <v>516</v>
      </c>
      <c r="P73" s="101" t="s">
        <v>517</v>
      </c>
      <c r="Q73" s="101" t="s">
        <v>192</v>
      </c>
      <c r="R73" s="101" t="s">
        <v>518</v>
      </c>
      <c r="S73" s="101" t="s">
        <v>129</v>
      </c>
      <c r="T73" s="17" t="s">
        <v>125</v>
      </c>
      <c r="U73" s="160" t="s">
        <v>193</v>
      </c>
      <c r="V73" s="93" t="s">
        <v>127</v>
      </c>
      <c r="W73" s="93" t="s">
        <v>150</v>
      </c>
      <c r="X73" s="93" t="s">
        <v>127</v>
      </c>
      <c r="Y73" s="58">
        <v>26000</v>
      </c>
      <c r="Z73" s="17">
        <v>200</v>
      </c>
      <c r="AA73" s="58">
        <f t="shared" si="59"/>
        <v>130</v>
      </c>
      <c r="AB73" s="21">
        <f t="shared" si="71"/>
        <v>66.666666666666671</v>
      </c>
      <c r="AC73" s="21">
        <f t="shared" si="72"/>
        <v>66.666666666666671</v>
      </c>
      <c r="AD73" s="21">
        <f t="shared" si="73"/>
        <v>66.666666666666671</v>
      </c>
      <c r="AE73" s="17" t="s">
        <v>208</v>
      </c>
      <c r="AF73" s="17" t="s">
        <v>129</v>
      </c>
      <c r="AG73" s="17"/>
      <c r="AI73" s="17" t="s">
        <v>130</v>
      </c>
      <c r="AJ73" s="21">
        <v>0</v>
      </c>
      <c r="AK73" s="58">
        <v>0</v>
      </c>
      <c r="AL73" s="21">
        <v>0</v>
      </c>
      <c r="AM73" s="58">
        <f t="shared" si="74"/>
        <v>0</v>
      </c>
      <c r="AN73" s="21">
        <v>0</v>
      </c>
      <c r="AO73" s="58">
        <f t="shared" si="76"/>
        <v>0</v>
      </c>
      <c r="AP73" s="21">
        <f>Table1[[#This Row],[Students Per Fall]]</f>
        <v>66.666666666666671</v>
      </c>
      <c r="AQ73" s="58">
        <f t="shared" si="77"/>
        <v>8666.6666666666679</v>
      </c>
      <c r="AR73" s="21">
        <f>IF(Table1[[#This Row],[Sustainability Check 1 (2017-2018) Status]]="Continued", Table1[[#This Row],[Students Per Spring]], 0)</f>
        <v>66.666666666666671</v>
      </c>
      <c r="AS73" s="58">
        <f t="shared" si="78"/>
        <v>8666.6666666666679</v>
      </c>
      <c r="AT73" s="21">
        <f>AN73+AP73+AR73</f>
        <v>133.33333333333334</v>
      </c>
      <c r="AU73" s="58">
        <f t="shared" si="58"/>
        <v>17333.333333333336</v>
      </c>
      <c r="AV73" s="21">
        <f>IF(Table1[[#This Row],[Sustainability Check 1 (2017-2018) Status]]="Continued", Table1[[#This Row],[Students Per Summer]], 0)</f>
        <v>66.666666666666671</v>
      </c>
      <c r="AW73" s="58">
        <f t="shared" si="61"/>
        <v>8666.6666666666679</v>
      </c>
      <c r="AX73" s="31">
        <f>IF(Table1[[#This Row],[Sustainability Check 1 (2017-2018) Status]]="Continued", Table1[[#This Row],[Students Per Fall]], 0)</f>
        <v>66.666666666666671</v>
      </c>
      <c r="AY73" s="58">
        <f t="shared" si="62"/>
        <v>8666.6666666666679</v>
      </c>
      <c r="AZ73" s="31">
        <f>IF(Table1[[#This Row],[Sustainability Check 1 (2017-2018) Status]]="Continued", Table1[[#This Row],[Students Per Spring]], 0)</f>
        <v>66.666666666666671</v>
      </c>
      <c r="BA73" s="58">
        <f t="shared" si="63"/>
        <v>8666.6666666666679</v>
      </c>
      <c r="BB73" s="31">
        <f t="shared" si="64"/>
        <v>200</v>
      </c>
      <c r="BC73" s="58">
        <f t="shared" si="65"/>
        <v>26000.000000000004</v>
      </c>
      <c r="BD73" s="31">
        <f>IF(Table1[[#This Row],[Sustainability Check 1 (2017-2018) Status]]="Continued", Table1[[#This Row],[Students Per Summer]], 0)</f>
        <v>66.666666666666671</v>
      </c>
      <c r="BE73" s="58">
        <f t="shared" si="66"/>
        <v>8666.6666666666679</v>
      </c>
      <c r="BF73" s="31">
        <f>IF(Table1[[#This Row],[Sustainability Check 1 (2017-2018) Status]]="Continued", Table1[[#This Row],[Students Per Fall]], 0)</f>
        <v>66.666666666666671</v>
      </c>
      <c r="BG73" s="58">
        <f t="shared" si="67"/>
        <v>8666.6666666666679</v>
      </c>
      <c r="BH73" s="31">
        <f>IF(Table1[[#This Row],[Sustainability Check 1 (2017-2018) Status]]="Continued", Table1[[#This Row],[Students Per Spring]], 0)</f>
        <v>66.666666666666671</v>
      </c>
      <c r="BI73" s="58">
        <f t="shared" si="68"/>
        <v>8666.6666666666679</v>
      </c>
      <c r="BJ73" s="31">
        <f t="shared" si="69"/>
        <v>200</v>
      </c>
      <c r="BK73" s="58">
        <f t="shared" si="70"/>
        <v>26000.000000000004</v>
      </c>
      <c r="BL73" s="58" t="s">
        <v>130</v>
      </c>
      <c r="BM73" s="31">
        <v>25</v>
      </c>
      <c r="BN73" s="31">
        <v>125</v>
      </c>
      <c r="BO73" s="31">
        <v>100</v>
      </c>
      <c r="BP73" s="31">
        <f t="shared" si="75"/>
        <v>250</v>
      </c>
      <c r="BQ73" s="96">
        <v>209</v>
      </c>
      <c r="BR73" s="58">
        <f>Table1[[#This Row],[Check 2 Students Total]]*Table1[[#This Row],[Summer 2018 Price Check]]</f>
        <v>52250</v>
      </c>
      <c r="BS73" s="31">
        <f>IF(Table1[[#This Row],[Sustainability Check 2 (2018-2019) Status]]="Continued", Table1[[#This Row],[Check 2 Students Summer]], 0)</f>
        <v>25</v>
      </c>
      <c r="BT73" s="58">
        <f>Table1[[#This Row],[Summer 2018 Price Check]]*BS73</f>
        <v>5225</v>
      </c>
      <c r="BU73" s="31">
        <f>IF(Table1[[#This Row],[Sustainability Check 2 (2018-2019) Status]]="Continued", Table1[[#This Row],[Check 2 Students Fall]], 0)</f>
        <v>125</v>
      </c>
      <c r="BV73" s="58">
        <f>Table1[[#This Row],[Summer 2018 Price Check]]*BU73</f>
        <v>26125</v>
      </c>
      <c r="BW73" s="21">
        <f>IF(Table1[[#This Row],[Sustainability Check 2 (2018-2019) Status]]="Continued", Table1[Check 2 Students Spring], 0)</f>
        <v>100</v>
      </c>
      <c r="BX73" s="58">
        <f>Table1[[#This Row],[Summer 2018 Price Check]]*Table1[[#This Row],[Spring 2019 Students]]</f>
        <v>20900</v>
      </c>
      <c r="BY73" s="31">
        <f t="shared" si="79"/>
        <v>250</v>
      </c>
      <c r="BZ73" s="58">
        <f t="shared" si="80"/>
        <v>52250</v>
      </c>
      <c r="CA73" s="58" t="s">
        <v>1777</v>
      </c>
      <c r="CB73" s="21"/>
      <c r="CC73" s="21"/>
      <c r="CD73" s="21"/>
      <c r="CE73" s="21">
        <f t="shared" si="88"/>
        <v>0</v>
      </c>
      <c r="CF73" s="58"/>
      <c r="CG73" s="58">
        <f t="shared" si="81"/>
        <v>0</v>
      </c>
      <c r="CH73" s="17" t="s">
        <v>208</v>
      </c>
      <c r="CI73" s="21">
        <f>IF(Table1[[#This Row],[Check 3 Status]]="Continued", Table1[[#This Row],[Check 3 Students Summer]], 0)</f>
        <v>0</v>
      </c>
      <c r="CJ73" s="58">
        <f>Table1[[#This Row],[Check 3 Per Student Savings]]*CI73</f>
        <v>0</v>
      </c>
      <c r="CK73" s="21">
        <f>IF(Table1[[#This Row],[Check 3 Status]]="Continued", Table1[[#This Row],[Check 3 Students Fall]], 0)</f>
        <v>0</v>
      </c>
      <c r="CL73" s="58">
        <f>Table1[[#This Row],[Check 3 Per Student Savings]]*CK73</f>
        <v>0</v>
      </c>
      <c r="CM73" s="21">
        <f>IF(Table1[[#This Row],[Check 3 Status]]="Continued", Table1[[#This Row],[Check 3 Students Spring]], 0)</f>
        <v>0</v>
      </c>
      <c r="CN73" s="58">
        <f>Table1[[#This Row],[Check 3 Per Student Savings]]*CM73</f>
        <v>0</v>
      </c>
      <c r="CO73" s="21">
        <f t="shared" si="82"/>
        <v>0</v>
      </c>
      <c r="CP73" s="58">
        <f t="shared" si="83"/>
        <v>0</v>
      </c>
      <c r="CQ73" s="58" t="s">
        <v>1777</v>
      </c>
      <c r="CR73" s="21"/>
      <c r="CS73" s="21"/>
      <c r="CT73" s="21"/>
      <c r="CU73" s="21">
        <f t="shared" si="84"/>
        <v>0</v>
      </c>
      <c r="CV73" s="58">
        <v>0</v>
      </c>
      <c r="CW73" s="58">
        <f t="shared" si="85"/>
        <v>0</v>
      </c>
      <c r="CX73" s="58"/>
      <c r="CY73" s="21">
        <f>IF(Table1[[#This Row],[Check 4 Status]]="Continued", Table1[[#This Row],[Check 4 Students Summer]], 0)</f>
        <v>0</v>
      </c>
      <c r="CZ73" s="58">
        <f>Table1[[#This Row],[Check 4 Per Student Savings]]*CY73</f>
        <v>0</v>
      </c>
      <c r="DA73" s="21">
        <f>IF(Table1[[#This Row],[Check 4 Status]]="Continued", Table1[[#This Row],[Check 4 Students Fall]], 0)</f>
        <v>0</v>
      </c>
      <c r="DB73" s="58">
        <f>Table1[[#This Row],[Check 4 Per Student Savings]]*DA73</f>
        <v>0</v>
      </c>
      <c r="DC73" s="21">
        <f>IF(Table1[[#This Row],[Check 4 Status]]="Continued", Table1[[#This Row],[Check 4 Students Spring]], 0)</f>
        <v>0</v>
      </c>
      <c r="DD73" s="58">
        <f>Table1[[#This Row],[Check 4 Per Student Savings]]*DC73</f>
        <v>0</v>
      </c>
      <c r="DE73" s="58">
        <f t="shared" si="86"/>
        <v>0</v>
      </c>
      <c r="DF73" s="58">
        <f t="shared" si="87"/>
        <v>0</v>
      </c>
      <c r="DG7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783.33333333333337</v>
      </c>
      <c r="DH7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121583.33333333334</v>
      </c>
      <c r="DI73" s="58">
        <f>Table1[[#This Row],[Grand Total Savings]]/Table1[[#This Row],[Total Award]]</f>
        <v>11.257716049382717</v>
      </c>
      <c r="DJ73" s="17"/>
      <c r="DK73" s="17"/>
      <c r="DL73" s="17"/>
      <c r="DM73" s="17"/>
      <c r="EC73" s="17"/>
      <c r="ED73" s="17"/>
      <c r="EE73" s="17"/>
      <c r="EF73" s="17"/>
    </row>
    <row r="74" spans="1:136" x14ac:dyDescent="0.25">
      <c r="A74" s="159">
        <v>143</v>
      </c>
      <c r="B74" s="17" t="s">
        <v>2011</v>
      </c>
      <c r="D74" s="97">
        <v>510487</v>
      </c>
      <c r="E74" s="158">
        <v>42299</v>
      </c>
      <c r="F74" s="158">
        <v>42734</v>
      </c>
      <c r="G74" s="159" t="s">
        <v>451</v>
      </c>
      <c r="H74" s="95" t="s">
        <v>9</v>
      </c>
      <c r="I74" s="226" t="s">
        <v>118</v>
      </c>
      <c r="J74" s="17" t="s">
        <v>132</v>
      </c>
      <c r="K74" s="107">
        <v>10800</v>
      </c>
      <c r="L74" s="107"/>
      <c r="M74" s="101" t="s">
        <v>519</v>
      </c>
      <c r="N74" s="101" t="s">
        <v>520</v>
      </c>
      <c r="O74" s="101" t="s">
        <v>454</v>
      </c>
      <c r="P74" s="101" t="s">
        <v>455</v>
      </c>
      <c r="Q74" s="101" t="s">
        <v>456</v>
      </c>
      <c r="R74" s="101" t="s">
        <v>454</v>
      </c>
      <c r="S74" s="101" t="s">
        <v>129</v>
      </c>
      <c r="T74" s="17" t="s">
        <v>125</v>
      </c>
      <c r="U74" s="160" t="s">
        <v>457</v>
      </c>
      <c r="V74" s="93" t="s">
        <v>150</v>
      </c>
      <c r="W74" s="93" t="s">
        <v>150</v>
      </c>
      <c r="X74" s="93" t="s">
        <v>150</v>
      </c>
      <c r="Y74" s="58">
        <v>20945.7</v>
      </c>
      <c r="Z74" s="17">
        <v>90</v>
      </c>
      <c r="AA74" s="58">
        <f t="shared" si="59"/>
        <v>232.73000000000002</v>
      </c>
      <c r="AB74" s="21">
        <f t="shared" si="71"/>
        <v>30</v>
      </c>
      <c r="AC74" s="21">
        <f t="shared" si="72"/>
        <v>30</v>
      </c>
      <c r="AD74" s="21">
        <f t="shared" si="73"/>
        <v>30</v>
      </c>
      <c r="AE74" s="17" t="s">
        <v>468</v>
      </c>
      <c r="AF74" s="17" t="s">
        <v>129</v>
      </c>
      <c r="AG74" s="17"/>
      <c r="AI74" s="17" t="s">
        <v>130</v>
      </c>
      <c r="AJ74" s="21">
        <v>0</v>
      </c>
      <c r="AK74" s="58">
        <v>0</v>
      </c>
      <c r="AL74" s="21">
        <v>0</v>
      </c>
      <c r="AM74" s="58">
        <f t="shared" si="74"/>
        <v>0</v>
      </c>
      <c r="AN74" s="21">
        <v>0</v>
      </c>
      <c r="AO74" s="58">
        <f t="shared" si="76"/>
        <v>0</v>
      </c>
      <c r="AP74" s="21">
        <v>0</v>
      </c>
      <c r="AQ74" s="58">
        <f t="shared" si="77"/>
        <v>0</v>
      </c>
      <c r="AR74" s="21">
        <v>0</v>
      </c>
      <c r="AS74" s="58">
        <f t="shared" si="78"/>
        <v>0</v>
      </c>
      <c r="AT74" s="21">
        <v>0</v>
      </c>
      <c r="AU74" s="58">
        <f t="shared" ref="AU74:AU105" si="89">AO74+AQ74+AS74</f>
        <v>0</v>
      </c>
      <c r="AV74" s="21">
        <f>IF(Table1[[#This Row],[Sustainability Check 1 (2017-2018) Status]]="Continued", Table1[[#This Row],[Students Per Summer]], 0)</f>
        <v>30</v>
      </c>
      <c r="AW74" s="58">
        <f t="shared" si="61"/>
        <v>6981.9000000000005</v>
      </c>
      <c r="AX74" s="31">
        <f>IF(Table1[[#This Row],[Sustainability Check 1 (2017-2018) Status]]="Continued", Table1[[#This Row],[Students Per Fall]], 0)</f>
        <v>30</v>
      </c>
      <c r="AY74" s="58">
        <f t="shared" si="62"/>
        <v>6981.9000000000005</v>
      </c>
      <c r="AZ74" s="31">
        <f>IF(Table1[[#This Row],[Sustainability Check 1 (2017-2018) Status]]="Continued", Table1[[#This Row],[Students Per Spring]], 0)</f>
        <v>30</v>
      </c>
      <c r="BA74" s="58">
        <f t="shared" si="63"/>
        <v>6981.9000000000005</v>
      </c>
      <c r="BB74" s="31">
        <f t="shared" si="64"/>
        <v>90</v>
      </c>
      <c r="BC74" s="58">
        <f t="shared" si="65"/>
        <v>20945.7</v>
      </c>
      <c r="BD74" s="31">
        <f>IF(Table1[[#This Row],[Sustainability Check 1 (2017-2018) Status]]="Continued", Table1[[#This Row],[Students Per Summer]], 0)</f>
        <v>30</v>
      </c>
      <c r="BE74" s="58">
        <f t="shared" si="66"/>
        <v>6981.9000000000005</v>
      </c>
      <c r="BF74" s="31">
        <f>IF(Table1[[#This Row],[Sustainability Check 1 (2017-2018) Status]]="Continued", Table1[[#This Row],[Students Per Fall]], 0)</f>
        <v>30</v>
      </c>
      <c r="BG74" s="58">
        <f t="shared" si="67"/>
        <v>6981.9000000000005</v>
      </c>
      <c r="BH74" s="31">
        <f>IF(Table1[[#This Row],[Sustainability Check 1 (2017-2018) Status]]="Continued", Table1[[#This Row],[Students Per Spring]], 0)</f>
        <v>30</v>
      </c>
      <c r="BI74" s="58">
        <f t="shared" si="68"/>
        <v>6981.9000000000005</v>
      </c>
      <c r="BJ74" s="31">
        <f t="shared" si="69"/>
        <v>90</v>
      </c>
      <c r="BK74" s="58">
        <f t="shared" si="70"/>
        <v>20945.7</v>
      </c>
      <c r="BL74" s="58" t="s">
        <v>130</v>
      </c>
      <c r="BM74" s="31">
        <v>30</v>
      </c>
      <c r="BN74" s="31">
        <v>120</v>
      </c>
      <c r="BO74" s="31">
        <v>120</v>
      </c>
      <c r="BP74" s="31">
        <f t="shared" si="75"/>
        <v>270</v>
      </c>
      <c r="BQ74" s="96">
        <v>244.6</v>
      </c>
      <c r="BR74" s="58">
        <f>Table1[[#This Row],[Check 2 Students Total]]*Table1[[#This Row],[Summer 2018 Price Check]]</f>
        <v>66042</v>
      </c>
      <c r="BS74" s="31">
        <f>IF(Table1[[#This Row],[Sustainability Check 2 (2018-2019) Status]]="Continued", Table1[[#This Row],[Check 2 Students Summer]], 0)</f>
        <v>30</v>
      </c>
      <c r="BT74" s="58">
        <f>Table1[[#This Row],[Summer 2018 Price Check]]*BS74</f>
        <v>7338</v>
      </c>
      <c r="BU74" s="31">
        <f>IF(Table1[[#This Row],[Sustainability Check 2 (2018-2019) Status]]="Continued", Table1[[#This Row],[Check 2 Students Fall]], 0)</f>
        <v>120</v>
      </c>
      <c r="BV74" s="58">
        <f>Table1[[#This Row],[Summer 2018 Price Check]]*BU74</f>
        <v>29352</v>
      </c>
      <c r="BW74" s="21">
        <f>IF(Table1[[#This Row],[Sustainability Check 2 (2018-2019) Status]]="Continued", Table1[Check 2 Students Spring], 0)</f>
        <v>120</v>
      </c>
      <c r="BX74" s="58">
        <f>Table1[[#This Row],[Summer 2018 Price Check]]*Table1[[#This Row],[Spring 2019 Students]]</f>
        <v>29352</v>
      </c>
      <c r="BY74" s="31">
        <f t="shared" si="79"/>
        <v>270</v>
      </c>
      <c r="BZ74" s="58">
        <f t="shared" si="80"/>
        <v>66042</v>
      </c>
      <c r="CA74" s="58" t="s">
        <v>130</v>
      </c>
      <c r="CB74" s="21">
        <v>47</v>
      </c>
      <c r="CC74" s="21">
        <v>90</v>
      </c>
      <c r="CD74" s="21">
        <v>190</v>
      </c>
      <c r="CE74" s="21">
        <f t="shared" si="88"/>
        <v>327</v>
      </c>
      <c r="CF74" s="58">
        <v>193</v>
      </c>
      <c r="CG74" s="58">
        <f t="shared" si="81"/>
        <v>63111</v>
      </c>
      <c r="CH74" s="17" t="s">
        <v>468</v>
      </c>
      <c r="CI74" s="21">
        <f>IF(Table1[[#This Row],[Check 3 Status]]="Continued", Table1[[#This Row],[Check 3 Students Summer]], 0)</f>
        <v>47</v>
      </c>
      <c r="CJ74" s="58">
        <f>Table1[[#This Row],[Check 3 Per Student Savings]]*CI74</f>
        <v>9071</v>
      </c>
      <c r="CK74" s="21">
        <f>IF(Table1[[#This Row],[Check 3 Status]]="Continued", Table1[[#This Row],[Check 3 Students Fall]], 0)</f>
        <v>90</v>
      </c>
      <c r="CL74" s="58">
        <f>Table1[[#This Row],[Check 3 Per Student Savings]]*CK74</f>
        <v>17370</v>
      </c>
      <c r="CM74" s="21">
        <f>IF(Table1[[#This Row],[Check 3 Status]]="Continued", Table1[[#This Row],[Check 3 Students Spring]], 0)</f>
        <v>190</v>
      </c>
      <c r="CN74" s="58">
        <f>Table1[[#This Row],[Check 3 Per Student Savings]]*CM74</f>
        <v>36670</v>
      </c>
      <c r="CO74" s="21">
        <f t="shared" si="82"/>
        <v>327</v>
      </c>
      <c r="CP74" s="58">
        <f t="shared" si="83"/>
        <v>63111</v>
      </c>
      <c r="CQ74" s="58" t="s">
        <v>130</v>
      </c>
      <c r="CR74" s="21">
        <v>47</v>
      </c>
      <c r="CS74" s="21">
        <v>90</v>
      </c>
      <c r="CT74" s="21">
        <v>190</v>
      </c>
      <c r="CU74" s="21">
        <f t="shared" si="84"/>
        <v>327</v>
      </c>
      <c r="CV74" s="58">
        <v>193</v>
      </c>
      <c r="CW74" s="58">
        <f t="shared" si="85"/>
        <v>63111</v>
      </c>
      <c r="CX74" s="58"/>
      <c r="CY74" s="21">
        <f>IF(Table1[[#This Row],[Check 4 Status]]="Continued", Table1[[#This Row],[Check 4 Students Summer]], 0)</f>
        <v>47</v>
      </c>
      <c r="CZ74" s="58">
        <f>Table1[[#This Row],[Check 4 Per Student Savings]]*CY74</f>
        <v>9071</v>
      </c>
      <c r="DA74" s="21">
        <f>IF(Table1[[#This Row],[Check 4 Status]]="Continued", Table1[[#This Row],[Check 4 Students Fall]], 0)</f>
        <v>90</v>
      </c>
      <c r="DB74" s="58">
        <f>Table1[[#This Row],[Check 4 Per Student Savings]]*DA74</f>
        <v>17370</v>
      </c>
      <c r="DC74" s="100">
        <v>0</v>
      </c>
      <c r="DD74" s="99">
        <v>0</v>
      </c>
      <c r="DE74" s="58">
        <f t="shared" si="86"/>
        <v>137</v>
      </c>
      <c r="DF74" s="58">
        <f t="shared" si="87"/>
        <v>26441</v>
      </c>
      <c r="DG7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914</v>
      </c>
      <c r="DH7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197485.4</v>
      </c>
      <c r="DI74" s="58">
        <f>Table1[[#This Row],[Grand Total Savings]]/Table1[[#This Row],[Total Award]]</f>
        <v>18.285685185185184</v>
      </c>
      <c r="DJ74" s="17"/>
      <c r="DK74" s="17"/>
      <c r="DL74" s="17"/>
      <c r="DM74" s="17"/>
      <c r="EC74" s="17"/>
      <c r="ED74" s="17"/>
      <c r="EE74" s="17"/>
      <c r="EF74" s="17"/>
    </row>
    <row r="75" spans="1:136" x14ac:dyDescent="0.25">
      <c r="A75" s="159">
        <v>145</v>
      </c>
      <c r="B75" s="17" t="s">
        <v>2011</v>
      </c>
      <c r="D75" s="97">
        <v>510595</v>
      </c>
      <c r="E75" s="158">
        <v>42410</v>
      </c>
      <c r="F75" s="158">
        <v>42886</v>
      </c>
      <c r="G75" s="159" t="s">
        <v>521</v>
      </c>
      <c r="H75" s="95" t="s">
        <v>9</v>
      </c>
      <c r="I75" s="226" t="s">
        <v>118</v>
      </c>
      <c r="J75" s="17" t="s">
        <v>201</v>
      </c>
      <c r="K75" s="107">
        <v>30000</v>
      </c>
      <c r="L75" s="107"/>
      <c r="M75" s="101" t="s">
        <v>522</v>
      </c>
      <c r="N75" s="101" t="s">
        <v>523</v>
      </c>
      <c r="O75" s="101" t="s">
        <v>524</v>
      </c>
      <c r="P75" s="101" t="s">
        <v>347</v>
      </c>
      <c r="Q75" s="101" t="s">
        <v>192</v>
      </c>
      <c r="R75" s="101" t="s">
        <v>525</v>
      </c>
      <c r="S75" s="101" t="s">
        <v>129</v>
      </c>
      <c r="T75" s="17" t="s">
        <v>125</v>
      </c>
      <c r="U75" s="160" t="s">
        <v>193</v>
      </c>
      <c r="V75" s="93" t="s">
        <v>127</v>
      </c>
      <c r="W75" s="93" t="s">
        <v>127</v>
      </c>
      <c r="X75" s="93" t="s">
        <v>127</v>
      </c>
      <c r="Y75" s="58">
        <v>172920</v>
      </c>
      <c r="Z75" s="17">
        <v>786</v>
      </c>
      <c r="AA75" s="58">
        <f t="shared" si="59"/>
        <v>220</v>
      </c>
      <c r="AB75" s="21">
        <f t="shared" si="71"/>
        <v>262</v>
      </c>
      <c r="AC75" s="21">
        <f t="shared" si="72"/>
        <v>262</v>
      </c>
      <c r="AD75" s="21">
        <f t="shared" si="73"/>
        <v>262</v>
      </c>
      <c r="AE75" s="17" t="s">
        <v>468</v>
      </c>
      <c r="AF75" s="17" t="s">
        <v>129</v>
      </c>
      <c r="AG75" s="17"/>
      <c r="AI75" s="17" t="s">
        <v>130</v>
      </c>
      <c r="AJ75" s="21">
        <v>0</v>
      </c>
      <c r="AK75" s="58">
        <v>0</v>
      </c>
      <c r="AL75" s="21">
        <v>0</v>
      </c>
      <c r="AM75" s="58">
        <f t="shared" si="74"/>
        <v>0</v>
      </c>
      <c r="AN75" s="21">
        <v>0</v>
      </c>
      <c r="AO75" s="58">
        <f t="shared" si="76"/>
        <v>0</v>
      </c>
      <c r="AP75" s="21">
        <v>0</v>
      </c>
      <c r="AQ75" s="58">
        <f t="shared" si="77"/>
        <v>0</v>
      </c>
      <c r="AR75" s="21">
        <v>0</v>
      </c>
      <c r="AS75" s="58">
        <f t="shared" si="78"/>
        <v>0</v>
      </c>
      <c r="AT75" s="21">
        <v>0</v>
      </c>
      <c r="AU75" s="58">
        <f t="shared" si="89"/>
        <v>0</v>
      </c>
      <c r="AV75" s="21">
        <f>IF(Table1[[#This Row],[Sustainability Check 1 (2017-2018) Status]]="Continued", Table1[[#This Row],[Students Per Summer]], 0)</f>
        <v>262</v>
      </c>
      <c r="AW75" s="58">
        <f t="shared" si="61"/>
        <v>57640</v>
      </c>
      <c r="AX75" s="31">
        <f>IF(Table1[[#This Row],[Sustainability Check 1 (2017-2018) Status]]="Continued", Table1[[#This Row],[Students Per Fall]], 0)</f>
        <v>262</v>
      </c>
      <c r="AY75" s="58">
        <f t="shared" si="62"/>
        <v>57640</v>
      </c>
      <c r="AZ75" s="31">
        <f>IF(Table1[[#This Row],[Sustainability Check 1 (2017-2018) Status]]="Continued", Table1[[#This Row],[Students Per Spring]], 0)</f>
        <v>262</v>
      </c>
      <c r="BA75" s="58">
        <f t="shared" si="63"/>
        <v>57640</v>
      </c>
      <c r="BB75" s="31">
        <f t="shared" si="64"/>
        <v>786</v>
      </c>
      <c r="BC75" s="58">
        <f t="shared" si="65"/>
        <v>172920</v>
      </c>
      <c r="BD75" s="31">
        <f>IF(Table1[[#This Row],[Sustainability Check 1 (2017-2018) Status]]="Continued", Table1[[#This Row],[Students Per Summer]], 0)</f>
        <v>262</v>
      </c>
      <c r="BE75" s="58">
        <f t="shared" si="66"/>
        <v>57640</v>
      </c>
      <c r="BF75" s="31">
        <f>IF(Table1[[#This Row],[Sustainability Check 1 (2017-2018) Status]]="Continued", Table1[[#This Row],[Students Per Fall]], 0)</f>
        <v>262</v>
      </c>
      <c r="BG75" s="58">
        <f t="shared" si="67"/>
        <v>57640</v>
      </c>
      <c r="BH75" s="31">
        <f>IF(Table1[[#This Row],[Sustainability Check 1 (2017-2018) Status]]="Continued", Table1[[#This Row],[Students Per Spring]], 0)</f>
        <v>262</v>
      </c>
      <c r="BI75" s="58">
        <f t="shared" si="68"/>
        <v>57640</v>
      </c>
      <c r="BJ75" s="31">
        <f t="shared" si="69"/>
        <v>786</v>
      </c>
      <c r="BK75" s="58">
        <f t="shared" si="70"/>
        <v>172920</v>
      </c>
      <c r="BL75" s="58" t="s">
        <v>142</v>
      </c>
      <c r="BM75" s="31">
        <v>0</v>
      </c>
      <c r="BN75" s="31">
        <v>0</v>
      </c>
      <c r="BO75" s="31">
        <v>0</v>
      </c>
      <c r="BP75" s="31">
        <f t="shared" si="75"/>
        <v>0</v>
      </c>
      <c r="BQ75" s="96">
        <v>259.60000000000002</v>
      </c>
      <c r="BR75" s="58">
        <f>Table1[[#This Row],[Check 2 Students Total]]*Table1[[#This Row],[Summer 2018 Price Check]]</f>
        <v>0</v>
      </c>
      <c r="BS75" s="31">
        <f>IF(Table1[[#This Row],[Sustainability Check 2 (2018-2019) Status]]="Continued", Table1[[#This Row],[Check 2 Students Summer]], 0)</f>
        <v>0</v>
      </c>
      <c r="BT75" s="58">
        <f>Table1[[#This Row],[Summer 2018 Price Check]]*BS75</f>
        <v>0</v>
      </c>
      <c r="BU75" s="31">
        <f>IF(Table1[[#This Row],[Sustainability Check 2 (2018-2019) Status]]="Continued", Table1[[#This Row],[Check 2 Students Fall]], 0)</f>
        <v>0</v>
      </c>
      <c r="BV75" s="58">
        <f>Table1[[#This Row],[Summer 2018 Price Check]]*BU75</f>
        <v>0</v>
      </c>
      <c r="BW75" s="21">
        <f>IF(Table1[[#This Row],[Sustainability Check 2 (2018-2019) Status]]="Continued", Table1[Check 2 Students Spring], 0)</f>
        <v>0</v>
      </c>
      <c r="BX75" s="58">
        <f>Table1[[#This Row],[Summer 2018 Price Check]]*Table1[[#This Row],[Spring 2019 Students]]</f>
        <v>0</v>
      </c>
      <c r="BY75" s="31">
        <f t="shared" si="79"/>
        <v>0</v>
      </c>
      <c r="BZ75" s="58">
        <f t="shared" si="80"/>
        <v>0</v>
      </c>
      <c r="CA75" s="58" t="s">
        <v>142</v>
      </c>
      <c r="CB75" s="21">
        <v>0</v>
      </c>
      <c r="CC75" s="21">
        <v>0</v>
      </c>
      <c r="CD75" s="21">
        <v>0</v>
      </c>
      <c r="CE75" s="21">
        <f t="shared" si="88"/>
        <v>0</v>
      </c>
      <c r="CF75" s="58">
        <v>0</v>
      </c>
      <c r="CG75" s="58">
        <f t="shared" si="81"/>
        <v>0</v>
      </c>
      <c r="CH75" s="17" t="s">
        <v>468</v>
      </c>
      <c r="CI75" s="21">
        <f>IF(Table1[[#This Row],[Check 3 Status]]="Continued", Table1[[#This Row],[Check 3 Students Summer]], 0)</f>
        <v>0</v>
      </c>
      <c r="CJ75" s="58">
        <f>Table1[[#This Row],[Check 3 Per Student Savings]]*CI75</f>
        <v>0</v>
      </c>
      <c r="CK75" s="21">
        <f>IF(Table1[[#This Row],[Check 3 Status]]="Continued", Table1[[#This Row],[Check 3 Students Fall]], 0)</f>
        <v>0</v>
      </c>
      <c r="CL75" s="58">
        <f>Table1[[#This Row],[Check 3 Per Student Savings]]*CK75</f>
        <v>0</v>
      </c>
      <c r="CM75" s="21">
        <f>IF(Table1[[#This Row],[Check 3 Status]]="Continued", Table1[[#This Row],[Check 3 Students Spring]], 0)</f>
        <v>0</v>
      </c>
      <c r="CN75" s="58">
        <f>Table1[[#This Row],[Check 3 Per Student Savings]]*CM75</f>
        <v>0</v>
      </c>
      <c r="CO75" s="21">
        <f t="shared" si="82"/>
        <v>0</v>
      </c>
      <c r="CP75" s="58">
        <f t="shared" si="83"/>
        <v>0</v>
      </c>
      <c r="CQ75" s="58" t="s">
        <v>142</v>
      </c>
      <c r="CR75" s="21">
        <v>0</v>
      </c>
      <c r="CS75" s="21">
        <v>0</v>
      </c>
      <c r="CT75" s="21">
        <v>0</v>
      </c>
      <c r="CU75" s="21">
        <f t="shared" si="84"/>
        <v>0</v>
      </c>
      <c r="CV75" s="58">
        <v>0</v>
      </c>
      <c r="CW75" s="58">
        <f t="shared" si="85"/>
        <v>0</v>
      </c>
      <c r="CX75" s="58"/>
      <c r="CY75" s="21">
        <f>IF(Table1[[#This Row],[Check 4 Status]]="Continued", Table1[[#This Row],[Check 4 Students Summer]], 0)</f>
        <v>0</v>
      </c>
      <c r="CZ75" s="58">
        <f>Table1[[#This Row],[Check 4 Per Student Savings]]*CY75</f>
        <v>0</v>
      </c>
      <c r="DA75" s="21">
        <f>IF(Table1[[#This Row],[Check 4 Status]]="Continued", Table1[[#This Row],[Check 4 Students Fall]], 0)</f>
        <v>0</v>
      </c>
      <c r="DB75" s="58">
        <f>Table1[[#This Row],[Check 4 Per Student Savings]]*DA75</f>
        <v>0</v>
      </c>
      <c r="DC75" s="21">
        <f>IF(Table1[[#This Row],[Check 4 Status]]="Continued", Table1[[#This Row],[Check 4 Students Spring]], 0)</f>
        <v>0</v>
      </c>
      <c r="DD75" s="58">
        <f>Table1[[#This Row],[Check 4 Per Student Savings]]*DC75</f>
        <v>0</v>
      </c>
      <c r="DE75" s="58">
        <f t="shared" si="86"/>
        <v>0</v>
      </c>
      <c r="DF75" s="58">
        <f t="shared" si="87"/>
        <v>0</v>
      </c>
      <c r="DG7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1572</v>
      </c>
      <c r="DH7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345840</v>
      </c>
      <c r="DI75" s="58">
        <f>Table1[[#This Row],[Grand Total Savings]]/Table1[[#This Row],[Total Award]]</f>
        <v>11.528</v>
      </c>
      <c r="DJ75" s="17"/>
      <c r="DK75" s="17"/>
      <c r="DL75" s="17"/>
      <c r="DM75" s="17"/>
      <c r="EC75" s="17"/>
      <c r="ED75" s="17"/>
      <c r="EE75" s="17"/>
      <c r="EF75" s="17"/>
    </row>
    <row r="76" spans="1:136" x14ac:dyDescent="0.25">
      <c r="A76" s="159">
        <v>147</v>
      </c>
      <c r="B76" s="17" t="s">
        <v>2011</v>
      </c>
      <c r="D76" s="97">
        <v>510612</v>
      </c>
      <c r="E76" s="158">
        <v>42486</v>
      </c>
      <c r="F76" s="158">
        <v>42886</v>
      </c>
      <c r="G76" s="159" t="s">
        <v>521</v>
      </c>
      <c r="H76" s="95" t="s">
        <v>9</v>
      </c>
      <c r="I76" s="226" t="s">
        <v>118</v>
      </c>
      <c r="J76" s="17" t="s">
        <v>236</v>
      </c>
      <c r="K76" s="107">
        <v>10800</v>
      </c>
      <c r="L76" s="107"/>
      <c r="M76" s="101" t="s">
        <v>526</v>
      </c>
      <c r="N76" s="101" t="s">
        <v>527</v>
      </c>
      <c r="O76" s="101" t="s">
        <v>528</v>
      </c>
      <c r="P76" s="101" t="s">
        <v>529</v>
      </c>
      <c r="Q76" s="101" t="s">
        <v>530</v>
      </c>
      <c r="R76" s="101" t="s">
        <v>531</v>
      </c>
      <c r="S76" s="160" t="s">
        <v>36</v>
      </c>
      <c r="T76" s="17" t="s">
        <v>129</v>
      </c>
      <c r="U76" s="101" t="s">
        <v>157</v>
      </c>
      <c r="V76" s="17" t="s">
        <v>150</v>
      </c>
      <c r="W76" s="17" t="s">
        <v>150</v>
      </c>
      <c r="X76" s="17" t="s">
        <v>150</v>
      </c>
      <c r="Y76" s="58">
        <v>175140</v>
      </c>
      <c r="Z76" s="17">
        <v>630</v>
      </c>
      <c r="AA76" s="58">
        <f t="shared" si="59"/>
        <v>278</v>
      </c>
      <c r="AB76" s="21">
        <f t="shared" si="71"/>
        <v>210</v>
      </c>
      <c r="AC76" s="21">
        <f t="shared" si="72"/>
        <v>210</v>
      </c>
      <c r="AD76" s="21">
        <f t="shared" si="73"/>
        <v>210</v>
      </c>
      <c r="AE76" s="17" t="s">
        <v>208</v>
      </c>
      <c r="AF76" s="17" t="s">
        <v>129</v>
      </c>
      <c r="AG76" s="17"/>
      <c r="AI76" s="17" t="s">
        <v>130</v>
      </c>
      <c r="AJ76" s="21">
        <v>0</v>
      </c>
      <c r="AK76" s="58">
        <v>0</v>
      </c>
      <c r="AL76" s="21">
        <v>0</v>
      </c>
      <c r="AM76" s="58">
        <f t="shared" si="74"/>
        <v>0</v>
      </c>
      <c r="AN76" s="21">
        <v>0</v>
      </c>
      <c r="AO76" s="58">
        <f t="shared" si="76"/>
        <v>0</v>
      </c>
      <c r="AP76" s="21">
        <f>Table1[[#This Row],[Students Per Fall]]</f>
        <v>210</v>
      </c>
      <c r="AQ76" s="58">
        <f t="shared" si="77"/>
        <v>58380</v>
      </c>
      <c r="AR76" s="21">
        <f>IF(Table1[[#This Row],[Sustainability Check 1 (2017-2018) Status]]="Continued", Table1[[#This Row],[Students Per Spring]], 0)</f>
        <v>210</v>
      </c>
      <c r="AS76" s="58">
        <f t="shared" si="78"/>
        <v>58380</v>
      </c>
      <c r="AT76" s="21">
        <f>AN76+AP76+AR76</f>
        <v>420</v>
      </c>
      <c r="AU76" s="58">
        <f t="shared" si="89"/>
        <v>116760</v>
      </c>
      <c r="AV76" s="21">
        <f>IF(Table1[[#This Row],[Sustainability Check 1 (2017-2018) Status]]="Continued", Table1[[#This Row],[Students Per Summer]], 0)</f>
        <v>210</v>
      </c>
      <c r="AW76" s="58">
        <f t="shared" si="61"/>
        <v>58380</v>
      </c>
      <c r="AX76" s="31">
        <f>IF(Table1[[#This Row],[Sustainability Check 1 (2017-2018) Status]]="Continued", Table1[[#This Row],[Students Per Fall]], 0)</f>
        <v>210</v>
      </c>
      <c r="AY76" s="58">
        <f t="shared" si="62"/>
        <v>58380</v>
      </c>
      <c r="AZ76" s="31">
        <f>IF(Table1[[#This Row],[Sustainability Check 1 (2017-2018) Status]]="Continued", Table1[[#This Row],[Students Per Spring]], 0)</f>
        <v>210</v>
      </c>
      <c r="BA76" s="58">
        <f t="shared" si="63"/>
        <v>58380</v>
      </c>
      <c r="BB76" s="31">
        <f t="shared" si="64"/>
        <v>630</v>
      </c>
      <c r="BC76" s="58">
        <f t="shared" si="65"/>
        <v>175140</v>
      </c>
      <c r="BD76" s="31">
        <f>IF(Table1[[#This Row],[Sustainability Check 1 (2017-2018) Status]]="Continued", Table1[[#This Row],[Students Per Summer]], 0)</f>
        <v>210</v>
      </c>
      <c r="BE76" s="58">
        <f t="shared" si="66"/>
        <v>58380</v>
      </c>
      <c r="BF76" s="31">
        <f>IF(Table1[[#This Row],[Sustainability Check 1 (2017-2018) Status]]="Continued", Table1[[#This Row],[Students Per Fall]], 0)</f>
        <v>210</v>
      </c>
      <c r="BG76" s="58">
        <f t="shared" si="67"/>
        <v>58380</v>
      </c>
      <c r="BH76" s="31">
        <f>IF(Table1[[#This Row],[Sustainability Check 1 (2017-2018) Status]]="Continued", Table1[[#This Row],[Students Per Spring]], 0)</f>
        <v>210</v>
      </c>
      <c r="BI76" s="58">
        <f t="shared" si="68"/>
        <v>58380</v>
      </c>
      <c r="BJ76" s="31">
        <f t="shared" si="69"/>
        <v>630</v>
      </c>
      <c r="BK76" s="58">
        <f t="shared" si="70"/>
        <v>175140</v>
      </c>
      <c r="BL76" s="58" t="s">
        <v>130</v>
      </c>
      <c r="BM76" s="31">
        <v>20</v>
      </c>
      <c r="BN76" s="31">
        <v>120</v>
      </c>
      <c r="BO76" s="31">
        <v>120</v>
      </c>
      <c r="BP76" s="31">
        <f t="shared" si="75"/>
        <v>260</v>
      </c>
      <c r="BQ76" s="96">
        <v>321.74</v>
      </c>
      <c r="BR76" s="58">
        <f>Table1[[#This Row],[Check 2 Students Total]]*Table1[[#This Row],[Summer 2018 Price Check]]</f>
        <v>83652.400000000009</v>
      </c>
      <c r="BS76" s="31">
        <f>IF(Table1[[#This Row],[Sustainability Check 2 (2018-2019) Status]]="Continued", Table1[[#This Row],[Check 2 Students Summer]], 0)</f>
        <v>20</v>
      </c>
      <c r="BT76" s="58">
        <f>Table1[[#This Row],[Summer 2018 Price Check]]*BS76</f>
        <v>6434.8</v>
      </c>
      <c r="BU76" s="31">
        <f>IF(Table1[[#This Row],[Sustainability Check 2 (2018-2019) Status]]="Continued", Table1[[#This Row],[Check 2 Students Fall]], 0)</f>
        <v>120</v>
      </c>
      <c r="BV76" s="58">
        <f>Table1[[#This Row],[Summer 2018 Price Check]]*BU76</f>
        <v>38608.800000000003</v>
      </c>
      <c r="BW76" s="21">
        <f>IF(Table1[[#This Row],[Sustainability Check 2 (2018-2019) Status]]="Continued", Table1[Check 2 Students Spring], 0)</f>
        <v>120</v>
      </c>
      <c r="BX76" s="58">
        <f>Table1[[#This Row],[Summer 2018 Price Check]]*Table1[[#This Row],[Spring 2019 Students]]</f>
        <v>38608.800000000003</v>
      </c>
      <c r="BY76" s="31">
        <f t="shared" si="79"/>
        <v>260</v>
      </c>
      <c r="BZ76" s="58">
        <f t="shared" si="80"/>
        <v>83652.400000000009</v>
      </c>
      <c r="CA76" s="58" t="s">
        <v>142</v>
      </c>
      <c r="CB76" s="21"/>
      <c r="CC76" s="21"/>
      <c r="CD76" s="21"/>
      <c r="CE76" s="21">
        <f t="shared" si="88"/>
        <v>0</v>
      </c>
      <c r="CF76" s="58"/>
      <c r="CG76" s="58">
        <f t="shared" si="81"/>
        <v>0</v>
      </c>
      <c r="CH76" s="17" t="s">
        <v>208</v>
      </c>
      <c r="CI76" s="21">
        <f>IF(Table1[[#This Row],[Check 3 Status]]="Continued", Table1[[#This Row],[Check 3 Students Summer]], 0)</f>
        <v>0</v>
      </c>
      <c r="CJ76" s="58">
        <f>Table1[[#This Row],[Check 3 Per Student Savings]]*CI76</f>
        <v>0</v>
      </c>
      <c r="CK76" s="21">
        <f>IF(Table1[[#This Row],[Check 3 Status]]="Continued", Table1[[#This Row],[Check 3 Students Fall]], 0)</f>
        <v>0</v>
      </c>
      <c r="CL76" s="58">
        <f>Table1[[#This Row],[Check 3 Per Student Savings]]*CK76</f>
        <v>0</v>
      </c>
      <c r="CM76" s="21">
        <f>IF(Table1[[#This Row],[Check 3 Status]]="Continued", Table1[[#This Row],[Check 3 Students Spring]], 0)</f>
        <v>0</v>
      </c>
      <c r="CN76" s="58">
        <f>Table1[[#This Row],[Check 3 Per Student Savings]]*CM76</f>
        <v>0</v>
      </c>
      <c r="CO76" s="21">
        <f t="shared" si="82"/>
        <v>0</v>
      </c>
      <c r="CP76" s="58">
        <f t="shared" si="83"/>
        <v>0</v>
      </c>
      <c r="CQ76" s="58" t="s">
        <v>142</v>
      </c>
      <c r="CR76" s="21"/>
      <c r="CS76" s="21"/>
      <c r="CT76" s="21"/>
      <c r="CU76" s="21">
        <f t="shared" si="84"/>
        <v>0</v>
      </c>
      <c r="CV76" s="58">
        <v>0</v>
      </c>
      <c r="CW76" s="58">
        <f t="shared" si="85"/>
        <v>0</v>
      </c>
      <c r="CX76" s="58"/>
      <c r="CY76" s="21">
        <f>IF(Table1[[#This Row],[Check 4 Status]]="Continued", Table1[[#This Row],[Check 4 Students Summer]], 0)</f>
        <v>0</v>
      </c>
      <c r="CZ76" s="58">
        <f>Table1[[#This Row],[Check 4 Per Student Savings]]*CY76</f>
        <v>0</v>
      </c>
      <c r="DA76" s="21">
        <f>IF(Table1[[#This Row],[Check 4 Status]]="Continued", Table1[[#This Row],[Check 4 Students Fall]], 0)</f>
        <v>0</v>
      </c>
      <c r="DB76" s="58">
        <f>Table1[[#This Row],[Check 4 Per Student Savings]]*DA76</f>
        <v>0</v>
      </c>
      <c r="DC76" s="21">
        <f>IF(Table1[[#This Row],[Check 4 Status]]="Continued", Table1[[#This Row],[Check 4 Students Spring]], 0)</f>
        <v>0</v>
      </c>
      <c r="DD76" s="58">
        <f>Table1[[#This Row],[Check 4 Per Student Savings]]*DC76</f>
        <v>0</v>
      </c>
      <c r="DE76" s="58">
        <f t="shared" si="86"/>
        <v>0</v>
      </c>
      <c r="DF76" s="58">
        <f t="shared" si="87"/>
        <v>0</v>
      </c>
      <c r="DG7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1940</v>
      </c>
      <c r="DH7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550692.4</v>
      </c>
      <c r="DI76" s="58">
        <f>Table1[[#This Row],[Grand Total Savings]]/Table1[[#This Row],[Total Award]]</f>
        <v>50.990037037037041</v>
      </c>
      <c r="DJ76" s="17"/>
      <c r="DK76" s="17"/>
      <c r="DL76" s="17"/>
      <c r="DM76" s="17"/>
      <c r="EC76" s="17"/>
      <c r="ED76" s="17"/>
      <c r="EE76" s="17"/>
      <c r="EF76" s="17"/>
    </row>
    <row r="77" spans="1:136" x14ac:dyDescent="0.25">
      <c r="A77" s="159">
        <v>150</v>
      </c>
      <c r="B77" s="17" t="s">
        <v>2011</v>
      </c>
      <c r="D77" s="97">
        <v>510659</v>
      </c>
      <c r="E77" s="158">
        <v>42436</v>
      </c>
      <c r="F77" s="158">
        <v>42886</v>
      </c>
      <c r="G77" s="159" t="s">
        <v>521</v>
      </c>
      <c r="H77" s="95" t="s">
        <v>9</v>
      </c>
      <c r="I77" s="226" t="s">
        <v>118</v>
      </c>
      <c r="J77" s="17" t="s">
        <v>388</v>
      </c>
      <c r="K77" s="107">
        <v>16200</v>
      </c>
      <c r="L77" s="107"/>
      <c r="M77" s="101" t="s">
        <v>532</v>
      </c>
      <c r="N77" s="101" t="s">
        <v>533</v>
      </c>
      <c r="O77" s="101" t="s">
        <v>534</v>
      </c>
      <c r="P77" s="101" t="s">
        <v>535</v>
      </c>
      <c r="Q77" s="101" t="s">
        <v>488</v>
      </c>
      <c r="R77" s="101" t="s">
        <v>534</v>
      </c>
      <c r="S77" s="101" t="s">
        <v>129</v>
      </c>
      <c r="T77" s="17" t="s">
        <v>129</v>
      </c>
      <c r="U77" s="160" t="s">
        <v>536</v>
      </c>
      <c r="V77" s="17" t="s">
        <v>150</v>
      </c>
      <c r="W77" s="17" t="s">
        <v>139</v>
      </c>
      <c r="X77" s="17" t="s">
        <v>139</v>
      </c>
      <c r="Y77" s="58">
        <v>53996</v>
      </c>
      <c r="Z77" s="17">
        <v>360</v>
      </c>
      <c r="AA77" s="58">
        <f t="shared" si="59"/>
        <v>149.98888888888888</v>
      </c>
      <c r="AB77" s="21">
        <f t="shared" si="71"/>
        <v>120</v>
      </c>
      <c r="AC77" s="21">
        <f t="shared" si="72"/>
        <v>120</v>
      </c>
      <c r="AD77" s="21">
        <f t="shared" si="73"/>
        <v>120</v>
      </c>
      <c r="AE77" s="17" t="s">
        <v>537</v>
      </c>
      <c r="AF77" s="17" t="s">
        <v>129</v>
      </c>
      <c r="AG77" s="17"/>
      <c r="AI77" s="17" t="s">
        <v>130</v>
      </c>
      <c r="AJ77" s="21">
        <v>0</v>
      </c>
      <c r="AK77" s="58">
        <v>0</v>
      </c>
      <c r="AL77" s="21">
        <v>0</v>
      </c>
      <c r="AM77" s="58">
        <f t="shared" si="74"/>
        <v>0</v>
      </c>
      <c r="AN77" s="21">
        <v>0</v>
      </c>
      <c r="AO77" s="58">
        <f t="shared" si="76"/>
        <v>0</v>
      </c>
      <c r="AP77" s="21">
        <v>0</v>
      </c>
      <c r="AQ77" s="58">
        <f t="shared" si="77"/>
        <v>0</v>
      </c>
      <c r="AR77" s="21">
        <v>0</v>
      </c>
      <c r="AS77" s="58">
        <f t="shared" si="78"/>
        <v>0</v>
      </c>
      <c r="AT77" s="21">
        <v>0</v>
      </c>
      <c r="AU77" s="58">
        <f t="shared" si="89"/>
        <v>0</v>
      </c>
      <c r="AV77" s="21">
        <v>0</v>
      </c>
      <c r="AW77" s="58">
        <v>0</v>
      </c>
      <c r="AX77" s="31">
        <f>Table1[[#This Row],[Students Per Fall]]</f>
        <v>120</v>
      </c>
      <c r="AY77" s="58">
        <f t="shared" si="62"/>
        <v>17998.666666666664</v>
      </c>
      <c r="AZ77" s="31">
        <f>IF(Table1[[#This Row],[Sustainability Check 1 (2017-2018) Status]]="Continued", Table1[[#This Row],[Students Per Spring]], 0)</f>
        <v>120</v>
      </c>
      <c r="BA77" s="58">
        <f t="shared" si="63"/>
        <v>17998.666666666664</v>
      </c>
      <c r="BB77" s="31">
        <f t="shared" si="64"/>
        <v>240</v>
      </c>
      <c r="BC77" s="58">
        <f t="shared" si="65"/>
        <v>35997.333333333328</v>
      </c>
      <c r="BD77" s="31">
        <f>IF(Table1[[#This Row],[Sustainability Check 1 (2017-2018) Status]]="Continued", Table1[[#This Row],[Students Per Summer]], 0)</f>
        <v>120</v>
      </c>
      <c r="BE77" s="58">
        <f t="shared" si="66"/>
        <v>17998.666666666664</v>
      </c>
      <c r="BF77" s="31">
        <f>IF(Table1[[#This Row],[Sustainability Check 1 (2017-2018) Status]]="Continued", Table1[[#This Row],[Students Per Fall]], 0)</f>
        <v>120</v>
      </c>
      <c r="BG77" s="58">
        <f t="shared" si="67"/>
        <v>17998.666666666664</v>
      </c>
      <c r="BH77" s="31">
        <f>IF(Table1[[#This Row],[Sustainability Check 1 (2017-2018) Status]]="Continued", Table1[[#This Row],[Students Per Spring]], 0)</f>
        <v>120</v>
      </c>
      <c r="BI77" s="58">
        <f t="shared" si="68"/>
        <v>17998.666666666664</v>
      </c>
      <c r="BJ77" s="31">
        <f t="shared" si="69"/>
        <v>360</v>
      </c>
      <c r="BK77" s="58">
        <f t="shared" si="70"/>
        <v>53995.999999999993</v>
      </c>
      <c r="BL77" s="58" t="s">
        <v>130</v>
      </c>
      <c r="BM77" s="31">
        <v>70</v>
      </c>
      <c r="BN77" s="31">
        <v>70</v>
      </c>
      <c r="BO77" s="31">
        <v>70</v>
      </c>
      <c r="BP77" s="31">
        <f t="shared" si="75"/>
        <v>210</v>
      </c>
      <c r="BQ77" s="96">
        <v>125</v>
      </c>
      <c r="BR77" s="58">
        <f>Table1[[#This Row],[Check 2 Students Total]]*Table1[[#This Row],[Summer 2018 Price Check]]</f>
        <v>26250</v>
      </c>
      <c r="BS77" s="31">
        <f>IF(Table1[[#This Row],[Sustainability Check 2 (2018-2019) Status]]="Continued", Table1[[#This Row],[Check 2 Students Summer]], 0)</f>
        <v>70</v>
      </c>
      <c r="BT77" s="58">
        <f>Table1[[#This Row],[Summer 2018 Price Check]]*BS77</f>
        <v>8750</v>
      </c>
      <c r="BU77" s="31">
        <f>IF(Table1[[#This Row],[Sustainability Check 2 (2018-2019) Status]]="Continued", Table1[[#This Row],[Check 2 Students Fall]], 0)</f>
        <v>70</v>
      </c>
      <c r="BV77" s="58">
        <f>Table1[[#This Row],[Summer 2018 Price Check]]*BU77</f>
        <v>8750</v>
      </c>
      <c r="BW77" s="21">
        <f>IF(Table1[[#This Row],[Sustainability Check 2 (2018-2019) Status]]="Continued", Table1[Check 2 Students Spring], 0)</f>
        <v>70</v>
      </c>
      <c r="BX77" s="58">
        <f>Table1[[#This Row],[Summer 2018 Price Check]]*Table1[[#This Row],[Spring 2019 Students]]</f>
        <v>8750</v>
      </c>
      <c r="BY77" s="31">
        <f t="shared" si="79"/>
        <v>210</v>
      </c>
      <c r="BZ77" s="58">
        <f t="shared" si="80"/>
        <v>26250</v>
      </c>
      <c r="CA77" s="58" t="s">
        <v>130</v>
      </c>
      <c r="CB77" s="21">
        <v>53</v>
      </c>
      <c r="CC77" s="21">
        <v>80</v>
      </c>
      <c r="CD77" s="21">
        <v>80</v>
      </c>
      <c r="CE77" s="21">
        <f t="shared" si="88"/>
        <v>213</v>
      </c>
      <c r="CF77" s="58">
        <v>149.99</v>
      </c>
      <c r="CG77" s="58">
        <f t="shared" si="81"/>
        <v>31947.870000000003</v>
      </c>
      <c r="CH77" s="17" t="s">
        <v>537</v>
      </c>
      <c r="CI77" s="21">
        <f>IF(Table1[[#This Row],[Check 3 Status]]="Continued", Table1[[#This Row],[Check 3 Students Summer]], 0)</f>
        <v>53</v>
      </c>
      <c r="CJ77" s="58">
        <f>Table1[[#This Row],[Check 3 Per Student Savings]]*CI77</f>
        <v>7949.47</v>
      </c>
      <c r="CK77" s="21">
        <f>IF(Table1[[#This Row],[Check 3 Status]]="Continued", Table1[[#This Row],[Check 3 Students Fall]], 0)</f>
        <v>80</v>
      </c>
      <c r="CL77" s="58">
        <f>Table1[[#This Row],[Check 3 Per Student Savings]]*CK77</f>
        <v>11999.2</v>
      </c>
      <c r="CM77" s="21">
        <f>IF(Table1[[#This Row],[Check 3 Status]]="Continued", Table1[[#This Row],[Check 3 Students Spring]], 0)</f>
        <v>80</v>
      </c>
      <c r="CN77" s="58">
        <f>Table1[[#This Row],[Check 3 Per Student Savings]]*CM77</f>
        <v>11999.2</v>
      </c>
      <c r="CO77" s="21">
        <f t="shared" si="82"/>
        <v>213</v>
      </c>
      <c r="CP77" s="58">
        <f t="shared" si="83"/>
        <v>31947.870000000003</v>
      </c>
      <c r="CQ77" s="58" t="s">
        <v>130</v>
      </c>
      <c r="CR77" s="21">
        <v>53</v>
      </c>
      <c r="CS77" s="21">
        <v>80</v>
      </c>
      <c r="CT77" s="21">
        <v>80</v>
      </c>
      <c r="CU77" s="21">
        <f t="shared" si="84"/>
        <v>213</v>
      </c>
      <c r="CV77" s="58">
        <v>149.99</v>
      </c>
      <c r="CW77" s="58">
        <f t="shared" si="85"/>
        <v>31947.870000000003</v>
      </c>
      <c r="CX77" s="58"/>
      <c r="CY77" s="21">
        <f>IF(Table1[[#This Row],[Check 4 Status]]="Continued", Table1[[#This Row],[Check 4 Students Summer]], 0)</f>
        <v>53</v>
      </c>
      <c r="CZ77" s="58">
        <f>Table1[[#This Row],[Check 4 Per Student Savings]]*CY77</f>
        <v>7949.47</v>
      </c>
      <c r="DA77" s="21">
        <f>IF(Table1[[#This Row],[Check 4 Status]]="Continued", Table1[[#This Row],[Check 4 Students Fall]], 0)</f>
        <v>80</v>
      </c>
      <c r="DB77" s="58">
        <f>Table1[[#This Row],[Check 4 Per Student Savings]]*DA77</f>
        <v>11999.2</v>
      </c>
      <c r="DC77" s="21">
        <f>IF(Table1[[#This Row],[Check 4 Status]]="Continued", Table1[[#This Row],[Check 4 Students Spring]], 0)</f>
        <v>80</v>
      </c>
      <c r="DD77" s="58">
        <f>Table1[[#This Row],[Check 4 Per Student Savings]]*DC77</f>
        <v>11999.2</v>
      </c>
      <c r="DE77" s="58">
        <f t="shared" si="86"/>
        <v>213</v>
      </c>
      <c r="DF77" s="58">
        <f t="shared" si="87"/>
        <v>31947.870000000003</v>
      </c>
      <c r="DG7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1236</v>
      </c>
      <c r="DH7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180139.0733333333</v>
      </c>
      <c r="DI77" s="58">
        <f>Table1[[#This Row],[Grand Total Savings]]/Table1[[#This Row],[Total Award]]</f>
        <v>11.119695884773661</v>
      </c>
      <c r="DJ77" s="17"/>
      <c r="DK77" s="17"/>
      <c r="DL77" s="17"/>
      <c r="DM77" s="17"/>
      <c r="EC77" s="17"/>
      <c r="ED77" s="17"/>
      <c r="EE77" s="17"/>
      <c r="EF77" s="17"/>
    </row>
    <row r="78" spans="1:136" x14ac:dyDescent="0.25">
      <c r="A78" s="157" t="s">
        <v>538</v>
      </c>
      <c r="B78" s="17" t="s">
        <v>2011</v>
      </c>
      <c r="D78" s="97">
        <v>510597</v>
      </c>
      <c r="E78" s="158">
        <v>42447</v>
      </c>
      <c r="F78" s="158">
        <v>42734</v>
      </c>
      <c r="G78" s="159" t="s">
        <v>521</v>
      </c>
      <c r="H78" s="95" t="s">
        <v>9</v>
      </c>
      <c r="I78" s="226" t="s">
        <v>118</v>
      </c>
      <c r="J78" s="17" t="s">
        <v>388</v>
      </c>
      <c r="K78" s="107">
        <v>5400</v>
      </c>
      <c r="L78" s="107"/>
      <c r="M78" s="101" t="s">
        <v>539</v>
      </c>
      <c r="N78" s="101" t="s">
        <v>540</v>
      </c>
      <c r="O78" s="101" t="s">
        <v>541</v>
      </c>
      <c r="P78" s="101" t="s">
        <v>542</v>
      </c>
      <c r="Q78" s="101" t="s">
        <v>543</v>
      </c>
      <c r="R78" s="101" t="s">
        <v>129</v>
      </c>
      <c r="S78" s="101" t="s">
        <v>129</v>
      </c>
      <c r="T78" s="17" t="s">
        <v>129</v>
      </c>
      <c r="U78" s="160" t="s">
        <v>544</v>
      </c>
      <c r="V78" s="17" t="s">
        <v>150</v>
      </c>
      <c r="W78" s="17" t="s">
        <v>127</v>
      </c>
      <c r="X78" s="17" t="s">
        <v>139</v>
      </c>
      <c r="Y78" s="58">
        <v>9690</v>
      </c>
      <c r="Z78" s="17">
        <v>85</v>
      </c>
      <c r="AA78" s="58">
        <f t="shared" si="59"/>
        <v>114</v>
      </c>
      <c r="AB78" s="21">
        <f t="shared" si="71"/>
        <v>28.333333333333332</v>
      </c>
      <c r="AC78" s="21">
        <f t="shared" si="72"/>
        <v>28.333333333333332</v>
      </c>
      <c r="AD78" s="21">
        <f t="shared" si="73"/>
        <v>28.333333333333332</v>
      </c>
      <c r="AE78" s="17" t="s">
        <v>537</v>
      </c>
      <c r="AF78" s="17" t="s">
        <v>129</v>
      </c>
      <c r="AG78" s="17"/>
      <c r="AI78" s="17" t="s">
        <v>130</v>
      </c>
      <c r="AJ78" s="21">
        <v>0</v>
      </c>
      <c r="AK78" s="58">
        <v>0</v>
      </c>
      <c r="AL78" s="21">
        <v>0</v>
      </c>
      <c r="AM78" s="58">
        <f t="shared" si="74"/>
        <v>0</v>
      </c>
      <c r="AN78" s="21">
        <v>0</v>
      </c>
      <c r="AO78" s="58">
        <f t="shared" si="76"/>
        <v>0</v>
      </c>
      <c r="AP78" s="21">
        <v>0</v>
      </c>
      <c r="AQ78" s="58">
        <f t="shared" si="77"/>
        <v>0</v>
      </c>
      <c r="AR78" s="21">
        <v>0</v>
      </c>
      <c r="AS78" s="58">
        <f t="shared" si="78"/>
        <v>0</v>
      </c>
      <c r="AT78" s="21">
        <v>0</v>
      </c>
      <c r="AU78" s="58">
        <f t="shared" si="89"/>
        <v>0</v>
      </c>
      <c r="AV78" s="21">
        <v>0</v>
      </c>
      <c r="AW78" s="58">
        <v>0</v>
      </c>
      <c r="AX78" s="31">
        <f>Table1[[#This Row],[Students Per Fall]]</f>
        <v>28.333333333333332</v>
      </c>
      <c r="AY78" s="58">
        <f t="shared" si="62"/>
        <v>3230</v>
      </c>
      <c r="AZ78" s="31">
        <f>IF(Table1[[#This Row],[Sustainability Check 1 (2017-2018) Status]]="Continued", Table1[[#This Row],[Students Per Spring]], 0)</f>
        <v>28.333333333333332</v>
      </c>
      <c r="BA78" s="58">
        <f t="shared" si="63"/>
        <v>3230</v>
      </c>
      <c r="BB78" s="31">
        <f t="shared" si="64"/>
        <v>56.666666666666664</v>
      </c>
      <c r="BC78" s="58">
        <f t="shared" si="65"/>
        <v>6460</v>
      </c>
      <c r="BD78" s="31">
        <f>IF(Table1[[#This Row],[Sustainability Check 1 (2017-2018) Status]]="Continued", Table1[[#This Row],[Students Per Summer]], 0)</f>
        <v>28.333333333333332</v>
      </c>
      <c r="BE78" s="58">
        <f t="shared" si="66"/>
        <v>3230</v>
      </c>
      <c r="BF78" s="31">
        <f>IF(Table1[[#This Row],[Sustainability Check 1 (2017-2018) Status]]="Continued", Table1[[#This Row],[Students Per Fall]], 0)</f>
        <v>28.333333333333332</v>
      </c>
      <c r="BG78" s="58">
        <f t="shared" si="67"/>
        <v>3230</v>
      </c>
      <c r="BH78" s="31">
        <f>IF(Table1[[#This Row],[Sustainability Check 1 (2017-2018) Status]]="Continued", Table1[[#This Row],[Students Per Spring]], 0)</f>
        <v>28.333333333333332</v>
      </c>
      <c r="BI78" s="58">
        <f t="shared" si="68"/>
        <v>3230</v>
      </c>
      <c r="BJ78" s="31">
        <f t="shared" si="69"/>
        <v>85</v>
      </c>
      <c r="BK78" s="58">
        <f t="shared" si="70"/>
        <v>9690</v>
      </c>
      <c r="BL78" s="58" t="s">
        <v>130</v>
      </c>
      <c r="BM78" s="31">
        <v>35</v>
      </c>
      <c r="BN78" s="31">
        <v>35</v>
      </c>
      <c r="BO78" s="31">
        <v>35</v>
      </c>
      <c r="BP78" s="31">
        <f t="shared" si="75"/>
        <v>105</v>
      </c>
      <c r="BQ78" s="96">
        <v>233.95</v>
      </c>
      <c r="BR78" s="58">
        <f>Table1[[#This Row],[Check 2 Students Total]]*Table1[[#This Row],[Summer 2018 Price Check]]</f>
        <v>24564.75</v>
      </c>
      <c r="BS78" s="31">
        <f>IF(Table1[[#This Row],[Sustainability Check 2 (2018-2019) Status]]="Continued", Table1[[#This Row],[Check 2 Students Summer]], 0)</f>
        <v>35</v>
      </c>
      <c r="BT78" s="58">
        <f>Table1[[#This Row],[Summer 2018 Price Check]]*BS78</f>
        <v>8188.25</v>
      </c>
      <c r="BU78" s="31">
        <f>IF(Table1[[#This Row],[Sustainability Check 2 (2018-2019) Status]]="Continued", Table1[[#This Row],[Check 2 Students Fall]], 0)</f>
        <v>35</v>
      </c>
      <c r="BV78" s="58">
        <f>Table1[[#This Row],[Summer 2018 Price Check]]*BU78</f>
        <v>8188.25</v>
      </c>
      <c r="BW78" s="21">
        <f>IF(Table1[[#This Row],[Sustainability Check 2 (2018-2019) Status]]="Continued", Table1[Check 2 Students Spring], 0)</f>
        <v>35</v>
      </c>
      <c r="BX78" s="58">
        <f>Table1[[#This Row],[Summer 2018 Price Check]]*Table1[[#This Row],[Spring 2019 Students]]</f>
        <v>8188.25</v>
      </c>
      <c r="BY78" s="31">
        <f t="shared" si="79"/>
        <v>105</v>
      </c>
      <c r="BZ78" s="58">
        <f t="shared" si="80"/>
        <v>24564.75</v>
      </c>
      <c r="CA78" s="58" t="s">
        <v>130</v>
      </c>
      <c r="CB78" s="21">
        <v>0</v>
      </c>
      <c r="CC78" s="21">
        <v>0</v>
      </c>
      <c r="CD78" s="21">
        <v>35</v>
      </c>
      <c r="CE78" s="21">
        <f t="shared" si="88"/>
        <v>35</v>
      </c>
      <c r="CF78" s="58">
        <v>233.95</v>
      </c>
      <c r="CG78" s="58">
        <f t="shared" si="81"/>
        <v>8188.25</v>
      </c>
      <c r="CH78" s="17" t="s">
        <v>537</v>
      </c>
      <c r="CI78" s="21">
        <f>IF(Table1[[#This Row],[Check 3 Status]]="Continued", Table1[[#This Row],[Check 3 Students Summer]], 0)</f>
        <v>0</v>
      </c>
      <c r="CJ78" s="58">
        <f>Table1[[#This Row],[Check 3 Per Student Savings]]*CI78</f>
        <v>0</v>
      </c>
      <c r="CK78" s="21">
        <f>IF(Table1[[#This Row],[Check 3 Status]]="Continued", Table1[[#This Row],[Check 3 Students Fall]], 0)</f>
        <v>0</v>
      </c>
      <c r="CL78" s="58">
        <f>Table1[[#This Row],[Check 3 Per Student Savings]]*CK78</f>
        <v>0</v>
      </c>
      <c r="CM78" s="21">
        <f>IF(Table1[[#This Row],[Check 3 Status]]="Continued", Table1[[#This Row],[Check 3 Students Spring]], 0)</f>
        <v>35</v>
      </c>
      <c r="CN78" s="58">
        <f>Table1[[#This Row],[Check 3 Per Student Savings]]*CM78</f>
        <v>8188.25</v>
      </c>
      <c r="CO78" s="21">
        <f t="shared" si="82"/>
        <v>35</v>
      </c>
      <c r="CP78" s="58">
        <f t="shared" si="83"/>
        <v>8188.25</v>
      </c>
      <c r="CQ78" s="58" t="s">
        <v>142</v>
      </c>
      <c r="CR78" s="21">
        <v>0</v>
      </c>
      <c r="CS78" s="21">
        <v>0</v>
      </c>
      <c r="CT78" s="21">
        <v>35</v>
      </c>
      <c r="CU78" s="21">
        <f t="shared" si="84"/>
        <v>35</v>
      </c>
      <c r="CV78" s="58">
        <v>233.95</v>
      </c>
      <c r="CW78" s="58">
        <f t="shared" si="85"/>
        <v>8188.25</v>
      </c>
      <c r="CX78" s="58"/>
      <c r="CY78" s="21">
        <f>IF(Table1[[#This Row],[Check 4 Status]]="Continued", Table1[[#This Row],[Check 4 Students Summer]], 0)</f>
        <v>0</v>
      </c>
      <c r="CZ78" s="58">
        <f>Table1[[#This Row],[Check 4 Per Student Savings]]*CY78</f>
        <v>0</v>
      </c>
      <c r="DA78" s="21">
        <f>IF(Table1[[#This Row],[Check 4 Status]]="Continued", Table1[[#This Row],[Check 4 Students Fall]], 0)</f>
        <v>0</v>
      </c>
      <c r="DB78" s="58">
        <f>Table1[[#This Row],[Check 4 Per Student Savings]]*DA78</f>
        <v>0</v>
      </c>
      <c r="DC78" s="21">
        <f>IF(Table1[[#This Row],[Check 4 Status]]="Continued", Table1[[#This Row],[Check 4 Students Spring]], 0)</f>
        <v>0</v>
      </c>
      <c r="DD78" s="58">
        <f>Table1[[#This Row],[Check 4 Per Student Savings]]*DC78</f>
        <v>0</v>
      </c>
      <c r="DE78" s="58">
        <f t="shared" si="86"/>
        <v>0</v>
      </c>
      <c r="DF78" s="58">
        <f t="shared" si="87"/>
        <v>0</v>
      </c>
      <c r="DG7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281.66666666666663</v>
      </c>
      <c r="DH7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48903</v>
      </c>
      <c r="DI78" s="58">
        <f>Table1[[#This Row],[Grand Total Savings]]/Table1[[#This Row],[Total Award]]</f>
        <v>9.056111111111111</v>
      </c>
      <c r="DJ78" s="17"/>
      <c r="DK78" s="17"/>
      <c r="DL78" s="17"/>
      <c r="DM78" s="17"/>
      <c r="EC78" s="17"/>
      <c r="ED78" s="17"/>
      <c r="EE78" s="17"/>
      <c r="EF78" s="17"/>
    </row>
    <row r="79" spans="1:136" x14ac:dyDescent="0.25">
      <c r="A79" s="157" t="s">
        <v>545</v>
      </c>
      <c r="B79" s="17" t="s">
        <v>2011</v>
      </c>
      <c r="D79" s="97">
        <v>510599</v>
      </c>
      <c r="E79" s="158">
        <v>42439</v>
      </c>
      <c r="F79" s="158">
        <v>42734</v>
      </c>
      <c r="G79" s="159" t="s">
        <v>521</v>
      </c>
      <c r="H79" s="95" t="s">
        <v>9</v>
      </c>
      <c r="I79" s="226" t="s">
        <v>118</v>
      </c>
      <c r="J79" s="17" t="s">
        <v>172</v>
      </c>
      <c r="K79" s="107">
        <v>5400</v>
      </c>
      <c r="L79" s="107"/>
      <c r="M79" s="101" t="s">
        <v>546</v>
      </c>
      <c r="N79" s="17" t="s">
        <v>547</v>
      </c>
      <c r="O79" s="101" t="s">
        <v>541</v>
      </c>
      <c r="P79" s="101" t="s">
        <v>542</v>
      </c>
      <c r="Q79" s="101" t="s">
        <v>543</v>
      </c>
      <c r="R79" s="101" t="s">
        <v>129</v>
      </c>
      <c r="S79" s="101" t="s">
        <v>129</v>
      </c>
      <c r="T79" s="17" t="s">
        <v>129</v>
      </c>
      <c r="U79" s="160" t="s">
        <v>544</v>
      </c>
      <c r="V79" s="17" t="s">
        <v>548</v>
      </c>
      <c r="W79" s="17" t="s">
        <v>548</v>
      </c>
      <c r="X79" s="17" t="s">
        <v>548</v>
      </c>
      <c r="Y79" s="58">
        <v>9690</v>
      </c>
      <c r="Z79" s="17">
        <v>85</v>
      </c>
      <c r="AA79" s="58">
        <f t="shared" si="59"/>
        <v>114</v>
      </c>
      <c r="AB79" s="21">
        <f t="shared" si="71"/>
        <v>28.333333333333332</v>
      </c>
      <c r="AC79" s="21">
        <f t="shared" si="72"/>
        <v>28.333333333333332</v>
      </c>
      <c r="AD79" s="21">
        <f t="shared" si="73"/>
        <v>28.333333333333332</v>
      </c>
      <c r="AE79" s="17" t="s">
        <v>537</v>
      </c>
      <c r="AF79" s="17" t="s">
        <v>129</v>
      </c>
      <c r="AG79" s="17"/>
      <c r="AI79" s="17" t="s">
        <v>130</v>
      </c>
      <c r="AJ79" s="21">
        <v>0</v>
      </c>
      <c r="AK79" s="58">
        <v>0</v>
      </c>
      <c r="AL79" s="21">
        <v>0</v>
      </c>
      <c r="AM79" s="58">
        <f t="shared" si="74"/>
        <v>0</v>
      </c>
      <c r="AN79" s="21">
        <v>0</v>
      </c>
      <c r="AO79" s="58">
        <f t="shared" si="76"/>
        <v>0</v>
      </c>
      <c r="AP79" s="21">
        <v>0</v>
      </c>
      <c r="AQ79" s="58">
        <f t="shared" si="77"/>
        <v>0</v>
      </c>
      <c r="AR79" s="21">
        <v>0</v>
      </c>
      <c r="AS79" s="58">
        <f t="shared" si="78"/>
        <v>0</v>
      </c>
      <c r="AT79" s="21">
        <v>0</v>
      </c>
      <c r="AU79" s="58">
        <f t="shared" si="89"/>
        <v>0</v>
      </c>
      <c r="AV79" s="21">
        <v>0</v>
      </c>
      <c r="AW79" s="58">
        <v>0</v>
      </c>
      <c r="AX79" s="31">
        <f>Table1[[#This Row],[Students Per Fall]]</f>
        <v>28.333333333333332</v>
      </c>
      <c r="AY79" s="58">
        <f t="shared" si="62"/>
        <v>3230</v>
      </c>
      <c r="AZ79" s="31">
        <f>IF(Table1[[#This Row],[Sustainability Check 1 (2017-2018) Status]]="Continued", Table1[[#This Row],[Students Per Spring]], 0)</f>
        <v>28.333333333333332</v>
      </c>
      <c r="BA79" s="58">
        <f t="shared" si="63"/>
        <v>3230</v>
      </c>
      <c r="BB79" s="31">
        <f t="shared" si="64"/>
        <v>56.666666666666664</v>
      </c>
      <c r="BC79" s="58">
        <f t="shared" si="65"/>
        <v>6460</v>
      </c>
      <c r="BD79" s="31">
        <f>IF(Table1[[#This Row],[Sustainability Check 1 (2017-2018) Status]]="Continued", Table1[[#This Row],[Students Per Summer]], 0)</f>
        <v>28.333333333333332</v>
      </c>
      <c r="BE79" s="58">
        <f t="shared" si="66"/>
        <v>3230</v>
      </c>
      <c r="BF79" s="31">
        <f>IF(Table1[[#This Row],[Sustainability Check 1 (2017-2018) Status]]="Continued", Table1[[#This Row],[Students Per Fall]], 0)</f>
        <v>28.333333333333332</v>
      </c>
      <c r="BG79" s="58">
        <f t="shared" si="67"/>
        <v>3230</v>
      </c>
      <c r="BH79" s="31">
        <f>IF(Table1[[#This Row],[Sustainability Check 1 (2017-2018) Status]]="Continued", Table1[[#This Row],[Students Per Spring]], 0)</f>
        <v>28.333333333333332</v>
      </c>
      <c r="BI79" s="58">
        <f t="shared" si="68"/>
        <v>3230</v>
      </c>
      <c r="BJ79" s="31">
        <f t="shared" si="69"/>
        <v>85</v>
      </c>
      <c r="BK79" s="58">
        <f t="shared" si="70"/>
        <v>9690</v>
      </c>
      <c r="BL79" s="58" t="s">
        <v>130</v>
      </c>
      <c r="BM79" s="31">
        <v>0</v>
      </c>
      <c r="BN79" s="31">
        <v>100</v>
      </c>
      <c r="BO79" s="31">
        <v>100</v>
      </c>
      <c r="BP79" s="31">
        <f t="shared" si="75"/>
        <v>200</v>
      </c>
      <c r="BQ79" s="96">
        <v>233.95</v>
      </c>
      <c r="BR79" s="58">
        <f>Table1[[#This Row],[Check 2 Students Total]]*Table1[[#This Row],[Summer 2018 Price Check]]</f>
        <v>46790</v>
      </c>
      <c r="BS79" s="31">
        <f>IF(Table1[[#This Row],[Sustainability Check 2 (2018-2019) Status]]="Continued", Table1[[#This Row],[Check 2 Students Summer]], 0)</f>
        <v>0</v>
      </c>
      <c r="BT79" s="58">
        <f>Table1[[#This Row],[Summer 2018 Price Check]]*BS79</f>
        <v>0</v>
      </c>
      <c r="BU79" s="31">
        <f>IF(Table1[[#This Row],[Sustainability Check 2 (2018-2019) Status]]="Continued", Table1[[#This Row],[Check 2 Students Fall]], 0)</f>
        <v>100</v>
      </c>
      <c r="BV79" s="58">
        <f>Table1[[#This Row],[Summer 2018 Price Check]]*BU79</f>
        <v>23395</v>
      </c>
      <c r="BW79" s="21">
        <f>IF(Table1[[#This Row],[Sustainability Check 2 (2018-2019) Status]]="Continued", Table1[Check 2 Students Spring], 0)</f>
        <v>100</v>
      </c>
      <c r="BX79" s="58">
        <f>Table1[[#This Row],[Summer 2018 Price Check]]*Table1[[#This Row],[Spring 2019 Students]]</f>
        <v>23395</v>
      </c>
      <c r="BY79" s="31">
        <f t="shared" si="79"/>
        <v>200</v>
      </c>
      <c r="BZ79" s="58">
        <f t="shared" si="80"/>
        <v>46790</v>
      </c>
      <c r="CA79" s="58" t="s">
        <v>130</v>
      </c>
      <c r="CB79" s="21">
        <v>0</v>
      </c>
      <c r="CC79" s="21">
        <v>0</v>
      </c>
      <c r="CD79" s="21">
        <v>60</v>
      </c>
      <c r="CE79" s="21">
        <f t="shared" si="88"/>
        <v>60</v>
      </c>
      <c r="CF79" s="58">
        <v>99</v>
      </c>
      <c r="CG79" s="58">
        <f t="shared" si="81"/>
        <v>5940</v>
      </c>
      <c r="CH79" s="17" t="s">
        <v>537</v>
      </c>
      <c r="CI79" s="21">
        <f>IF(Table1[[#This Row],[Check 3 Status]]="Continued", Table1[[#This Row],[Check 3 Students Summer]], 0)</f>
        <v>0</v>
      </c>
      <c r="CJ79" s="58">
        <f>Table1[[#This Row],[Check 3 Per Student Savings]]*CI79</f>
        <v>0</v>
      </c>
      <c r="CK79" s="21">
        <f>IF(Table1[[#This Row],[Check 3 Status]]="Continued", Table1[[#This Row],[Check 3 Students Fall]], 0)</f>
        <v>0</v>
      </c>
      <c r="CL79" s="58">
        <f>Table1[[#This Row],[Check 3 Per Student Savings]]*CK79</f>
        <v>0</v>
      </c>
      <c r="CM79" s="21">
        <f>IF(Table1[[#This Row],[Check 3 Status]]="Continued", Table1[[#This Row],[Check 3 Students Spring]], 0)</f>
        <v>60</v>
      </c>
      <c r="CN79" s="58">
        <f>Table1[[#This Row],[Check 3 Per Student Savings]]*CM79</f>
        <v>5940</v>
      </c>
      <c r="CO79" s="21">
        <f t="shared" si="82"/>
        <v>60</v>
      </c>
      <c r="CP79" s="58">
        <f t="shared" si="83"/>
        <v>5940</v>
      </c>
      <c r="CQ79" s="58" t="s">
        <v>142</v>
      </c>
      <c r="CR79" s="21">
        <v>0</v>
      </c>
      <c r="CS79" s="21">
        <v>0</v>
      </c>
      <c r="CT79" s="21">
        <v>60</v>
      </c>
      <c r="CU79" s="21">
        <f t="shared" si="84"/>
        <v>60</v>
      </c>
      <c r="CV79" s="58">
        <v>99</v>
      </c>
      <c r="CW79" s="58">
        <f t="shared" si="85"/>
        <v>5940</v>
      </c>
      <c r="CX79" s="58"/>
      <c r="CY79" s="21">
        <f>IF(Table1[[#This Row],[Check 4 Status]]="Continued", Table1[[#This Row],[Check 4 Students Summer]], 0)</f>
        <v>0</v>
      </c>
      <c r="CZ79" s="58">
        <f>Table1[[#This Row],[Check 4 Per Student Savings]]*CY79</f>
        <v>0</v>
      </c>
      <c r="DA79" s="21">
        <f>IF(Table1[[#This Row],[Check 4 Status]]="Continued", Table1[[#This Row],[Check 4 Students Fall]], 0)</f>
        <v>0</v>
      </c>
      <c r="DB79" s="58">
        <f>Table1[[#This Row],[Check 4 Per Student Savings]]*DA79</f>
        <v>0</v>
      </c>
      <c r="DC79" s="21">
        <f>IF(Table1[[#This Row],[Check 4 Status]]="Continued", Table1[[#This Row],[Check 4 Students Spring]], 0)</f>
        <v>0</v>
      </c>
      <c r="DD79" s="58">
        <f>Table1[[#This Row],[Check 4 Per Student Savings]]*DC79</f>
        <v>0</v>
      </c>
      <c r="DE79" s="58">
        <f t="shared" si="86"/>
        <v>0</v>
      </c>
      <c r="DF79" s="58">
        <f t="shared" si="87"/>
        <v>0</v>
      </c>
      <c r="DG7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401.66666666666663</v>
      </c>
      <c r="DH7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68880</v>
      </c>
      <c r="DI79" s="58">
        <f>Table1[[#This Row],[Grand Total Savings]]/Table1[[#This Row],[Total Award]]</f>
        <v>12.755555555555556</v>
      </c>
      <c r="DJ79" s="17"/>
      <c r="DK79" s="17"/>
      <c r="DL79" s="17"/>
      <c r="DM79" s="17"/>
      <c r="EC79" s="17"/>
      <c r="ED79" s="17"/>
      <c r="EE79" s="17"/>
      <c r="EF79" s="17"/>
    </row>
    <row r="80" spans="1:136" x14ac:dyDescent="0.25">
      <c r="A80" s="159">
        <v>154</v>
      </c>
      <c r="B80" s="17" t="s">
        <v>2011</v>
      </c>
      <c r="D80" s="97">
        <v>510613</v>
      </c>
      <c r="E80" s="158">
        <v>42486</v>
      </c>
      <c r="F80" s="158">
        <v>42886</v>
      </c>
      <c r="G80" s="159" t="s">
        <v>521</v>
      </c>
      <c r="H80" s="95" t="s">
        <v>9</v>
      </c>
      <c r="I80" s="226" t="s">
        <v>118</v>
      </c>
      <c r="J80" s="17" t="s">
        <v>282</v>
      </c>
      <c r="K80" s="107">
        <v>20800</v>
      </c>
      <c r="L80" s="107"/>
      <c r="M80" s="101" t="s">
        <v>549</v>
      </c>
      <c r="N80" s="17" t="s">
        <v>550</v>
      </c>
      <c r="O80" s="101" t="s">
        <v>362</v>
      </c>
      <c r="P80" s="101" t="s">
        <v>551</v>
      </c>
      <c r="Q80" s="101" t="s">
        <v>148</v>
      </c>
      <c r="R80" s="101" t="s">
        <v>129</v>
      </c>
      <c r="S80" s="160" t="s">
        <v>36</v>
      </c>
      <c r="T80" s="17" t="s">
        <v>125</v>
      </c>
      <c r="U80" s="160" t="s">
        <v>138</v>
      </c>
      <c r="V80" s="17" t="s">
        <v>150</v>
      </c>
      <c r="W80" s="17" t="s">
        <v>127</v>
      </c>
      <c r="X80" s="17" t="s">
        <v>127</v>
      </c>
      <c r="Y80" s="58">
        <v>280775</v>
      </c>
      <c r="Z80" s="31">
        <v>1110</v>
      </c>
      <c r="AA80" s="58">
        <f t="shared" ref="AA80:AA111" si="90">Y80/Z80</f>
        <v>252.95045045045046</v>
      </c>
      <c r="AB80" s="21">
        <f t="shared" si="71"/>
        <v>370</v>
      </c>
      <c r="AC80" s="21">
        <f t="shared" si="72"/>
        <v>370</v>
      </c>
      <c r="AD80" s="21">
        <f t="shared" si="73"/>
        <v>370</v>
      </c>
      <c r="AE80" s="17" t="s">
        <v>208</v>
      </c>
      <c r="AF80" s="17" t="s">
        <v>129</v>
      </c>
      <c r="AG80" s="17"/>
      <c r="AI80" s="161" t="s">
        <v>130</v>
      </c>
      <c r="AJ80" s="21">
        <v>0</v>
      </c>
      <c r="AK80" s="58">
        <v>0</v>
      </c>
      <c r="AL80" s="21">
        <v>0</v>
      </c>
      <c r="AM80" s="58">
        <f t="shared" si="74"/>
        <v>0</v>
      </c>
      <c r="AN80" s="21">
        <v>0</v>
      </c>
      <c r="AO80" s="58">
        <f t="shared" si="76"/>
        <v>0</v>
      </c>
      <c r="AP80" s="21">
        <f>Table1[[#This Row],[Students Per Fall]]</f>
        <v>370</v>
      </c>
      <c r="AQ80" s="58">
        <f t="shared" si="77"/>
        <v>93591.666666666672</v>
      </c>
      <c r="AR80" s="21">
        <f>IF(Table1[[#This Row],[Sustainability Check 1 (2017-2018) Status]]="Continued", Table1[[#This Row],[Students Per Spring]], 0)</f>
        <v>370</v>
      </c>
      <c r="AS80" s="58">
        <f t="shared" si="78"/>
        <v>93591.666666666672</v>
      </c>
      <c r="AT80" s="21">
        <f>AN80+AP80+AR80</f>
        <v>740</v>
      </c>
      <c r="AU80" s="58">
        <f t="shared" si="89"/>
        <v>187183.33333333334</v>
      </c>
      <c r="AV80" s="21">
        <f>IF(Table1[[#This Row],[Sustainability Check 1 (2017-2018) Status]]="Continued", Table1[[#This Row],[Students Per Summer]], 0)</f>
        <v>370</v>
      </c>
      <c r="AW80" s="58">
        <f>$AA80*AV80</f>
        <v>93591.666666666672</v>
      </c>
      <c r="AX80" s="31">
        <f>IF(Table1[[#This Row],[Sustainability Check 1 (2017-2018) Status]]="Continued", Table1[[#This Row],[Students Per Fall]], 0)</f>
        <v>370</v>
      </c>
      <c r="AY80" s="58">
        <f t="shared" si="62"/>
        <v>93591.666666666672</v>
      </c>
      <c r="AZ80" s="31">
        <f>IF(Table1[[#This Row],[Sustainability Check 1 (2017-2018) Status]]="Continued", Table1[[#This Row],[Students Per Spring]], 0)</f>
        <v>370</v>
      </c>
      <c r="BA80" s="58">
        <f t="shared" si="63"/>
        <v>93591.666666666672</v>
      </c>
      <c r="BB80" s="31">
        <f t="shared" si="64"/>
        <v>1110</v>
      </c>
      <c r="BC80" s="58">
        <f t="shared" si="65"/>
        <v>280775</v>
      </c>
      <c r="BD80" s="31">
        <f>IF(Table1[[#This Row],[Sustainability Check 1 (2017-2018) Status]]="Continued", Table1[[#This Row],[Students Per Summer]], 0)</f>
        <v>370</v>
      </c>
      <c r="BE80" s="58">
        <f t="shared" si="66"/>
        <v>93591.666666666672</v>
      </c>
      <c r="BF80" s="31">
        <f>IF(Table1[[#This Row],[Sustainability Check 1 (2017-2018) Status]]="Continued", Table1[[#This Row],[Students Per Fall]], 0)</f>
        <v>370</v>
      </c>
      <c r="BG80" s="58">
        <f t="shared" si="67"/>
        <v>93591.666666666672</v>
      </c>
      <c r="BH80" s="31">
        <f>IF(Table1[[#This Row],[Sustainability Check 1 (2017-2018) Status]]="Continued", Table1[[#This Row],[Students Per Spring]], 0)</f>
        <v>370</v>
      </c>
      <c r="BI80" s="58">
        <f t="shared" si="68"/>
        <v>93591.666666666672</v>
      </c>
      <c r="BJ80" s="31">
        <f t="shared" si="69"/>
        <v>1110</v>
      </c>
      <c r="BK80" s="58">
        <f t="shared" si="70"/>
        <v>280775</v>
      </c>
      <c r="BL80" s="58" t="s">
        <v>130</v>
      </c>
      <c r="BM80" s="31">
        <v>100</v>
      </c>
      <c r="BN80" s="31">
        <v>390</v>
      </c>
      <c r="BO80" s="31">
        <v>390</v>
      </c>
      <c r="BP80" s="31">
        <f t="shared" si="75"/>
        <v>880</v>
      </c>
      <c r="BQ80" s="96">
        <v>113</v>
      </c>
      <c r="BR80" s="58">
        <f>Table1[[#This Row],[Check 2 Students Total]]*Table1[[#This Row],[Summer 2018 Price Check]]</f>
        <v>99440</v>
      </c>
      <c r="BS80" s="31">
        <f>IF(Table1[[#This Row],[Sustainability Check 2 (2018-2019) Status]]="Continued", Table1[[#This Row],[Check 2 Students Summer]], 0)</f>
        <v>100</v>
      </c>
      <c r="BT80" s="58">
        <f>Table1[[#This Row],[Summer 2018 Price Check]]*BS80</f>
        <v>11300</v>
      </c>
      <c r="BU80" s="31">
        <f>IF(Table1[[#This Row],[Sustainability Check 2 (2018-2019) Status]]="Continued", Table1[[#This Row],[Check 2 Students Fall]], 0)</f>
        <v>390</v>
      </c>
      <c r="BV80" s="58">
        <f>Table1[[#This Row],[Summer 2018 Price Check]]*BU80</f>
        <v>44070</v>
      </c>
      <c r="BW80" s="21">
        <f>IF(Table1[[#This Row],[Sustainability Check 2 (2018-2019) Status]]="Continued", Table1[Check 2 Students Spring], 0)</f>
        <v>390</v>
      </c>
      <c r="BX80" s="58">
        <f>Table1[[#This Row],[Summer 2018 Price Check]]*Table1[[#This Row],[Spring 2019 Students]]</f>
        <v>44070</v>
      </c>
      <c r="BY80" s="31">
        <f t="shared" si="79"/>
        <v>880</v>
      </c>
      <c r="BZ80" s="58">
        <f t="shared" si="80"/>
        <v>99440</v>
      </c>
      <c r="CA80" s="58" t="s">
        <v>130</v>
      </c>
      <c r="CB80" s="21">
        <v>40</v>
      </c>
      <c r="CC80" s="21">
        <v>320</v>
      </c>
      <c r="CD80" s="21">
        <v>320</v>
      </c>
      <c r="CE80" s="21">
        <f t="shared" si="88"/>
        <v>680</v>
      </c>
      <c r="CF80" s="58">
        <v>104</v>
      </c>
      <c r="CG80" s="58">
        <f t="shared" si="81"/>
        <v>70720</v>
      </c>
      <c r="CH80" s="17" t="s">
        <v>208</v>
      </c>
      <c r="CI80" s="21">
        <f>IF(Table1[[#This Row],[Check 3 Status]]="Continued", Table1[[#This Row],[Check 3 Students Summer]], 0)</f>
        <v>40</v>
      </c>
      <c r="CJ80" s="58">
        <f>Table1[[#This Row],[Check 3 Per Student Savings]]*CI80</f>
        <v>4160</v>
      </c>
      <c r="CK80" s="21">
        <f>IF(Table1[[#This Row],[Check 3 Status]]="Continued", Table1[[#This Row],[Check 3 Students Fall]], 0)</f>
        <v>320</v>
      </c>
      <c r="CL80" s="58">
        <f>Table1[[#This Row],[Check 3 Per Student Savings]]*CK80</f>
        <v>33280</v>
      </c>
      <c r="CM80" s="21">
        <f>IF(Table1[[#This Row],[Check 3 Status]]="Continued", Table1[[#This Row],[Check 3 Students Spring]], 0)</f>
        <v>320</v>
      </c>
      <c r="CN80" s="58">
        <f>Table1[[#This Row],[Check 3 Per Student Savings]]*CM80</f>
        <v>33280</v>
      </c>
      <c r="CO80" s="21">
        <f t="shared" si="82"/>
        <v>680</v>
      </c>
      <c r="CP80" s="58">
        <f t="shared" si="83"/>
        <v>70720</v>
      </c>
      <c r="CQ80" s="58" t="s">
        <v>130</v>
      </c>
      <c r="CR80" s="21">
        <v>60</v>
      </c>
      <c r="CS80" s="21">
        <v>400</v>
      </c>
      <c r="CT80" s="21">
        <v>300</v>
      </c>
      <c r="CU80" s="21">
        <f t="shared" si="84"/>
        <v>760</v>
      </c>
      <c r="CV80" s="58">
        <v>100</v>
      </c>
      <c r="CW80" s="58">
        <f t="shared" si="85"/>
        <v>76000</v>
      </c>
      <c r="CX80" s="58"/>
      <c r="CY80" s="21">
        <f>IF(Table1[[#This Row],[Check 4 Status]]="Continued", Table1[[#This Row],[Check 4 Students Summer]], 0)</f>
        <v>60</v>
      </c>
      <c r="CZ80" s="58">
        <f>Table1[[#This Row],[Check 4 Per Student Savings]]*CY80</f>
        <v>6000</v>
      </c>
      <c r="DA80" s="21">
        <f>IF(Table1[[#This Row],[Check 4 Status]]="Continued", Table1[[#This Row],[Check 4 Students Fall]], 0)</f>
        <v>400</v>
      </c>
      <c r="DB80" s="58">
        <f>Table1[[#This Row],[Check 4 Per Student Savings]]*DA80</f>
        <v>40000</v>
      </c>
      <c r="DC80" s="21">
        <f>IF(Table1[[#This Row],[Check 4 Status]]="Continued", Table1[[#This Row],[Check 4 Students Spring]], 0)</f>
        <v>300</v>
      </c>
      <c r="DD80" s="58">
        <f>Table1[[#This Row],[Check 4 Per Student Savings]]*DC80</f>
        <v>30000</v>
      </c>
      <c r="DE80" s="58">
        <f t="shared" si="86"/>
        <v>760</v>
      </c>
      <c r="DF80" s="58">
        <f t="shared" si="87"/>
        <v>76000</v>
      </c>
      <c r="DG8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5280</v>
      </c>
      <c r="DH8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994893.33333333337</v>
      </c>
      <c r="DI80" s="58">
        <f>Table1[[#This Row],[Grand Total Savings]]/Table1[[#This Row],[Total Award]]</f>
        <v>47.831410256410258</v>
      </c>
      <c r="DJ80" s="17"/>
      <c r="DK80" s="17"/>
      <c r="DL80" s="17"/>
      <c r="DM80" s="17"/>
      <c r="EC80" s="17"/>
      <c r="ED80" s="17"/>
      <c r="EE80" s="17"/>
      <c r="EF80" s="17"/>
    </row>
    <row r="81" spans="1:136" x14ac:dyDescent="0.25">
      <c r="A81" s="159">
        <v>155</v>
      </c>
      <c r="B81" s="17" t="s">
        <v>2011</v>
      </c>
      <c r="D81" s="97">
        <v>510601</v>
      </c>
      <c r="E81" s="158">
        <v>42410</v>
      </c>
      <c r="F81" s="158">
        <v>42734</v>
      </c>
      <c r="G81" s="159" t="s">
        <v>521</v>
      </c>
      <c r="H81" s="95" t="s">
        <v>9</v>
      </c>
      <c r="I81" s="226" t="s">
        <v>118</v>
      </c>
      <c r="J81" s="17" t="s">
        <v>210</v>
      </c>
      <c r="K81" s="107">
        <v>10800</v>
      </c>
      <c r="L81" s="107"/>
      <c r="M81" s="101" t="s">
        <v>552</v>
      </c>
      <c r="N81" s="101" t="s">
        <v>553</v>
      </c>
      <c r="O81" s="101" t="s">
        <v>554</v>
      </c>
      <c r="P81" s="101" t="s">
        <v>555</v>
      </c>
      <c r="Q81" s="101" t="s">
        <v>156</v>
      </c>
      <c r="R81" s="101" t="s">
        <v>129</v>
      </c>
      <c r="S81" s="160" t="s">
        <v>36</v>
      </c>
      <c r="T81" s="17" t="s">
        <v>129</v>
      </c>
      <c r="U81" s="101" t="s">
        <v>157</v>
      </c>
      <c r="V81" s="17" t="s">
        <v>150</v>
      </c>
      <c r="W81" s="17" t="s">
        <v>127</v>
      </c>
      <c r="X81" s="17" t="s">
        <v>127</v>
      </c>
      <c r="Y81" s="58">
        <v>32240</v>
      </c>
      <c r="Z81" s="17">
        <v>260</v>
      </c>
      <c r="AA81" s="58">
        <f t="shared" si="90"/>
        <v>124</v>
      </c>
      <c r="AB81" s="21">
        <f t="shared" si="71"/>
        <v>86.666666666666671</v>
      </c>
      <c r="AC81" s="21">
        <f t="shared" si="72"/>
        <v>86.666666666666671</v>
      </c>
      <c r="AD81" s="21">
        <f t="shared" si="73"/>
        <v>86.666666666666671</v>
      </c>
      <c r="AE81" s="17" t="s">
        <v>468</v>
      </c>
      <c r="AF81" s="17" t="s">
        <v>129</v>
      </c>
      <c r="AG81" s="17"/>
      <c r="AI81" s="17" t="s">
        <v>130</v>
      </c>
      <c r="AJ81" s="21">
        <v>0</v>
      </c>
      <c r="AK81" s="58">
        <v>0</v>
      </c>
      <c r="AL81" s="21">
        <v>0</v>
      </c>
      <c r="AM81" s="58">
        <f t="shared" si="74"/>
        <v>0</v>
      </c>
      <c r="AN81" s="21">
        <v>0</v>
      </c>
      <c r="AO81" s="58">
        <f t="shared" si="76"/>
        <v>0</v>
      </c>
      <c r="AP81" s="21">
        <v>0</v>
      </c>
      <c r="AQ81" s="58">
        <f t="shared" si="77"/>
        <v>0</v>
      </c>
      <c r="AR81" s="21">
        <v>0</v>
      </c>
      <c r="AS81" s="58">
        <f t="shared" si="78"/>
        <v>0</v>
      </c>
      <c r="AT81" s="21">
        <v>0</v>
      </c>
      <c r="AU81" s="58">
        <f t="shared" si="89"/>
        <v>0</v>
      </c>
      <c r="AV81" s="21">
        <f>IF(Table1[[#This Row],[Sustainability Check 1 (2017-2018) Status]]="Continued", Table1[[#This Row],[Students Per Summer]], 0)</f>
        <v>86.666666666666671</v>
      </c>
      <c r="AW81" s="58">
        <f>$AA81*AV81</f>
        <v>10746.666666666668</v>
      </c>
      <c r="AX81" s="31">
        <f>IF(Table1[[#This Row],[Sustainability Check 1 (2017-2018) Status]]="Continued", Table1[[#This Row],[Students Per Fall]], 0)</f>
        <v>86.666666666666671</v>
      </c>
      <c r="AY81" s="58">
        <f t="shared" si="62"/>
        <v>10746.666666666668</v>
      </c>
      <c r="AZ81" s="31">
        <f>IF(Table1[[#This Row],[Sustainability Check 1 (2017-2018) Status]]="Continued", Table1[[#This Row],[Students Per Spring]], 0)</f>
        <v>86.666666666666671</v>
      </c>
      <c r="BA81" s="58">
        <f t="shared" si="63"/>
        <v>10746.666666666668</v>
      </c>
      <c r="BB81" s="31">
        <f t="shared" si="64"/>
        <v>260</v>
      </c>
      <c r="BC81" s="58">
        <f t="shared" si="65"/>
        <v>32240.000000000004</v>
      </c>
      <c r="BD81" s="31">
        <f>IF(Table1[[#This Row],[Sustainability Check 1 (2017-2018) Status]]="Continued", Table1[[#This Row],[Students Per Summer]], 0)</f>
        <v>86.666666666666671</v>
      </c>
      <c r="BE81" s="58">
        <f t="shared" si="66"/>
        <v>10746.666666666668</v>
      </c>
      <c r="BF81" s="31">
        <f>IF(Table1[[#This Row],[Sustainability Check 1 (2017-2018) Status]]="Continued", Table1[[#This Row],[Students Per Fall]], 0)</f>
        <v>86.666666666666671</v>
      </c>
      <c r="BG81" s="58">
        <f t="shared" si="67"/>
        <v>10746.666666666668</v>
      </c>
      <c r="BH81" s="31">
        <f>IF(Table1[[#This Row],[Sustainability Check 1 (2017-2018) Status]]="Continued", Table1[[#This Row],[Students Per Spring]], 0)</f>
        <v>86.666666666666671</v>
      </c>
      <c r="BI81" s="58">
        <f t="shared" si="68"/>
        <v>10746.666666666668</v>
      </c>
      <c r="BJ81" s="31">
        <f t="shared" si="69"/>
        <v>260</v>
      </c>
      <c r="BK81" s="58">
        <f t="shared" si="70"/>
        <v>32240.000000000004</v>
      </c>
      <c r="BL81" s="58" t="s">
        <v>130</v>
      </c>
      <c r="BM81" s="31">
        <v>75</v>
      </c>
      <c r="BN81" s="31">
        <v>140</v>
      </c>
      <c r="BO81" s="31">
        <v>86</v>
      </c>
      <c r="BP81" s="31">
        <f t="shared" si="75"/>
        <v>301</v>
      </c>
      <c r="BQ81" s="58">
        <v>71.930000000000007</v>
      </c>
      <c r="BR81" s="58">
        <f>Table1[[#This Row],[Check 2 Students Total]]*Table1[[#This Row],[Summer 2018 Price Check]]</f>
        <v>21650.93</v>
      </c>
      <c r="BS81" s="31">
        <f>IF(Table1[[#This Row],[Sustainability Check 2 (2018-2019) Status]]="Continued", Table1[[#This Row],[Check 2 Students Summer]], 0)</f>
        <v>75</v>
      </c>
      <c r="BT81" s="58">
        <f>Table1[[#This Row],[Summer 2018 Price Check]]*BS81</f>
        <v>5394.7500000000009</v>
      </c>
      <c r="BU81" s="31">
        <f>IF(Table1[[#This Row],[Sustainability Check 2 (2018-2019) Status]]="Continued", Table1[[#This Row],[Check 2 Students Fall]], 0)</f>
        <v>140</v>
      </c>
      <c r="BV81" s="58">
        <f>Table1[[#This Row],[Summer 2018 Price Check]]*BU81</f>
        <v>10070.200000000001</v>
      </c>
      <c r="BW81" s="21">
        <f>IF(Table1[[#This Row],[Sustainability Check 2 (2018-2019) Status]]="Continued", Table1[Check 2 Students Spring], 0)</f>
        <v>86</v>
      </c>
      <c r="BX81" s="58">
        <f>Table1[[#This Row],[Summer 2018 Price Check]]*Table1[[#This Row],[Spring 2019 Students]]</f>
        <v>6185.9800000000005</v>
      </c>
      <c r="BY81" s="31">
        <f t="shared" si="79"/>
        <v>301</v>
      </c>
      <c r="BZ81" s="58">
        <f t="shared" si="80"/>
        <v>21650.93</v>
      </c>
      <c r="CA81" s="58" t="s">
        <v>130</v>
      </c>
      <c r="CB81" s="21">
        <v>75</v>
      </c>
      <c r="CC81" s="21">
        <v>140</v>
      </c>
      <c r="CD81" s="21">
        <v>86</v>
      </c>
      <c r="CE81" s="21">
        <f t="shared" si="88"/>
        <v>301</v>
      </c>
      <c r="CF81" s="58">
        <v>124</v>
      </c>
      <c r="CG81" s="58">
        <f t="shared" si="81"/>
        <v>37324</v>
      </c>
      <c r="CH81" s="17" t="s">
        <v>468</v>
      </c>
      <c r="CI81" s="21">
        <f>IF(Table1[[#This Row],[Check 3 Status]]="Continued", Table1[[#This Row],[Check 3 Students Summer]], 0)</f>
        <v>75</v>
      </c>
      <c r="CJ81" s="58">
        <f>Table1[[#This Row],[Check 3 Per Student Savings]]*CI81</f>
        <v>9300</v>
      </c>
      <c r="CK81" s="21">
        <f>IF(Table1[[#This Row],[Check 3 Status]]="Continued", Table1[[#This Row],[Check 3 Students Fall]], 0)</f>
        <v>140</v>
      </c>
      <c r="CL81" s="58">
        <f>Table1[[#This Row],[Check 3 Per Student Savings]]*CK81</f>
        <v>17360</v>
      </c>
      <c r="CM81" s="21">
        <f>IF(Table1[[#This Row],[Check 3 Status]]="Continued", Table1[[#This Row],[Check 3 Students Spring]], 0)</f>
        <v>86</v>
      </c>
      <c r="CN81" s="58">
        <f>Table1[[#This Row],[Check 3 Per Student Savings]]*CM81</f>
        <v>10664</v>
      </c>
      <c r="CO81" s="21">
        <f t="shared" si="82"/>
        <v>301</v>
      </c>
      <c r="CP81" s="58">
        <f t="shared" si="83"/>
        <v>37324</v>
      </c>
      <c r="CQ81" s="58" t="s">
        <v>130</v>
      </c>
      <c r="CR81" s="21">
        <v>75</v>
      </c>
      <c r="CS81" s="21">
        <v>140</v>
      </c>
      <c r="CT81" s="21">
        <v>86</v>
      </c>
      <c r="CU81" s="21">
        <f t="shared" si="84"/>
        <v>301</v>
      </c>
      <c r="CV81" s="58">
        <v>124</v>
      </c>
      <c r="CW81" s="58">
        <f t="shared" si="85"/>
        <v>37324</v>
      </c>
      <c r="CX81" s="58"/>
      <c r="CY81" s="21">
        <f>IF(Table1[[#This Row],[Check 4 Status]]="Continued", Table1[[#This Row],[Check 4 Students Summer]], 0)</f>
        <v>75</v>
      </c>
      <c r="CZ81" s="58">
        <f>Table1[[#This Row],[Check 4 Per Student Savings]]*CY81</f>
        <v>9300</v>
      </c>
      <c r="DA81" s="21">
        <f>IF(Table1[[#This Row],[Check 4 Status]]="Continued", Table1[[#This Row],[Check 4 Students Fall]], 0)</f>
        <v>140</v>
      </c>
      <c r="DB81" s="58">
        <f>Table1[[#This Row],[Check 4 Per Student Savings]]*DA81</f>
        <v>17360</v>
      </c>
      <c r="DC81" s="21">
        <f>IF(Table1[[#This Row],[Check 4 Status]]="Continued", Table1[[#This Row],[Check 4 Students Spring]], 0)</f>
        <v>86</v>
      </c>
      <c r="DD81" s="58">
        <f>Table1[[#This Row],[Check 4 Per Student Savings]]*DC81</f>
        <v>10664</v>
      </c>
      <c r="DE81" s="58">
        <f t="shared" si="86"/>
        <v>301</v>
      </c>
      <c r="DF81" s="58">
        <f t="shared" si="87"/>
        <v>37324</v>
      </c>
      <c r="DG8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1423</v>
      </c>
      <c r="DH8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160778.93</v>
      </c>
      <c r="DI81" s="58">
        <f>Table1[[#This Row],[Grand Total Savings]]/Table1[[#This Row],[Total Award]]</f>
        <v>14.886937962962962</v>
      </c>
      <c r="DJ81" s="17"/>
      <c r="DK81" s="17"/>
      <c r="DL81" s="17"/>
      <c r="DM81" s="17"/>
      <c r="EC81" s="17"/>
      <c r="ED81" s="17"/>
      <c r="EE81" s="17"/>
      <c r="EF81" s="17"/>
    </row>
    <row r="82" spans="1:136" x14ac:dyDescent="0.25">
      <c r="A82" s="159">
        <v>156</v>
      </c>
      <c r="B82" s="17" t="s">
        <v>2011</v>
      </c>
      <c r="D82" s="97">
        <v>510594</v>
      </c>
      <c r="E82" s="158">
        <v>42409</v>
      </c>
      <c r="F82" s="158">
        <v>42734</v>
      </c>
      <c r="G82" s="159" t="s">
        <v>521</v>
      </c>
      <c r="H82" s="95" t="s">
        <v>9</v>
      </c>
      <c r="I82" s="226" t="s">
        <v>118</v>
      </c>
      <c r="J82" s="17" t="s">
        <v>243</v>
      </c>
      <c r="K82" s="107">
        <v>15800</v>
      </c>
      <c r="L82" s="107"/>
      <c r="M82" s="101" t="s">
        <v>556</v>
      </c>
      <c r="N82" s="101" t="s">
        <v>557</v>
      </c>
      <c r="O82" s="101" t="s">
        <v>558</v>
      </c>
      <c r="P82" s="101" t="s">
        <v>559</v>
      </c>
      <c r="Q82" s="101" t="s">
        <v>156</v>
      </c>
      <c r="R82" s="101" t="s">
        <v>129</v>
      </c>
      <c r="S82" s="101" t="s">
        <v>129</v>
      </c>
      <c r="T82" s="17" t="s">
        <v>129</v>
      </c>
      <c r="U82" s="101" t="s">
        <v>164</v>
      </c>
      <c r="V82" s="17" t="s">
        <v>150</v>
      </c>
      <c r="W82" s="17" t="s">
        <v>127</v>
      </c>
      <c r="X82" s="17" t="s">
        <v>127</v>
      </c>
      <c r="Y82" s="58">
        <v>99072</v>
      </c>
      <c r="Z82" s="17">
        <v>256</v>
      </c>
      <c r="AA82" s="58">
        <f t="shared" si="90"/>
        <v>387</v>
      </c>
      <c r="AB82" s="21">
        <f t="shared" si="71"/>
        <v>85.333333333333329</v>
      </c>
      <c r="AC82" s="21">
        <f t="shared" si="72"/>
        <v>85.333333333333329</v>
      </c>
      <c r="AD82" s="21">
        <f t="shared" si="73"/>
        <v>85.333333333333329</v>
      </c>
      <c r="AE82" s="17" t="s">
        <v>537</v>
      </c>
      <c r="AF82" s="17" t="s">
        <v>129</v>
      </c>
      <c r="AG82" s="17"/>
      <c r="AI82" s="17" t="s">
        <v>130</v>
      </c>
      <c r="AJ82" s="21">
        <v>0</v>
      </c>
      <c r="AK82" s="58">
        <v>0</v>
      </c>
      <c r="AL82" s="21">
        <v>0</v>
      </c>
      <c r="AM82" s="58">
        <f t="shared" si="74"/>
        <v>0</v>
      </c>
      <c r="AN82" s="21">
        <v>0</v>
      </c>
      <c r="AO82" s="58">
        <f t="shared" si="76"/>
        <v>0</v>
      </c>
      <c r="AP82" s="21">
        <v>0</v>
      </c>
      <c r="AQ82" s="58">
        <f t="shared" si="77"/>
        <v>0</v>
      </c>
      <c r="AR82" s="21">
        <v>0</v>
      </c>
      <c r="AS82" s="58">
        <f t="shared" si="78"/>
        <v>0</v>
      </c>
      <c r="AT82" s="21">
        <v>0</v>
      </c>
      <c r="AU82" s="58">
        <f t="shared" si="89"/>
        <v>0</v>
      </c>
      <c r="AV82" s="21">
        <v>0</v>
      </c>
      <c r="AW82" s="58">
        <v>0</v>
      </c>
      <c r="AX82" s="31">
        <f>Table1[[#This Row],[Students Per Fall]]</f>
        <v>85.333333333333329</v>
      </c>
      <c r="AY82" s="58">
        <f t="shared" si="62"/>
        <v>33024</v>
      </c>
      <c r="AZ82" s="31">
        <f>IF(Table1[[#This Row],[Sustainability Check 1 (2017-2018) Status]]="Continued", Table1[[#This Row],[Students Per Spring]], 0)</f>
        <v>85.333333333333329</v>
      </c>
      <c r="BA82" s="58">
        <f t="shared" si="63"/>
        <v>33024</v>
      </c>
      <c r="BB82" s="31">
        <f t="shared" si="64"/>
        <v>170.66666666666666</v>
      </c>
      <c r="BC82" s="58">
        <f t="shared" si="65"/>
        <v>66048</v>
      </c>
      <c r="BD82" s="31">
        <f>IF(Table1[[#This Row],[Sustainability Check 1 (2017-2018) Status]]="Continued", Table1[[#This Row],[Students Per Summer]], 0)</f>
        <v>85.333333333333329</v>
      </c>
      <c r="BE82" s="58">
        <f t="shared" si="66"/>
        <v>33024</v>
      </c>
      <c r="BF82" s="31">
        <f>IF(Table1[[#This Row],[Sustainability Check 1 (2017-2018) Status]]="Continued", Table1[[#This Row],[Students Per Fall]], 0)</f>
        <v>85.333333333333329</v>
      </c>
      <c r="BG82" s="58">
        <f t="shared" si="67"/>
        <v>33024</v>
      </c>
      <c r="BH82" s="31">
        <f>IF(Table1[[#This Row],[Sustainability Check 1 (2017-2018) Status]]="Continued", Table1[[#This Row],[Students Per Spring]], 0)</f>
        <v>85.333333333333329</v>
      </c>
      <c r="BI82" s="58">
        <f t="shared" si="68"/>
        <v>33024</v>
      </c>
      <c r="BJ82" s="31">
        <f t="shared" si="69"/>
        <v>256</v>
      </c>
      <c r="BK82" s="58">
        <f t="shared" si="70"/>
        <v>99072</v>
      </c>
      <c r="BL82" s="58" t="s">
        <v>130</v>
      </c>
      <c r="BM82" s="31">
        <v>0</v>
      </c>
      <c r="BN82" s="31">
        <v>330</v>
      </c>
      <c r="BO82" s="31">
        <v>0</v>
      </c>
      <c r="BP82" s="31">
        <f t="shared" si="75"/>
        <v>330</v>
      </c>
      <c r="BQ82" s="58">
        <v>376.43</v>
      </c>
      <c r="BR82" s="58">
        <f>Table1[[#This Row],[Check 2 Students Total]]*Table1[[#This Row],[Summer 2018 Price Check]]</f>
        <v>124221.90000000001</v>
      </c>
      <c r="BS82" s="31">
        <f>IF(Table1[[#This Row],[Sustainability Check 2 (2018-2019) Status]]="Continued", Table1[[#This Row],[Check 2 Students Summer]], 0)</f>
        <v>0</v>
      </c>
      <c r="BT82" s="58">
        <f>Table1[[#This Row],[Summer 2018 Price Check]]*BS82</f>
        <v>0</v>
      </c>
      <c r="BU82" s="31">
        <f>IF(Table1[[#This Row],[Sustainability Check 2 (2018-2019) Status]]="Continued", Table1[[#This Row],[Check 2 Students Fall]], 0)</f>
        <v>330</v>
      </c>
      <c r="BV82" s="58">
        <f>Table1[[#This Row],[Summer 2018 Price Check]]*BU82</f>
        <v>124221.90000000001</v>
      </c>
      <c r="BW82" s="21">
        <f>IF(Table1[[#This Row],[Sustainability Check 2 (2018-2019) Status]]="Continued", Table1[Check 2 Students Spring], 0)</f>
        <v>0</v>
      </c>
      <c r="BX82" s="58">
        <f>Table1[[#This Row],[Summer 2018 Price Check]]*Table1[[#This Row],[Spring 2019 Students]]</f>
        <v>0</v>
      </c>
      <c r="BY82" s="31">
        <f t="shared" si="79"/>
        <v>330</v>
      </c>
      <c r="BZ82" s="58">
        <f t="shared" si="80"/>
        <v>124221.90000000001</v>
      </c>
      <c r="CA82" s="58" t="s">
        <v>130</v>
      </c>
      <c r="CB82" s="21">
        <v>0</v>
      </c>
      <c r="CC82" s="21">
        <v>320</v>
      </c>
      <c r="CD82" s="21">
        <v>0</v>
      </c>
      <c r="CE82" s="21">
        <f t="shared" si="88"/>
        <v>320</v>
      </c>
      <c r="CF82" s="58">
        <v>387</v>
      </c>
      <c r="CG82" s="58">
        <f t="shared" si="81"/>
        <v>123840</v>
      </c>
      <c r="CH82" s="17" t="s">
        <v>537</v>
      </c>
      <c r="CI82" s="21">
        <f>IF(Table1[[#This Row],[Check 3 Status]]="Continued", Table1[[#This Row],[Check 3 Students Summer]], 0)</f>
        <v>0</v>
      </c>
      <c r="CJ82" s="58">
        <f>Table1[[#This Row],[Check 3 Per Student Savings]]*CI82</f>
        <v>0</v>
      </c>
      <c r="CK82" s="21">
        <f>IF(Table1[[#This Row],[Check 3 Status]]="Continued", Table1[[#This Row],[Check 3 Students Fall]], 0)</f>
        <v>320</v>
      </c>
      <c r="CL82" s="58">
        <f>Table1[[#This Row],[Check 3 Per Student Savings]]*CK82</f>
        <v>123840</v>
      </c>
      <c r="CM82" s="21">
        <f>IF(Table1[[#This Row],[Check 3 Status]]="Continued", Table1[[#This Row],[Check 3 Students Spring]], 0)</f>
        <v>0</v>
      </c>
      <c r="CN82" s="58">
        <f>Table1[[#This Row],[Check 3 Per Student Savings]]*CM82</f>
        <v>0</v>
      </c>
      <c r="CO82" s="21">
        <f t="shared" si="82"/>
        <v>320</v>
      </c>
      <c r="CP82" s="58">
        <f t="shared" si="83"/>
        <v>123840</v>
      </c>
      <c r="CQ82" s="58" t="s">
        <v>130</v>
      </c>
      <c r="CR82" s="21">
        <v>0</v>
      </c>
      <c r="CS82" s="21">
        <v>320</v>
      </c>
      <c r="CT82" s="21">
        <v>0</v>
      </c>
      <c r="CU82" s="21">
        <f t="shared" si="84"/>
        <v>320</v>
      </c>
      <c r="CV82" s="58">
        <v>387</v>
      </c>
      <c r="CW82" s="58">
        <f t="shared" si="85"/>
        <v>123840</v>
      </c>
      <c r="CX82" s="58"/>
      <c r="CY82" s="21">
        <f>IF(Table1[[#This Row],[Check 4 Status]]="Continued", Table1[[#This Row],[Check 4 Students Summer]], 0)</f>
        <v>0</v>
      </c>
      <c r="CZ82" s="58">
        <f>Table1[[#This Row],[Check 4 Per Student Savings]]*CY82</f>
        <v>0</v>
      </c>
      <c r="DA82" s="21">
        <f>IF(Table1[[#This Row],[Check 4 Status]]="Continued", Table1[[#This Row],[Check 4 Students Fall]], 0)</f>
        <v>320</v>
      </c>
      <c r="DB82" s="58">
        <f>Table1[[#This Row],[Check 4 Per Student Savings]]*DA82</f>
        <v>123840</v>
      </c>
      <c r="DC82" s="21">
        <f>IF(Table1[[#This Row],[Check 4 Status]]="Continued", Table1[[#This Row],[Check 4 Students Spring]], 0)</f>
        <v>0</v>
      </c>
      <c r="DD82" s="58">
        <f>Table1[[#This Row],[Check 4 Per Student Savings]]*DC82</f>
        <v>0</v>
      </c>
      <c r="DE82" s="58">
        <f t="shared" si="86"/>
        <v>320</v>
      </c>
      <c r="DF82" s="58">
        <f t="shared" si="87"/>
        <v>123840</v>
      </c>
      <c r="DG8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1396.6666666666665</v>
      </c>
      <c r="DH8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537021.9</v>
      </c>
      <c r="DI82" s="58">
        <f>Table1[[#This Row],[Grand Total Savings]]/Table1[[#This Row],[Total Award]]</f>
        <v>33.98872784810127</v>
      </c>
      <c r="DJ82" s="17"/>
      <c r="DK82" s="17"/>
      <c r="DL82" s="17"/>
      <c r="DM82" s="17"/>
      <c r="EC82" s="17"/>
      <c r="ED82" s="17"/>
      <c r="EE82" s="17"/>
      <c r="EF82" s="17"/>
    </row>
    <row r="83" spans="1:136" x14ac:dyDescent="0.25">
      <c r="A83" s="159">
        <v>157</v>
      </c>
      <c r="B83" s="17" t="s">
        <v>2011</v>
      </c>
      <c r="D83" s="97">
        <v>510629</v>
      </c>
      <c r="E83" s="158">
        <v>42410</v>
      </c>
      <c r="F83" s="158">
        <v>42735</v>
      </c>
      <c r="G83" s="159" t="s">
        <v>521</v>
      </c>
      <c r="H83" s="95" t="s">
        <v>9</v>
      </c>
      <c r="I83" s="226" t="s">
        <v>118</v>
      </c>
      <c r="J83" s="17" t="s">
        <v>388</v>
      </c>
      <c r="K83" s="107">
        <v>15800</v>
      </c>
      <c r="L83" s="107"/>
      <c r="M83" s="101" t="s">
        <v>560</v>
      </c>
      <c r="N83" s="101" t="s">
        <v>561</v>
      </c>
      <c r="O83" s="101" t="s">
        <v>562</v>
      </c>
      <c r="P83" s="101" t="s">
        <v>563</v>
      </c>
      <c r="Q83" s="101" t="s">
        <v>317</v>
      </c>
      <c r="R83" s="101" t="s">
        <v>129</v>
      </c>
      <c r="S83" s="101" t="s">
        <v>129</v>
      </c>
      <c r="T83" s="17" t="s">
        <v>129</v>
      </c>
      <c r="U83" s="160" t="s">
        <v>564</v>
      </c>
      <c r="V83" s="17" t="s">
        <v>150</v>
      </c>
      <c r="W83" s="17" t="s">
        <v>150</v>
      </c>
      <c r="X83" s="17" t="s">
        <v>150</v>
      </c>
      <c r="Y83" s="58">
        <v>62576.639999999999</v>
      </c>
      <c r="Z83" s="17">
        <v>458</v>
      </c>
      <c r="AA83" s="58">
        <f t="shared" si="90"/>
        <v>136.63021834061135</v>
      </c>
      <c r="AB83" s="21">
        <f t="shared" si="71"/>
        <v>152.66666666666666</v>
      </c>
      <c r="AC83" s="21">
        <f t="shared" si="72"/>
        <v>152.66666666666666</v>
      </c>
      <c r="AD83" s="21">
        <f t="shared" si="73"/>
        <v>152.66666666666666</v>
      </c>
      <c r="AE83" s="17" t="s">
        <v>468</v>
      </c>
      <c r="AF83" s="17" t="s">
        <v>129</v>
      </c>
      <c r="AG83" s="17"/>
      <c r="AI83" s="17" t="s">
        <v>141</v>
      </c>
      <c r="AJ83" s="21">
        <v>0</v>
      </c>
      <c r="AK83" s="58">
        <v>0</v>
      </c>
      <c r="AL83" s="21">
        <v>0</v>
      </c>
      <c r="AM83" s="58">
        <f t="shared" si="74"/>
        <v>0</v>
      </c>
      <c r="AN83" s="21">
        <v>0</v>
      </c>
      <c r="AO83" s="58">
        <f t="shared" si="76"/>
        <v>0</v>
      </c>
      <c r="AP83" s="21">
        <v>0</v>
      </c>
      <c r="AQ83" s="58">
        <f t="shared" si="77"/>
        <v>0</v>
      </c>
      <c r="AR83" s="21">
        <v>0</v>
      </c>
      <c r="AS83" s="58">
        <f t="shared" si="78"/>
        <v>0</v>
      </c>
      <c r="AT83" s="21">
        <v>0</v>
      </c>
      <c r="AU83" s="58">
        <f t="shared" si="89"/>
        <v>0</v>
      </c>
      <c r="AV83" s="21">
        <f>IF(Table1[[#This Row],[Sustainability Check 1 (2017-2018) Status]]="Continued", Table1[[#This Row],[Students Per Summer]], 0)</f>
        <v>0</v>
      </c>
      <c r="AW83" s="58">
        <f>$AA83*AV83</f>
        <v>0</v>
      </c>
      <c r="AX83" s="31">
        <f>IF(Table1[[#This Row],[Sustainability Check 1 (2017-2018) Status]]="Continued", Table1[[#This Row],[Students Per Fall]], 0)</f>
        <v>0</v>
      </c>
      <c r="AY83" s="58">
        <f t="shared" si="62"/>
        <v>0</v>
      </c>
      <c r="AZ83" s="31">
        <f>IF(Table1[[#This Row],[Sustainability Check 1 (2017-2018) Status]]="Continued", Table1[[#This Row],[Students Per Spring]], 0)</f>
        <v>0</v>
      </c>
      <c r="BA83" s="58">
        <f t="shared" si="63"/>
        <v>0</v>
      </c>
      <c r="BB83" s="31">
        <f t="shared" si="64"/>
        <v>0</v>
      </c>
      <c r="BC83" s="58">
        <f t="shared" si="65"/>
        <v>0</v>
      </c>
      <c r="BD83" s="31">
        <f>IF(Table1[[#This Row],[Sustainability Check 1 (2017-2018) Status]]="Continued", Table1[[#This Row],[Students Per Summer]], 0)</f>
        <v>0</v>
      </c>
      <c r="BE83" s="58">
        <f t="shared" si="66"/>
        <v>0</v>
      </c>
      <c r="BF83" s="31">
        <f>IF(Table1[[#This Row],[Sustainability Check 1 (2017-2018) Status]]="Continued", Table1[[#This Row],[Students Per Fall]], 0)</f>
        <v>0</v>
      </c>
      <c r="BG83" s="58">
        <f t="shared" si="67"/>
        <v>0</v>
      </c>
      <c r="BH83" s="31">
        <f>IF(Table1[[#This Row],[Sustainability Check 1 (2017-2018) Status]]="Continued", Table1[[#This Row],[Students Per Spring]], 0)</f>
        <v>0</v>
      </c>
      <c r="BI83" s="58">
        <f t="shared" si="68"/>
        <v>0</v>
      </c>
      <c r="BJ83" s="31">
        <f t="shared" si="69"/>
        <v>0</v>
      </c>
      <c r="BK83" s="58">
        <f t="shared" si="70"/>
        <v>0</v>
      </c>
      <c r="BL83" s="58" t="s">
        <v>130</v>
      </c>
      <c r="BM83" s="31">
        <v>5</v>
      </c>
      <c r="BN83" s="31">
        <v>4</v>
      </c>
      <c r="BO83" s="31">
        <v>4</v>
      </c>
      <c r="BP83" s="31">
        <f t="shared" si="75"/>
        <v>13</v>
      </c>
      <c r="BQ83" s="58">
        <v>113.88</v>
      </c>
      <c r="BR83" s="58">
        <f>Table1[[#This Row],[Check 2 Students Total]]*Table1[[#This Row],[Summer 2018 Price Check]]</f>
        <v>1480.44</v>
      </c>
      <c r="BS83" s="31">
        <f>IF(Table1[[#This Row],[Sustainability Check 2 (2018-2019) Status]]="Continued", Table1[[#This Row],[Check 2 Students Summer]], 0)</f>
        <v>5</v>
      </c>
      <c r="BT83" s="58">
        <f>Table1[[#This Row],[Summer 2018 Price Check]]*BS83</f>
        <v>569.4</v>
      </c>
      <c r="BU83" s="31">
        <f>IF(Table1[[#This Row],[Sustainability Check 2 (2018-2019) Status]]="Continued", Table1[[#This Row],[Check 2 Students Fall]], 0)</f>
        <v>4</v>
      </c>
      <c r="BV83" s="58">
        <f>Table1[[#This Row],[Summer 2018 Price Check]]*BU83</f>
        <v>455.52</v>
      </c>
      <c r="BW83" s="21">
        <f>IF(Table1[[#This Row],[Sustainability Check 2 (2018-2019) Status]]="Continued", Table1[Check 2 Students Spring], 0)</f>
        <v>4</v>
      </c>
      <c r="BX83" s="58">
        <f>Table1[[#This Row],[Summer 2018 Price Check]]*Table1[[#This Row],[Spring 2019 Students]]</f>
        <v>455.52</v>
      </c>
      <c r="BY83" s="31">
        <f t="shared" si="79"/>
        <v>13</v>
      </c>
      <c r="BZ83" s="58">
        <f t="shared" si="80"/>
        <v>1480.44</v>
      </c>
      <c r="CA83" s="58" t="s">
        <v>130</v>
      </c>
      <c r="CB83" s="21">
        <v>5</v>
      </c>
      <c r="CC83" s="21">
        <v>4</v>
      </c>
      <c r="CD83" s="21">
        <v>4</v>
      </c>
      <c r="CE83" s="21">
        <f t="shared" si="88"/>
        <v>13</v>
      </c>
      <c r="CF83" s="58">
        <v>199.95</v>
      </c>
      <c r="CG83" s="58">
        <f t="shared" si="81"/>
        <v>2599.35</v>
      </c>
      <c r="CH83" s="17" t="s">
        <v>468</v>
      </c>
      <c r="CI83" s="21">
        <f>IF(Table1[[#This Row],[Check 3 Status]]="Continued", Table1[[#This Row],[Check 3 Students Summer]], 0)</f>
        <v>5</v>
      </c>
      <c r="CJ83" s="58">
        <f>Table1[[#This Row],[Check 3 Per Student Savings]]*CI83</f>
        <v>999.75</v>
      </c>
      <c r="CK83" s="21">
        <f>IF(Table1[[#This Row],[Check 3 Status]]="Continued", Table1[[#This Row],[Check 3 Students Fall]], 0)</f>
        <v>4</v>
      </c>
      <c r="CL83" s="58">
        <f>Table1[[#This Row],[Check 3 Per Student Savings]]*CK83</f>
        <v>799.8</v>
      </c>
      <c r="CM83" s="21">
        <f>IF(Table1[[#This Row],[Check 3 Status]]="Continued", Table1[[#This Row],[Check 3 Students Spring]], 0)</f>
        <v>4</v>
      </c>
      <c r="CN83" s="58">
        <f>Table1[[#This Row],[Check 3 Per Student Savings]]*CM83</f>
        <v>799.8</v>
      </c>
      <c r="CO83" s="21">
        <f t="shared" si="82"/>
        <v>13</v>
      </c>
      <c r="CP83" s="58">
        <f t="shared" si="83"/>
        <v>2599.35</v>
      </c>
      <c r="CQ83" s="58" t="s">
        <v>130</v>
      </c>
      <c r="CR83" s="21">
        <v>5</v>
      </c>
      <c r="CS83" s="21">
        <v>4</v>
      </c>
      <c r="CT83" s="21">
        <v>4</v>
      </c>
      <c r="CU83" s="21">
        <f t="shared" si="84"/>
        <v>13</v>
      </c>
      <c r="CV83" s="58">
        <v>199.95</v>
      </c>
      <c r="CW83" s="58">
        <f t="shared" si="85"/>
        <v>2599.35</v>
      </c>
      <c r="CX83" s="58"/>
      <c r="CY83" s="21">
        <f>IF(Table1[[#This Row],[Check 4 Status]]="Continued", Table1[[#This Row],[Check 4 Students Summer]], 0)</f>
        <v>5</v>
      </c>
      <c r="CZ83" s="58">
        <f>Table1[[#This Row],[Check 4 Per Student Savings]]*CY83</f>
        <v>999.75</v>
      </c>
      <c r="DA83" s="21">
        <f>IF(Table1[[#This Row],[Check 4 Status]]="Continued", Table1[[#This Row],[Check 4 Students Fall]], 0)</f>
        <v>4</v>
      </c>
      <c r="DB83" s="58">
        <f>Table1[[#This Row],[Check 4 Per Student Savings]]*DA83</f>
        <v>799.8</v>
      </c>
      <c r="DC83" s="21">
        <f>IF(Table1[[#This Row],[Check 4 Status]]="Continued", Table1[[#This Row],[Check 4 Students Spring]], 0)</f>
        <v>4</v>
      </c>
      <c r="DD83" s="58">
        <f>Table1[[#This Row],[Check 4 Per Student Savings]]*DC83</f>
        <v>799.8</v>
      </c>
      <c r="DE83" s="58">
        <f t="shared" si="86"/>
        <v>13</v>
      </c>
      <c r="DF83" s="58">
        <f t="shared" si="87"/>
        <v>2599.35</v>
      </c>
      <c r="DG8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39</v>
      </c>
      <c r="DH8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6679.1399999999994</v>
      </c>
      <c r="DI83" s="58">
        <f>Table1[[#This Row],[Grand Total Savings]]/Table1[[#This Row],[Total Award]]</f>
        <v>0.42273037974683542</v>
      </c>
      <c r="DJ83" s="17"/>
      <c r="DK83" s="17"/>
      <c r="DL83" s="17"/>
      <c r="DM83" s="17"/>
      <c r="EC83" s="17"/>
      <c r="ED83" s="17"/>
      <c r="EE83" s="17"/>
      <c r="EF83" s="17"/>
    </row>
    <row r="84" spans="1:136" x14ac:dyDescent="0.25">
      <c r="A84" s="159">
        <v>159</v>
      </c>
      <c r="B84" s="17" t="s">
        <v>2011</v>
      </c>
      <c r="D84" s="97">
        <v>510592</v>
      </c>
      <c r="E84" s="158">
        <v>42412</v>
      </c>
      <c r="F84" s="158">
        <v>42598</v>
      </c>
      <c r="G84" s="157" t="s">
        <v>521</v>
      </c>
      <c r="H84" s="95" t="s">
        <v>9</v>
      </c>
      <c r="I84" s="226" t="s">
        <v>118</v>
      </c>
      <c r="J84" s="17" t="s">
        <v>250</v>
      </c>
      <c r="K84" s="107">
        <v>10800</v>
      </c>
      <c r="L84" s="107"/>
      <c r="M84" s="101" t="s">
        <v>565</v>
      </c>
      <c r="N84" s="101" t="s">
        <v>566</v>
      </c>
      <c r="O84" s="101" t="s">
        <v>362</v>
      </c>
      <c r="P84" s="101" t="s">
        <v>567</v>
      </c>
      <c r="Q84" s="101" t="s">
        <v>148</v>
      </c>
      <c r="R84" s="101" t="s">
        <v>129</v>
      </c>
      <c r="S84" s="101" t="s">
        <v>129</v>
      </c>
      <c r="T84" s="17" t="s">
        <v>125</v>
      </c>
      <c r="U84" s="160" t="s">
        <v>138</v>
      </c>
      <c r="V84" s="17" t="s">
        <v>150</v>
      </c>
      <c r="W84" s="17" t="s">
        <v>150</v>
      </c>
      <c r="X84" s="17" t="s">
        <v>150</v>
      </c>
      <c r="Y84" s="58">
        <v>98540</v>
      </c>
      <c r="Z84" s="17">
        <v>260</v>
      </c>
      <c r="AA84" s="58">
        <f t="shared" si="90"/>
        <v>379</v>
      </c>
      <c r="AB84" s="21">
        <f t="shared" si="71"/>
        <v>86.666666666666671</v>
      </c>
      <c r="AC84" s="21">
        <f t="shared" si="72"/>
        <v>86.666666666666671</v>
      </c>
      <c r="AD84" s="21">
        <f t="shared" si="73"/>
        <v>86.666666666666671</v>
      </c>
      <c r="AE84" s="17" t="s">
        <v>194</v>
      </c>
      <c r="AF84" s="17" t="s">
        <v>129</v>
      </c>
      <c r="AG84" s="17"/>
      <c r="AI84" s="17" t="s">
        <v>130</v>
      </c>
      <c r="AJ84" s="21">
        <v>0</v>
      </c>
      <c r="AK84" s="58">
        <v>0</v>
      </c>
      <c r="AL84" s="21">
        <v>0</v>
      </c>
      <c r="AM84" s="58">
        <f t="shared" si="74"/>
        <v>0</v>
      </c>
      <c r="AN84" s="21">
        <v>0</v>
      </c>
      <c r="AO84" s="58">
        <f t="shared" si="76"/>
        <v>0</v>
      </c>
      <c r="AP84" s="21">
        <v>0</v>
      </c>
      <c r="AQ84" s="58">
        <f t="shared" si="77"/>
        <v>0</v>
      </c>
      <c r="AR84" s="21">
        <f>Table1[[#This Row],[Students Per Spring]]</f>
        <v>86.666666666666671</v>
      </c>
      <c r="AS84" s="58">
        <f t="shared" si="78"/>
        <v>32846.666666666672</v>
      </c>
      <c r="AT84" s="21">
        <f>AN84+AP84+AR84</f>
        <v>86.666666666666671</v>
      </c>
      <c r="AU84" s="58">
        <f t="shared" si="89"/>
        <v>32846.666666666672</v>
      </c>
      <c r="AV84" s="21">
        <f>IF(Table1[[#This Row],[Sustainability Check 1 (2017-2018) Status]]="Continued", Table1[[#This Row],[Students Per Summer]], 0)</f>
        <v>86.666666666666671</v>
      </c>
      <c r="AW84" s="58">
        <f>$AA84*AV84</f>
        <v>32846.666666666672</v>
      </c>
      <c r="AX84" s="31">
        <f>IF(Table1[[#This Row],[Sustainability Check 1 (2017-2018) Status]]="Continued", Table1[[#This Row],[Students Per Fall]], 0)</f>
        <v>86.666666666666671</v>
      </c>
      <c r="AY84" s="58">
        <f t="shared" ref="AY84:AY100" si="91">$AA84*AX84</f>
        <v>32846.666666666672</v>
      </c>
      <c r="AZ84" s="31">
        <f>IF(Table1[[#This Row],[Sustainability Check 1 (2017-2018) Status]]="Continued", Table1[[#This Row],[Students Per Spring]], 0)</f>
        <v>86.666666666666671</v>
      </c>
      <c r="BA84" s="58">
        <f t="shared" ref="BA84:BA111" si="92">$AA84*AZ84</f>
        <v>32846.666666666672</v>
      </c>
      <c r="BB84" s="31">
        <f t="shared" ref="BB84:BB111" si="93">AV84+AX84+AZ84</f>
        <v>260</v>
      </c>
      <c r="BC84" s="58">
        <f t="shared" ref="BC84:BC111" si="94">AW84+AY84+BA84</f>
        <v>98540.000000000015</v>
      </c>
      <c r="BD84" s="31">
        <f>IF(Table1[[#This Row],[Sustainability Check 1 (2017-2018) Status]]="Continued", Table1[[#This Row],[Students Per Summer]], 0)</f>
        <v>86.666666666666671</v>
      </c>
      <c r="BE84" s="58">
        <f t="shared" ref="BE84:BE111" si="95">$AA84*BD84</f>
        <v>32846.666666666672</v>
      </c>
      <c r="BF84" s="31">
        <f>IF(Table1[[#This Row],[Sustainability Check 1 (2017-2018) Status]]="Continued", Table1[[#This Row],[Students Per Fall]], 0)</f>
        <v>86.666666666666671</v>
      </c>
      <c r="BG84" s="58">
        <f t="shared" ref="BG84:BG89" si="96">$AA84*BF84</f>
        <v>32846.666666666672</v>
      </c>
      <c r="BH84" s="31">
        <f>IF(Table1[[#This Row],[Sustainability Check 1 (2017-2018) Status]]="Continued", Table1[[#This Row],[Students Per Spring]], 0)</f>
        <v>86.666666666666671</v>
      </c>
      <c r="BI84" s="58">
        <f t="shared" ref="BI84:BI89" si="97">$AA84*BH84</f>
        <v>32846.666666666672</v>
      </c>
      <c r="BJ84" s="31">
        <f t="shared" ref="BJ84:BJ111" si="98">BD84+BF84+BH84</f>
        <v>260</v>
      </c>
      <c r="BK84" s="58">
        <f t="shared" ref="BK84:BK111" si="99">BE84+BG84+BI84</f>
        <v>98540.000000000015</v>
      </c>
      <c r="BL84" s="58" t="s">
        <v>130</v>
      </c>
      <c r="BM84" s="31">
        <v>60</v>
      </c>
      <c r="BN84" s="31">
        <v>35</v>
      </c>
      <c r="BO84" s="31">
        <v>35</v>
      </c>
      <c r="BP84" s="31">
        <f t="shared" si="75"/>
        <v>130</v>
      </c>
      <c r="BQ84" s="96">
        <v>321.3</v>
      </c>
      <c r="BR84" s="58">
        <f>Table1[[#This Row],[Check 2 Students Total]]*Table1[[#This Row],[Summer 2018 Price Check]]</f>
        <v>41769</v>
      </c>
      <c r="BS84" s="31">
        <f>IF(Table1[[#This Row],[Sustainability Check 2 (2018-2019) Status]]="Continued", Table1[[#This Row],[Check 2 Students Summer]], 0)</f>
        <v>60</v>
      </c>
      <c r="BT84" s="58">
        <f>Table1[[#This Row],[Summer 2018 Price Check]]*BS84</f>
        <v>19278</v>
      </c>
      <c r="BU84" s="31">
        <f>IF(Table1[[#This Row],[Sustainability Check 2 (2018-2019) Status]]="Continued", Table1[[#This Row],[Check 2 Students Fall]], 0)</f>
        <v>35</v>
      </c>
      <c r="BV84" s="58">
        <f>Table1[[#This Row],[Summer 2018 Price Check]]*BU84</f>
        <v>11245.5</v>
      </c>
      <c r="BW84" s="21">
        <f>IF(Table1[[#This Row],[Sustainability Check 2 (2018-2019) Status]]="Continued", Table1[Check 2 Students Spring], 0)</f>
        <v>35</v>
      </c>
      <c r="BX84" s="58">
        <f>Table1[[#This Row],[Summer 2018 Price Check]]*Table1[[#This Row],[Spring 2019 Students]]</f>
        <v>11245.5</v>
      </c>
      <c r="BY84" s="31">
        <f t="shared" si="79"/>
        <v>130</v>
      </c>
      <c r="BZ84" s="58">
        <f t="shared" si="80"/>
        <v>41769</v>
      </c>
      <c r="CA84" s="58" t="s">
        <v>130</v>
      </c>
      <c r="CB84" s="21">
        <v>60</v>
      </c>
      <c r="CC84" s="21">
        <v>35</v>
      </c>
      <c r="CD84" s="21">
        <v>35</v>
      </c>
      <c r="CE84" s="21">
        <f t="shared" si="88"/>
        <v>130</v>
      </c>
      <c r="CF84" s="58">
        <v>379</v>
      </c>
      <c r="CG84" s="58">
        <f t="shared" si="81"/>
        <v>49270</v>
      </c>
      <c r="CH84" s="17" t="s">
        <v>194</v>
      </c>
      <c r="CI84" s="21">
        <f>IF(Table1[[#This Row],[Check 3 Status]]="Continued", Table1[[#This Row],[Check 3 Students Summer]], 0)</f>
        <v>60</v>
      </c>
      <c r="CJ84" s="58">
        <f>Table1[[#This Row],[Check 3 Per Student Savings]]*CI84</f>
        <v>22740</v>
      </c>
      <c r="CK84" s="21">
        <f>IF(Table1[[#This Row],[Check 3 Status]]="Continued", Table1[[#This Row],[Check 3 Students Fall]], 0)</f>
        <v>35</v>
      </c>
      <c r="CL84" s="58">
        <f>Table1[[#This Row],[Check 3 Per Student Savings]]*CK84</f>
        <v>13265</v>
      </c>
      <c r="CM84" s="21">
        <f>IF(Table1[[#This Row],[Check 3 Status]]="Continued", Table1[[#This Row],[Check 3 Students Spring]], 0)</f>
        <v>35</v>
      </c>
      <c r="CN84" s="58">
        <f>Table1[[#This Row],[Check 3 Per Student Savings]]*CM84</f>
        <v>13265</v>
      </c>
      <c r="CO84" s="21">
        <f t="shared" si="82"/>
        <v>130</v>
      </c>
      <c r="CP84" s="58">
        <f t="shared" si="83"/>
        <v>49270</v>
      </c>
      <c r="CQ84" s="58" t="s">
        <v>130</v>
      </c>
      <c r="CR84" s="21">
        <v>60</v>
      </c>
      <c r="CS84" s="21">
        <v>35</v>
      </c>
      <c r="CT84" s="21">
        <v>35</v>
      </c>
      <c r="CU84" s="21">
        <f t="shared" si="84"/>
        <v>130</v>
      </c>
      <c r="CV84" s="58">
        <v>379</v>
      </c>
      <c r="CW84" s="58">
        <f t="shared" si="85"/>
        <v>49270</v>
      </c>
      <c r="CX84" s="58"/>
      <c r="CY84" s="21">
        <f>IF(Table1[[#This Row],[Check 4 Status]]="Continued", Table1[[#This Row],[Check 4 Students Summer]], 0)</f>
        <v>60</v>
      </c>
      <c r="CZ84" s="58">
        <f>Table1[[#This Row],[Check 4 Per Student Savings]]*CY84</f>
        <v>22740</v>
      </c>
      <c r="DA84" s="21">
        <f>IF(Table1[[#This Row],[Check 4 Status]]="Continued", Table1[[#This Row],[Check 4 Students Fall]], 0)</f>
        <v>35</v>
      </c>
      <c r="DB84" s="58">
        <f>Table1[[#This Row],[Check 4 Per Student Savings]]*DA84</f>
        <v>13265</v>
      </c>
      <c r="DC84" s="236">
        <v>0</v>
      </c>
      <c r="DD84" s="237">
        <v>0</v>
      </c>
      <c r="DE84" s="58">
        <f t="shared" si="86"/>
        <v>95</v>
      </c>
      <c r="DF84" s="58">
        <f t="shared" si="87"/>
        <v>36005</v>
      </c>
      <c r="DG8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961.66666666666674</v>
      </c>
      <c r="DH8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356970.66666666669</v>
      </c>
      <c r="DI84" s="58">
        <f>Table1[[#This Row],[Grand Total Savings]]/Table1[[#This Row],[Total Award]]</f>
        <v>33.052839506172845</v>
      </c>
      <c r="DJ84" s="17"/>
      <c r="DK84" s="17"/>
      <c r="DL84" s="17"/>
      <c r="DM84" s="17"/>
      <c r="EC84" s="17"/>
      <c r="ED84" s="17"/>
      <c r="EE84" s="17"/>
      <c r="EF84" s="17"/>
    </row>
    <row r="85" spans="1:136" x14ac:dyDescent="0.25">
      <c r="A85" s="159">
        <v>160</v>
      </c>
      <c r="B85" s="17" t="s">
        <v>2011</v>
      </c>
      <c r="D85" s="97">
        <v>510598</v>
      </c>
      <c r="E85" s="158">
        <v>42488</v>
      </c>
      <c r="F85" s="158">
        <v>42515</v>
      </c>
      <c r="G85" s="157" t="s">
        <v>521</v>
      </c>
      <c r="H85" s="95" t="s">
        <v>9</v>
      </c>
      <c r="I85" s="226" t="s">
        <v>118</v>
      </c>
      <c r="J85" s="17" t="s">
        <v>201</v>
      </c>
      <c r="K85" s="107">
        <v>15200</v>
      </c>
      <c r="L85" s="107"/>
      <c r="M85" s="101" t="s">
        <v>568</v>
      </c>
      <c r="N85" s="101" t="s">
        <v>569</v>
      </c>
      <c r="O85" s="101" t="s">
        <v>570</v>
      </c>
      <c r="P85" s="101" t="s">
        <v>571</v>
      </c>
      <c r="Q85" s="101" t="s">
        <v>206</v>
      </c>
      <c r="R85" s="101" t="s">
        <v>572</v>
      </c>
      <c r="S85" s="101" t="s">
        <v>129</v>
      </c>
      <c r="T85" s="17" t="s">
        <v>129</v>
      </c>
      <c r="U85" s="160" t="s">
        <v>573</v>
      </c>
      <c r="V85" s="17" t="s">
        <v>150</v>
      </c>
      <c r="W85" s="17" t="s">
        <v>150</v>
      </c>
      <c r="X85" s="17" t="s">
        <v>150</v>
      </c>
      <c r="Y85" s="58">
        <v>40460</v>
      </c>
      <c r="Z85" s="17">
        <v>280</v>
      </c>
      <c r="AA85" s="58">
        <f t="shared" si="90"/>
        <v>144.5</v>
      </c>
      <c r="AB85" s="21">
        <f t="shared" si="71"/>
        <v>93.333333333333329</v>
      </c>
      <c r="AC85" s="21">
        <f t="shared" si="72"/>
        <v>93.333333333333329</v>
      </c>
      <c r="AD85" s="21">
        <f t="shared" si="73"/>
        <v>93.333333333333329</v>
      </c>
      <c r="AE85" s="17" t="s">
        <v>194</v>
      </c>
      <c r="AF85" s="17" t="s">
        <v>129</v>
      </c>
      <c r="AG85" s="17"/>
      <c r="AI85" s="164" t="s">
        <v>130</v>
      </c>
      <c r="AJ85" s="21">
        <v>0</v>
      </c>
      <c r="AK85" s="58">
        <v>0</v>
      </c>
      <c r="AL85" s="21">
        <v>0</v>
      </c>
      <c r="AM85" s="58">
        <f t="shared" si="74"/>
        <v>0</v>
      </c>
      <c r="AN85" s="21">
        <v>0</v>
      </c>
      <c r="AO85" s="58">
        <f t="shared" si="76"/>
        <v>0</v>
      </c>
      <c r="AP85" s="21">
        <v>0</v>
      </c>
      <c r="AQ85" s="58">
        <f t="shared" si="77"/>
        <v>0</v>
      </c>
      <c r="AR85" s="21">
        <f>Table1[[#This Row],[Students Per Spring]]</f>
        <v>93.333333333333329</v>
      </c>
      <c r="AS85" s="58">
        <f t="shared" si="78"/>
        <v>13486.666666666666</v>
      </c>
      <c r="AT85" s="21">
        <f>AN85+AP85+AR85</f>
        <v>93.333333333333329</v>
      </c>
      <c r="AU85" s="58">
        <f t="shared" si="89"/>
        <v>13486.666666666666</v>
      </c>
      <c r="AV85" s="21">
        <f>IF(Table1[[#This Row],[Sustainability Check 1 (2017-2018) Status]]="Continued", Table1[[#This Row],[Students Per Summer]], 0)</f>
        <v>93.333333333333329</v>
      </c>
      <c r="AW85" s="58">
        <f>$AA85*AV85</f>
        <v>13486.666666666666</v>
      </c>
      <c r="AX85" s="31">
        <f>IF(Table1[[#This Row],[Sustainability Check 1 (2017-2018) Status]]="Continued", Table1[[#This Row],[Students Per Fall]], 0)</f>
        <v>93.333333333333329</v>
      </c>
      <c r="AY85" s="58">
        <f t="shared" si="91"/>
        <v>13486.666666666666</v>
      </c>
      <c r="AZ85" s="31">
        <f>IF(Table1[[#This Row],[Sustainability Check 1 (2017-2018) Status]]="Continued", Table1[[#This Row],[Students Per Spring]], 0)</f>
        <v>93.333333333333329</v>
      </c>
      <c r="BA85" s="58">
        <f t="shared" si="92"/>
        <v>13486.666666666666</v>
      </c>
      <c r="BB85" s="31">
        <f t="shared" si="93"/>
        <v>280</v>
      </c>
      <c r="BC85" s="58">
        <f t="shared" si="94"/>
        <v>40460</v>
      </c>
      <c r="BD85" s="31">
        <f>IF(Table1[[#This Row],[Sustainability Check 1 (2017-2018) Status]]="Continued", Table1[[#This Row],[Students Per Summer]], 0)</f>
        <v>93.333333333333329</v>
      </c>
      <c r="BE85" s="58">
        <f t="shared" si="95"/>
        <v>13486.666666666666</v>
      </c>
      <c r="BF85" s="31">
        <f>IF(Table1[[#This Row],[Sustainability Check 1 (2017-2018) Status]]="Continued", Table1[[#This Row],[Students Per Fall]], 0)</f>
        <v>93.333333333333329</v>
      </c>
      <c r="BG85" s="58">
        <f t="shared" si="96"/>
        <v>13486.666666666666</v>
      </c>
      <c r="BH85" s="31">
        <f>IF(Table1[[#This Row],[Sustainability Check 1 (2017-2018) Status]]="Continued", Table1[[#This Row],[Students Per Spring]], 0)</f>
        <v>93.333333333333329</v>
      </c>
      <c r="BI85" s="58">
        <f t="shared" si="97"/>
        <v>13486.666666666666</v>
      </c>
      <c r="BJ85" s="31">
        <f t="shared" si="98"/>
        <v>280</v>
      </c>
      <c r="BK85" s="58">
        <f t="shared" si="99"/>
        <v>40460</v>
      </c>
      <c r="BL85" s="58" t="s">
        <v>130</v>
      </c>
      <c r="BM85" s="31">
        <v>0</v>
      </c>
      <c r="BN85" s="31">
        <v>160</v>
      </c>
      <c r="BO85" s="31">
        <v>160</v>
      </c>
      <c r="BP85" s="31">
        <f t="shared" si="75"/>
        <v>320</v>
      </c>
      <c r="BQ85" s="96">
        <v>141.47</v>
      </c>
      <c r="BR85" s="58">
        <f>Table1[[#This Row],[Check 2 Students Total]]*Table1[[#This Row],[Summer 2018 Price Check]]</f>
        <v>45270.400000000001</v>
      </c>
      <c r="BS85" s="31">
        <f>IF(Table1[[#This Row],[Sustainability Check 2 (2018-2019) Status]]="Continued", Table1[[#This Row],[Check 2 Students Summer]], 0)</f>
        <v>0</v>
      </c>
      <c r="BT85" s="58">
        <f>Table1[[#This Row],[Summer 2018 Price Check]]*BS85</f>
        <v>0</v>
      </c>
      <c r="BU85" s="31">
        <f>IF(Table1[[#This Row],[Sustainability Check 2 (2018-2019) Status]]="Continued", Table1[[#This Row],[Check 2 Students Fall]], 0)</f>
        <v>160</v>
      </c>
      <c r="BV85" s="58">
        <f>Table1[[#This Row],[Summer 2018 Price Check]]*BU85</f>
        <v>22635.200000000001</v>
      </c>
      <c r="BW85" s="21">
        <f>IF(Table1[[#This Row],[Sustainability Check 2 (2018-2019) Status]]="Continued", Table1[Check 2 Students Spring], 0)</f>
        <v>160</v>
      </c>
      <c r="BX85" s="58">
        <f>Table1[[#This Row],[Summer 2018 Price Check]]*Table1[[#This Row],[Spring 2019 Students]]</f>
        <v>22635.200000000001</v>
      </c>
      <c r="BY85" s="31">
        <f t="shared" si="79"/>
        <v>320</v>
      </c>
      <c r="BZ85" s="58">
        <f t="shared" si="80"/>
        <v>45270.400000000001</v>
      </c>
      <c r="CA85" s="58" t="s">
        <v>130</v>
      </c>
      <c r="CB85" s="21">
        <v>20</v>
      </c>
      <c r="CC85" s="21">
        <v>160</v>
      </c>
      <c r="CD85" s="21">
        <v>160</v>
      </c>
      <c r="CE85" s="21">
        <f t="shared" si="88"/>
        <v>340</v>
      </c>
      <c r="CF85" s="58">
        <v>177.99</v>
      </c>
      <c r="CG85" s="58">
        <f t="shared" si="81"/>
        <v>60516.600000000006</v>
      </c>
      <c r="CH85" s="17" t="s">
        <v>194</v>
      </c>
      <c r="CI85" s="21">
        <f>IF(Table1[[#This Row],[Check 3 Status]]="Continued", Table1[[#This Row],[Check 3 Students Summer]], 0)</f>
        <v>20</v>
      </c>
      <c r="CJ85" s="58">
        <f>Table1[[#This Row],[Check 3 Per Student Savings]]*CI85</f>
        <v>3559.8</v>
      </c>
      <c r="CK85" s="21">
        <f>IF(Table1[[#This Row],[Check 3 Status]]="Continued", Table1[[#This Row],[Check 3 Students Fall]], 0)</f>
        <v>160</v>
      </c>
      <c r="CL85" s="58">
        <f>Table1[[#This Row],[Check 3 Per Student Savings]]*CK85</f>
        <v>28478.400000000001</v>
      </c>
      <c r="CM85" s="21">
        <f>IF(Table1[[#This Row],[Check 3 Status]]="Continued", Table1[[#This Row],[Check 3 Students Spring]], 0)</f>
        <v>160</v>
      </c>
      <c r="CN85" s="58">
        <f>Table1[[#This Row],[Check 3 Per Student Savings]]*CM85</f>
        <v>28478.400000000001</v>
      </c>
      <c r="CO85" s="21">
        <f t="shared" si="82"/>
        <v>340</v>
      </c>
      <c r="CP85" s="58">
        <f t="shared" si="83"/>
        <v>60516.600000000006</v>
      </c>
      <c r="CQ85" s="58" t="s">
        <v>130</v>
      </c>
      <c r="CR85" s="21">
        <v>20</v>
      </c>
      <c r="CS85" s="21">
        <v>160</v>
      </c>
      <c r="CT85" s="21">
        <v>160</v>
      </c>
      <c r="CU85" s="21">
        <f t="shared" si="84"/>
        <v>340</v>
      </c>
      <c r="CV85" s="58">
        <v>177.99</v>
      </c>
      <c r="CW85" s="58">
        <f t="shared" si="85"/>
        <v>60516.600000000006</v>
      </c>
      <c r="CX85" s="58"/>
      <c r="CY85" s="21">
        <f>IF(Table1[[#This Row],[Check 4 Status]]="Continued", Table1[[#This Row],[Check 4 Students Summer]], 0)</f>
        <v>20</v>
      </c>
      <c r="CZ85" s="58">
        <f>Table1[[#This Row],[Check 4 Per Student Savings]]*CY85</f>
        <v>3559.8</v>
      </c>
      <c r="DA85" s="21">
        <f>IF(Table1[[#This Row],[Check 4 Status]]="Continued", Table1[[#This Row],[Check 4 Students Fall]], 0)</f>
        <v>160</v>
      </c>
      <c r="DB85" s="58">
        <f>Table1[[#This Row],[Check 4 Per Student Savings]]*DA85</f>
        <v>28478.400000000001</v>
      </c>
      <c r="DC85" s="21">
        <f>IF(Table1[[#This Row],[Check 4 Status]]="Continued", Table1[[#This Row],[Check 4 Students Spring]], 0)</f>
        <v>160</v>
      </c>
      <c r="DD85" s="58">
        <f>Table1[[#This Row],[Check 4 Per Student Savings]]*DC85</f>
        <v>28478.400000000001</v>
      </c>
      <c r="DE85" s="58">
        <f t="shared" si="86"/>
        <v>340</v>
      </c>
      <c r="DF85" s="58">
        <f t="shared" si="87"/>
        <v>60516.600000000006</v>
      </c>
      <c r="DG8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1653.3333333333333</v>
      </c>
      <c r="DH8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260710.26666666666</v>
      </c>
      <c r="DI85" s="58">
        <f>Table1[[#This Row],[Grand Total Savings]]/Table1[[#This Row],[Total Award]]</f>
        <v>17.151991228070177</v>
      </c>
      <c r="DJ85" s="17"/>
      <c r="DK85" s="17"/>
      <c r="DL85" s="17"/>
      <c r="DM85" s="17"/>
      <c r="EC85" s="17"/>
      <c r="ED85" s="17"/>
      <c r="EE85" s="17"/>
      <c r="EF85" s="17"/>
    </row>
    <row r="86" spans="1:136" x14ac:dyDescent="0.25">
      <c r="A86" s="159">
        <v>162</v>
      </c>
      <c r="B86" s="17" t="s">
        <v>2011</v>
      </c>
      <c r="D86" s="97">
        <v>510610</v>
      </c>
      <c r="E86" s="158">
        <v>42620</v>
      </c>
      <c r="F86" s="165">
        <v>43182</v>
      </c>
      <c r="G86" s="157" t="s">
        <v>521</v>
      </c>
      <c r="H86" s="95" t="s">
        <v>9</v>
      </c>
      <c r="I86" s="226" t="s">
        <v>118</v>
      </c>
      <c r="J86" s="17" t="s">
        <v>574</v>
      </c>
      <c r="K86" s="107">
        <v>10800</v>
      </c>
      <c r="L86" s="107"/>
      <c r="M86" s="101" t="s">
        <v>575</v>
      </c>
      <c r="N86" s="101" t="s">
        <v>576</v>
      </c>
      <c r="O86" s="101" t="s">
        <v>352</v>
      </c>
      <c r="P86" s="101" t="s">
        <v>353</v>
      </c>
      <c r="Q86" s="101" t="s">
        <v>304</v>
      </c>
      <c r="R86" s="101" t="s">
        <v>354</v>
      </c>
      <c r="S86" s="101" t="s">
        <v>129</v>
      </c>
      <c r="T86" s="17" t="s">
        <v>125</v>
      </c>
      <c r="U86" s="160" t="s">
        <v>355</v>
      </c>
      <c r="V86" s="17" t="s">
        <v>150</v>
      </c>
      <c r="W86" s="17" t="s">
        <v>150</v>
      </c>
      <c r="X86" s="17" t="s">
        <v>150</v>
      </c>
      <c r="Y86" s="58">
        <v>179710</v>
      </c>
      <c r="Z86" s="17">
        <v>648</v>
      </c>
      <c r="AA86" s="58">
        <f t="shared" si="90"/>
        <v>277.33024691358025</v>
      </c>
      <c r="AB86" s="21">
        <f t="shared" si="71"/>
        <v>216</v>
      </c>
      <c r="AC86" s="21">
        <f t="shared" si="72"/>
        <v>216</v>
      </c>
      <c r="AD86" s="21">
        <f t="shared" si="73"/>
        <v>216</v>
      </c>
      <c r="AE86" s="17" t="s">
        <v>194</v>
      </c>
      <c r="AF86" s="17" t="s">
        <v>129</v>
      </c>
      <c r="AG86" s="17"/>
      <c r="AI86" s="17" t="s">
        <v>130</v>
      </c>
      <c r="AJ86" s="21">
        <v>0</v>
      </c>
      <c r="AK86" s="58">
        <v>0</v>
      </c>
      <c r="AL86" s="21">
        <v>0</v>
      </c>
      <c r="AM86" s="58">
        <f t="shared" si="74"/>
        <v>0</v>
      </c>
      <c r="AN86" s="21">
        <v>0</v>
      </c>
      <c r="AO86" s="58">
        <f t="shared" si="76"/>
        <v>0</v>
      </c>
      <c r="AP86" s="21">
        <v>0</v>
      </c>
      <c r="AQ86" s="58">
        <f t="shared" si="77"/>
        <v>0</v>
      </c>
      <c r="AR86" s="21">
        <f>Table1[[#This Row],[Students Per Spring]]</f>
        <v>216</v>
      </c>
      <c r="AS86" s="58">
        <f t="shared" si="78"/>
        <v>59903.333333333336</v>
      </c>
      <c r="AT86" s="21">
        <f>AN86+AP86+AR86</f>
        <v>216</v>
      </c>
      <c r="AU86" s="58">
        <f t="shared" si="89"/>
        <v>59903.333333333336</v>
      </c>
      <c r="AV86" s="21">
        <f>IF(Table1[[#This Row],[Sustainability Check 1 (2017-2018) Status]]="Continued", Table1[[#This Row],[Students Per Summer]], 0)</f>
        <v>216</v>
      </c>
      <c r="AW86" s="58">
        <f>$AA86*AV86</f>
        <v>59903.333333333336</v>
      </c>
      <c r="AX86" s="31">
        <f>IF(Table1[[#This Row],[Sustainability Check 1 (2017-2018) Status]]="Continued", Table1[[#This Row],[Students Per Fall]], 0)</f>
        <v>216</v>
      </c>
      <c r="AY86" s="58">
        <f t="shared" si="91"/>
        <v>59903.333333333336</v>
      </c>
      <c r="AZ86" s="31">
        <f>IF(Table1[[#This Row],[Sustainability Check 1 (2017-2018) Status]]="Continued", Table1[[#This Row],[Students Per Spring]], 0)</f>
        <v>216</v>
      </c>
      <c r="BA86" s="58">
        <f t="shared" si="92"/>
        <v>59903.333333333336</v>
      </c>
      <c r="BB86" s="31">
        <f t="shared" si="93"/>
        <v>648</v>
      </c>
      <c r="BC86" s="58">
        <f t="shared" si="94"/>
        <v>179710</v>
      </c>
      <c r="BD86" s="31">
        <f>IF(Table1[[#This Row],[Sustainability Check 1 (2017-2018) Status]]="Continued", Table1[[#This Row],[Students Per Summer]], 0)</f>
        <v>216</v>
      </c>
      <c r="BE86" s="58">
        <f t="shared" si="95"/>
        <v>59903.333333333336</v>
      </c>
      <c r="BF86" s="31">
        <f>IF(Table1[[#This Row],[Sustainability Check 1 (2017-2018) Status]]="Continued", Table1[[#This Row],[Students Per Fall]], 0)</f>
        <v>216</v>
      </c>
      <c r="BG86" s="58">
        <f t="shared" si="96"/>
        <v>59903.333333333336</v>
      </c>
      <c r="BH86" s="31">
        <f>IF(Table1[[#This Row],[Sustainability Check 1 (2017-2018) Status]]="Continued", Table1[[#This Row],[Students Per Spring]], 0)</f>
        <v>216</v>
      </c>
      <c r="BI86" s="58">
        <f t="shared" si="97"/>
        <v>59903.333333333336</v>
      </c>
      <c r="BJ86" s="31">
        <f t="shared" si="98"/>
        <v>648</v>
      </c>
      <c r="BK86" s="58">
        <f t="shared" si="99"/>
        <v>179710</v>
      </c>
      <c r="BL86" s="58" t="s">
        <v>130</v>
      </c>
      <c r="BM86" s="31">
        <v>32</v>
      </c>
      <c r="BN86" s="31">
        <v>265</v>
      </c>
      <c r="BO86" s="31">
        <v>228</v>
      </c>
      <c r="BP86" s="31">
        <f t="shared" si="75"/>
        <v>525</v>
      </c>
      <c r="BQ86" s="96">
        <v>203.6</v>
      </c>
      <c r="BR86" s="58">
        <f>Table1[[#This Row],[Check 2 Students Total]]*Table1[[#This Row],[Summer 2018 Price Check]]</f>
        <v>106890</v>
      </c>
      <c r="BS86" s="31">
        <f>IF(Table1[[#This Row],[Sustainability Check 2 (2018-2019) Status]]="Continued", Table1[[#This Row],[Check 2 Students Summer]], 0)</f>
        <v>32</v>
      </c>
      <c r="BT86" s="58">
        <f>Table1[[#This Row],[Summer 2018 Price Check]]*BS86</f>
        <v>6515.2</v>
      </c>
      <c r="BU86" s="31">
        <f>IF(Table1[[#This Row],[Sustainability Check 2 (2018-2019) Status]]="Continued", Table1[[#This Row],[Check 2 Students Fall]], 0)</f>
        <v>265</v>
      </c>
      <c r="BV86" s="58">
        <f>Table1[[#This Row],[Summer 2018 Price Check]]*BU86</f>
        <v>53954</v>
      </c>
      <c r="BW86" s="21">
        <f>IF(Table1[[#This Row],[Sustainability Check 2 (2018-2019) Status]]="Continued", Table1[Check 2 Students Spring], 0)</f>
        <v>228</v>
      </c>
      <c r="BX86" s="58">
        <f>Table1[[#This Row],[Summer 2018 Price Check]]*Table1[[#This Row],[Spring 2019 Students]]</f>
        <v>46420.799999999996</v>
      </c>
      <c r="BY86" s="31">
        <f t="shared" si="79"/>
        <v>525</v>
      </c>
      <c r="BZ86" s="58">
        <f t="shared" si="80"/>
        <v>106890</v>
      </c>
      <c r="CA86" s="58" t="s">
        <v>130</v>
      </c>
      <c r="CB86" s="21">
        <v>29</v>
      </c>
      <c r="CC86" s="21">
        <v>356</v>
      </c>
      <c r="CD86" s="21">
        <v>350</v>
      </c>
      <c r="CE86" s="21">
        <f t="shared" si="88"/>
        <v>735</v>
      </c>
      <c r="CF86" s="58">
        <v>277.33</v>
      </c>
      <c r="CG86" s="58">
        <f t="shared" si="81"/>
        <v>203837.55</v>
      </c>
      <c r="CH86" s="17" t="s">
        <v>194</v>
      </c>
      <c r="CI86" s="21">
        <f>IF(Table1[[#This Row],[Check 3 Status]]="Continued", Table1[[#This Row],[Check 3 Students Summer]], 0)</f>
        <v>29</v>
      </c>
      <c r="CJ86" s="58">
        <f>Table1[[#This Row],[Check 3 Per Student Savings]]*CI86</f>
        <v>8042.57</v>
      </c>
      <c r="CK86" s="21">
        <f>IF(Table1[[#This Row],[Check 3 Status]]="Continued", Table1[[#This Row],[Check 3 Students Fall]], 0)</f>
        <v>356</v>
      </c>
      <c r="CL86" s="58">
        <f>Table1[[#This Row],[Check 3 Per Student Savings]]*CK86</f>
        <v>98729.48</v>
      </c>
      <c r="CM86" s="21">
        <f>IF(Table1[[#This Row],[Check 3 Status]]="Continued", Table1[[#This Row],[Check 3 Students Spring]], 0)</f>
        <v>350</v>
      </c>
      <c r="CN86" s="58">
        <f>Table1[[#This Row],[Check 3 Per Student Savings]]*CM86</f>
        <v>97065.5</v>
      </c>
      <c r="CO86" s="21">
        <f t="shared" si="82"/>
        <v>735</v>
      </c>
      <c r="CP86" s="58">
        <f t="shared" si="83"/>
        <v>203837.55</v>
      </c>
      <c r="CQ86" s="58" t="s">
        <v>130</v>
      </c>
      <c r="CR86" s="21">
        <v>29</v>
      </c>
      <c r="CS86" s="21">
        <v>356</v>
      </c>
      <c r="CT86" s="21">
        <v>350</v>
      </c>
      <c r="CU86" s="21">
        <f t="shared" si="84"/>
        <v>735</v>
      </c>
      <c r="CV86" s="58">
        <v>277.33</v>
      </c>
      <c r="CW86" s="58">
        <f t="shared" si="85"/>
        <v>203837.55</v>
      </c>
      <c r="CX86" s="58"/>
      <c r="CY86" s="21">
        <f>IF(Table1[[#This Row],[Check 4 Status]]="Continued", Table1[[#This Row],[Check 4 Students Summer]], 0)</f>
        <v>29</v>
      </c>
      <c r="CZ86" s="58">
        <f>Table1[[#This Row],[Check 4 Per Student Savings]]*CY86</f>
        <v>8042.57</v>
      </c>
      <c r="DA86" s="21">
        <f>IF(Table1[[#This Row],[Check 4 Status]]="Continued", Table1[[#This Row],[Check 4 Students Fall]], 0)</f>
        <v>356</v>
      </c>
      <c r="DB86" s="58">
        <f>Table1[[#This Row],[Check 4 Per Student Savings]]*DA86</f>
        <v>98729.48</v>
      </c>
      <c r="DC86" s="21">
        <f>IF(Table1[[#This Row],[Check 4 Status]]="Continued", Table1[[#This Row],[Check 4 Students Spring]], 0)</f>
        <v>350</v>
      </c>
      <c r="DD86" s="58">
        <f>Table1[[#This Row],[Check 4 Per Student Savings]]*DC86</f>
        <v>97065.5</v>
      </c>
      <c r="DE86" s="58">
        <f t="shared" si="86"/>
        <v>735</v>
      </c>
      <c r="DF86" s="58">
        <f t="shared" si="87"/>
        <v>203837.55</v>
      </c>
      <c r="DG8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3507</v>
      </c>
      <c r="DH8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933888.43333333335</v>
      </c>
      <c r="DI86" s="58">
        <f>Table1[[#This Row],[Grand Total Savings]]/Table1[[#This Row],[Total Award]]</f>
        <v>86.471151234567898</v>
      </c>
      <c r="DJ86" s="17"/>
      <c r="DK86" s="17"/>
      <c r="DL86" s="17"/>
      <c r="DM86" s="17"/>
      <c r="EC86" s="17"/>
      <c r="ED86" s="17"/>
      <c r="EE86" s="17"/>
      <c r="EF86" s="17"/>
    </row>
    <row r="87" spans="1:136" x14ac:dyDescent="0.25">
      <c r="A87" s="159">
        <v>165</v>
      </c>
      <c r="B87" s="17" t="s">
        <v>2011</v>
      </c>
      <c r="D87" s="97">
        <v>510603</v>
      </c>
      <c r="E87" s="158">
        <v>42412</v>
      </c>
      <c r="F87" s="158">
        <v>43099</v>
      </c>
      <c r="G87" s="159" t="s">
        <v>521</v>
      </c>
      <c r="H87" s="95" t="s">
        <v>9</v>
      </c>
      <c r="I87" s="226" t="s">
        <v>118</v>
      </c>
      <c r="J87" s="17" t="s">
        <v>179</v>
      </c>
      <c r="K87" s="107">
        <v>24800</v>
      </c>
      <c r="L87" s="107"/>
      <c r="M87" s="101" t="s">
        <v>440</v>
      </c>
      <c r="N87" s="101" t="s">
        <v>441</v>
      </c>
      <c r="O87" s="101" t="s">
        <v>577</v>
      </c>
      <c r="P87" s="101" t="s">
        <v>578</v>
      </c>
      <c r="Q87" s="101" t="s">
        <v>192</v>
      </c>
      <c r="R87" s="101" t="s">
        <v>577</v>
      </c>
      <c r="S87" s="101" t="s">
        <v>129</v>
      </c>
      <c r="T87" s="17" t="s">
        <v>125</v>
      </c>
      <c r="U87" s="160" t="s">
        <v>348</v>
      </c>
      <c r="V87" s="17" t="s">
        <v>140</v>
      </c>
      <c r="W87" s="17" t="s">
        <v>140</v>
      </c>
      <c r="X87" s="17" t="s">
        <v>140</v>
      </c>
      <c r="Y87" s="58">
        <v>33000</v>
      </c>
      <c r="Z87" s="17">
        <v>300</v>
      </c>
      <c r="AA87" s="58">
        <f t="shared" si="90"/>
        <v>110</v>
      </c>
      <c r="AB87" s="21">
        <f t="shared" si="71"/>
        <v>100</v>
      </c>
      <c r="AC87" s="21">
        <f t="shared" si="72"/>
        <v>100</v>
      </c>
      <c r="AD87" s="21">
        <f t="shared" si="73"/>
        <v>100</v>
      </c>
      <c r="AE87" s="17" t="s">
        <v>537</v>
      </c>
      <c r="AF87" s="17" t="s">
        <v>129</v>
      </c>
      <c r="AG87" s="17"/>
      <c r="AI87" s="166" t="s">
        <v>142</v>
      </c>
      <c r="AJ87" s="21">
        <v>0</v>
      </c>
      <c r="AK87" s="58">
        <v>0</v>
      </c>
      <c r="AL87" s="21">
        <v>0</v>
      </c>
      <c r="AM87" s="58">
        <f t="shared" si="74"/>
        <v>0</v>
      </c>
      <c r="AN87" s="21">
        <v>0</v>
      </c>
      <c r="AO87" s="58">
        <f t="shared" si="76"/>
        <v>0</v>
      </c>
      <c r="AP87" s="21">
        <v>0</v>
      </c>
      <c r="AQ87" s="58">
        <f t="shared" si="77"/>
        <v>0</v>
      </c>
      <c r="AR87" s="21">
        <v>0</v>
      </c>
      <c r="AS87" s="58">
        <f t="shared" si="78"/>
        <v>0</v>
      </c>
      <c r="AT87" s="21">
        <v>0</v>
      </c>
      <c r="AU87" s="58">
        <f t="shared" si="89"/>
        <v>0</v>
      </c>
      <c r="AV87" s="21">
        <v>0</v>
      </c>
      <c r="AW87" s="58">
        <v>0</v>
      </c>
      <c r="AX87" s="31">
        <f>Table1[[#This Row],[Students Per Fall]]</f>
        <v>100</v>
      </c>
      <c r="AY87" s="58">
        <f t="shared" si="91"/>
        <v>11000</v>
      </c>
      <c r="AZ87" s="31">
        <f>IF(Table1[[#This Row],[Sustainability Check 1 (2017-2018) Status]]="Continued", Table1[[#This Row],[Students Per Spring]], 0)</f>
        <v>0</v>
      </c>
      <c r="BA87" s="58">
        <f t="shared" si="92"/>
        <v>0</v>
      </c>
      <c r="BB87" s="31">
        <f t="shared" si="93"/>
        <v>100</v>
      </c>
      <c r="BC87" s="58">
        <f t="shared" si="94"/>
        <v>11000</v>
      </c>
      <c r="BD87" s="31">
        <f>IF(Table1[[#This Row],[Sustainability Check 1 (2017-2018) Status]]="Continued", Table1[[#This Row],[Students Per Summer]], 0)</f>
        <v>0</v>
      </c>
      <c r="BE87" s="58">
        <f t="shared" si="95"/>
        <v>0</v>
      </c>
      <c r="BF87" s="31">
        <f>IF(Table1[[#This Row],[Sustainability Check 1 (2017-2018) Status]]="Continued", Table1[[#This Row],[Students Per Fall]], 0)</f>
        <v>0</v>
      </c>
      <c r="BG87" s="58">
        <f t="shared" si="96"/>
        <v>0</v>
      </c>
      <c r="BH87" s="31">
        <f>IF(Table1[[#This Row],[Sustainability Check 1 (2017-2018) Status]]="Continued", Table1[[#This Row],[Students Per Spring]], 0)</f>
        <v>0</v>
      </c>
      <c r="BI87" s="58">
        <f t="shared" si="97"/>
        <v>0</v>
      </c>
      <c r="BJ87" s="31">
        <f t="shared" si="98"/>
        <v>0</v>
      </c>
      <c r="BK87" s="58">
        <f t="shared" si="99"/>
        <v>0</v>
      </c>
      <c r="BL87" s="58" t="s">
        <v>142</v>
      </c>
      <c r="BM87" s="31">
        <v>0</v>
      </c>
      <c r="BN87" s="31">
        <v>0</v>
      </c>
      <c r="BO87" s="31">
        <v>0</v>
      </c>
      <c r="BP87" s="31">
        <f t="shared" si="75"/>
        <v>0</v>
      </c>
      <c r="BQ87" s="96">
        <v>208.98</v>
      </c>
      <c r="BR87" s="58">
        <f>Table1[[#This Row],[Check 2 Students Total]]*Table1[[#This Row],[Summer 2018 Price Check]]</f>
        <v>0</v>
      </c>
      <c r="BS87" s="31">
        <f>IF(Table1[[#This Row],[Sustainability Check 2 (2018-2019) Status]]="Continued", Table1[[#This Row],[Check 2 Students Summer]], 0)</f>
        <v>0</v>
      </c>
      <c r="BT87" s="58">
        <f>Table1[[#This Row],[Summer 2018 Price Check]]*BS87</f>
        <v>0</v>
      </c>
      <c r="BU87" s="31">
        <f>IF(Table1[[#This Row],[Sustainability Check 2 (2018-2019) Status]]="Continued", Table1[[#This Row],[Check 2 Students Fall]], 0)</f>
        <v>0</v>
      </c>
      <c r="BV87" s="58">
        <f>Table1[[#This Row],[Summer 2018 Price Check]]*BU87</f>
        <v>0</v>
      </c>
      <c r="BW87" s="21">
        <f>IF(Table1[[#This Row],[Sustainability Check 2 (2018-2019) Status]]="Continued", Table1[Check 2 Students Spring], 0)</f>
        <v>0</v>
      </c>
      <c r="BX87" s="58">
        <f>Table1[[#This Row],[Summer 2018 Price Check]]*Table1[[#This Row],[Spring 2019 Students]]</f>
        <v>0</v>
      </c>
      <c r="BY87" s="31">
        <f t="shared" si="79"/>
        <v>0</v>
      </c>
      <c r="BZ87" s="58">
        <f t="shared" si="80"/>
        <v>0</v>
      </c>
      <c r="CA87" s="58" t="s">
        <v>142</v>
      </c>
      <c r="CB87" s="21">
        <v>0</v>
      </c>
      <c r="CC87" s="21">
        <v>0</v>
      </c>
      <c r="CD87" s="21">
        <v>0</v>
      </c>
      <c r="CE87" s="21">
        <f t="shared" si="88"/>
        <v>0</v>
      </c>
      <c r="CF87" s="58">
        <v>0</v>
      </c>
      <c r="CG87" s="58">
        <f t="shared" si="81"/>
        <v>0</v>
      </c>
      <c r="CH87" s="17" t="s">
        <v>537</v>
      </c>
      <c r="CI87" s="21">
        <f>IF(Table1[[#This Row],[Check 3 Status]]="Continued", Table1[[#This Row],[Check 3 Students Summer]], 0)</f>
        <v>0</v>
      </c>
      <c r="CJ87" s="58">
        <f>Table1[[#This Row],[Check 3 Per Student Savings]]*CI87</f>
        <v>0</v>
      </c>
      <c r="CK87" s="21">
        <f>IF(Table1[[#This Row],[Check 3 Status]]="Continued", Table1[[#This Row],[Check 3 Students Fall]], 0)</f>
        <v>0</v>
      </c>
      <c r="CL87" s="58">
        <f>Table1[[#This Row],[Check 3 Per Student Savings]]*CK87</f>
        <v>0</v>
      </c>
      <c r="CM87" s="21">
        <f>IF(Table1[[#This Row],[Check 3 Status]]="Continued", Table1[[#This Row],[Check 3 Students Spring]], 0)</f>
        <v>0</v>
      </c>
      <c r="CN87" s="58">
        <f>Table1[[#This Row],[Check 3 Per Student Savings]]*CM87</f>
        <v>0</v>
      </c>
      <c r="CO87" s="21">
        <f t="shared" si="82"/>
        <v>0</v>
      </c>
      <c r="CP87" s="58">
        <f t="shared" si="83"/>
        <v>0</v>
      </c>
      <c r="CQ87" s="58" t="s">
        <v>142</v>
      </c>
      <c r="CR87" s="21">
        <v>0</v>
      </c>
      <c r="CS87" s="21">
        <v>0</v>
      </c>
      <c r="CT87" s="21">
        <v>0</v>
      </c>
      <c r="CU87" s="21">
        <f t="shared" si="84"/>
        <v>0</v>
      </c>
      <c r="CV87" s="58">
        <v>0</v>
      </c>
      <c r="CW87" s="58">
        <f t="shared" si="85"/>
        <v>0</v>
      </c>
      <c r="CX87" s="58"/>
      <c r="CY87" s="21">
        <f>IF(Table1[[#This Row],[Check 4 Status]]="Continued", Table1[[#This Row],[Check 4 Students Summer]], 0)</f>
        <v>0</v>
      </c>
      <c r="CZ87" s="58">
        <f>Table1[[#This Row],[Check 4 Per Student Savings]]*CY87</f>
        <v>0</v>
      </c>
      <c r="DA87" s="21">
        <f>IF(Table1[[#This Row],[Check 4 Status]]="Continued", Table1[[#This Row],[Check 4 Students Fall]], 0)</f>
        <v>0</v>
      </c>
      <c r="DB87" s="58">
        <f>Table1[[#This Row],[Check 4 Per Student Savings]]*DA87</f>
        <v>0</v>
      </c>
      <c r="DC87" s="21">
        <f>IF(Table1[[#This Row],[Check 4 Status]]="Continued", Table1[[#This Row],[Check 4 Students Spring]], 0)</f>
        <v>0</v>
      </c>
      <c r="DD87" s="58">
        <f>Table1[[#This Row],[Check 4 Per Student Savings]]*DC87</f>
        <v>0</v>
      </c>
      <c r="DE87" s="58">
        <f t="shared" si="86"/>
        <v>0</v>
      </c>
      <c r="DF87" s="58">
        <f t="shared" si="87"/>
        <v>0</v>
      </c>
      <c r="DG8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100</v>
      </c>
      <c r="DH8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11000</v>
      </c>
      <c r="DI87" s="58">
        <f>Table1[[#This Row],[Grand Total Savings]]/Table1[[#This Row],[Total Award]]</f>
        <v>0.44354838709677419</v>
      </c>
      <c r="DJ87" s="17"/>
      <c r="DK87" s="17"/>
      <c r="DL87" s="17"/>
      <c r="DM87" s="17"/>
      <c r="EC87" s="17"/>
      <c r="ED87" s="17"/>
      <c r="EE87" s="17"/>
      <c r="EF87" s="17"/>
    </row>
    <row r="88" spans="1:136" x14ac:dyDescent="0.25">
      <c r="A88" s="159">
        <v>167</v>
      </c>
      <c r="B88" s="17" t="s">
        <v>2011</v>
      </c>
      <c r="D88" s="97">
        <v>510593</v>
      </c>
      <c r="E88" s="158">
        <v>42439</v>
      </c>
      <c r="F88" s="158">
        <v>42886</v>
      </c>
      <c r="G88" s="159" t="s">
        <v>521</v>
      </c>
      <c r="H88" s="95" t="s">
        <v>9</v>
      </c>
      <c r="I88" s="226" t="s">
        <v>118</v>
      </c>
      <c r="J88" s="17" t="s">
        <v>201</v>
      </c>
      <c r="K88" s="107">
        <v>30000</v>
      </c>
      <c r="L88" s="107"/>
      <c r="M88" s="101" t="s">
        <v>579</v>
      </c>
      <c r="N88" s="101" t="s">
        <v>580</v>
      </c>
      <c r="O88" s="101" t="s">
        <v>534</v>
      </c>
      <c r="P88" s="101" t="s">
        <v>581</v>
      </c>
      <c r="Q88" s="101" t="s">
        <v>488</v>
      </c>
      <c r="R88" s="101" t="s">
        <v>534</v>
      </c>
      <c r="S88" s="160" t="s">
        <v>36</v>
      </c>
      <c r="T88" s="17" t="s">
        <v>129</v>
      </c>
      <c r="U88" s="160" t="s">
        <v>582</v>
      </c>
      <c r="V88" s="17" t="s">
        <v>150</v>
      </c>
      <c r="W88" s="17" t="s">
        <v>150</v>
      </c>
      <c r="X88" s="17" t="s">
        <v>150</v>
      </c>
      <c r="Y88" s="58">
        <v>64862</v>
      </c>
      <c r="Z88" s="17">
        <v>315</v>
      </c>
      <c r="AA88" s="58">
        <f t="shared" si="90"/>
        <v>205.9111111111111</v>
      </c>
      <c r="AB88" s="21">
        <f t="shared" ref="AB88:AB119" si="100">Z88/3</f>
        <v>105</v>
      </c>
      <c r="AC88" s="21">
        <f t="shared" ref="AC88:AC119" si="101">Z88/3</f>
        <v>105</v>
      </c>
      <c r="AD88" s="21">
        <f t="shared" ref="AD88:AD119" si="102">Z88/3</f>
        <v>105</v>
      </c>
      <c r="AE88" s="17" t="s">
        <v>468</v>
      </c>
      <c r="AF88" s="17" t="s">
        <v>129</v>
      </c>
      <c r="AG88" s="17"/>
      <c r="AI88" s="17" t="s">
        <v>130</v>
      </c>
      <c r="AJ88" s="21">
        <v>0</v>
      </c>
      <c r="AK88" s="58">
        <v>0</v>
      </c>
      <c r="AL88" s="21">
        <v>0</v>
      </c>
      <c r="AM88" s="58">
        <f t="shared" si="74"/>
        <v>0</v>
      </c>
      <c r="AN88" s="21">
        <v>0</v>
      </c>
      <c r="AO88" s="58">
        <f t="shared" si="76"/>
        <v>0</v>
      </c>
      <c r="AP88" s="21">
        <v>0</v>
      </c>
      <c r="AQ88" s="58">
        <f t="shared" si="77"/>
        <v>0</v>
      </c>
      <c r="AR88" s="21">
        <v>0</v>
      </c>
      <c r="AS88" s="58">
        <f t="shared" si="78"/>
        <v>0</v>
      </c>
      <c r="AT88" s="21">
        <v>0</v>
      </c>
      <c r="AU88" s="58">
        <f t="shared" si="89"/>
        <v>0</v>
      </c>
      <c r="AV88" s="21">
        <f>IF(Table1[[#This Row],[Sustainability Check 1 (2017-2018) Status]]="Continued", Table1[[#This Row],[Students Per Summer]], 0)</f>
        <v>105</v>
      </c>
      <c r="AW88" s="58">
        <f>$AA88*AV88</f>
        <v>21620.666666666664</v>
      </c>
      <c r="AX88" s="31">
        <f>IF(Table1[[#This Row],[Sustainability Check 1 (2017-2018) Status]]="Continued", Table1[[#This Row],[Students Per Fall]], 0)</f>
        <v>105</v>
      </c>
      <c r="AY88" s="58">
        <f t="shared" si="91"/>
        <v>21620.666666666664</v>
      </c>
      <c r="AZ88" s="31">
        <f>IF(Table1[[#This Row],[Sustainability Check 1 (2017-2018) Status]]="Continued", Table1[[#This Row],[Students Per Spring]], 0)</f>
        <v>105</v>
      </c>
      <c r="BA88" s="58">
        <f t="shared" si="92"/>
        <v>21620.666666666664</v>
      </c>
      <c r="BB88" s="31">
        <f t="shared" si="93"/>
        <v>315</v>
      </c>
      <c r="BC88" s="58">
        <f t="shared" si="94"/>
        <v>64861.999999999993</v>
      </c>
      <c r="BD88" s="31">
        <f>IF(Table1[[#This Row],[Sustainability Check 1 (2017-2018) Status]]="Continued", Table1[[#This Row],[Students Per Summer]], 0)</f>
        <v>105</v>
      </c>
      <c r="BE88" s="58">
        <f t="shared" si="95"/>
        <v>21620.666666666664</v>
      </c>
      <c r="BF88" s="31">
        <f>IF(Table1[[#This Row],[Sustainability Check 1 (2017-2018) Status]]="Continued", Table1[[#This Row],[Students Per Fall]], 0)</f>
        <v>105</v>
      </c>
      <c r="BG88" s="58">
        <f t="shared" si="96"/>
        <v>21620.666666666664</v>
      </c>
      <c r="BH88" s="31">
        <f>IF(Table1[[#This Row],[Sustainability Check 1 (2017-2018) Status]]="Continued", Table1[[#This Row],[Students Per Spring]], 0)</f>
        <v>105</v>
      </c>
      <c r="BI88" s="58">
        <f t="shared" si="97"/>
        <v>21620.666666666664</v>
      </c>
      <c r="BJ88" s="31">
        <f t="shared" si="98"/>
        <v>315</v>
      </c>
      <c r="BK88" s="58">
        <f t="shared" si="99"/>
        <v>64861.999999999993</v>
      </c>
      <c r="BL88" s="58" t="s">
        <v>130</v>
      </c>
      <c r="BM88" s="31">
        <v>38</v>
      </c>
      <c r="BN88" s="31">
        <v>75</v>
      </c>
      <c r="BO88" s="31">
        <v>75</v>
      </c>
      <c r="BP88" s="31">
        <f t="shared" si="75"/>
        <v>188</v>
      </c>
      <c r="BQ88" s="96">
        <v>171.25</v>
      </c>
      <c r="BR88" s="58">
        <f>Table1[[#This Row],[Check 2 Students Total]]*Table1[[#This Row],[Summer 2018 Price Check]]</f>
        <v>32195</v>
      </c>
      <c r="BS88" s="31">
        <f>IF(Table1[[#This Row],[Sustainability Check 2 (2018-2019) Status]]="Continued", Table1[[#This Row],[Check 2 Students Summer]], 0)</f>
        <v>38</v>
      </c>
      <c r="BT88" s="58">
        <f>Table1[[#This Row],[Summer 2018 Price Check]]*BS88</f>
        <v>6507.5</v>
      </c>
      <c r="BU88" s="31">
        <f>IF(Table1[[#This Row],[Sustainability Check 2 (2018-2019) Status]]="Continued", Table1[[#This Row],[Check 2 Students Fall]], 0)</f>
        <v>75</v>
      </c>
      <c r="BV88" s="58">
        <f>Table1[[#This Row],[Summer 2018 Price Check]]*BU88</f>
        <v>12843.75</v>
      </c>
      <c r="BW88" s="21">
        <f>IF(Table1[[#This Row],[Sustainability Check 2 (2018-2019) Status]]="Continued", Table1[Check 2 Students Spring], 0)</f>
        <v>75</v>
      </c>
      <c r="BX88" s="58">
        <f>Table1[[#This Row],[Summer 2018 Price Check]]*Table1[[#This Row],[Spring 2019 Students]]</f>
        <v>12843.75</v>
      </c>
      <c r="BY88" s="31">
        <f t="shared" si="79"/>
        <v>188</v>
      </c>
      <c r="BZ88" s="58">
        <f t="shared" si="80"/>
        <v>32195</v>
      </c>
      <c r="CA88" s="58" t="s">
        <v>130</v>
      </c>
      <c r="CB88" s="21">
        <v>38</v>
      </c>
      <c r="CC88" s="21">
        <v>75</v>
      </c>
      <c r="CD88" s="21">
        <v>75</v>
      </c>
      <c r="CE88" s="21">
        <f t="shared" si="88"/>
        <v>188</v>
      </c>
      <c r="CF88" s="58">
        <v>213.5</v>
      </c>
      <c r="CG88" s="58">
        <f t="shared" si="81"/>
        <v>40138</v>
      </c>
      <c r="CH88" s="17" t="s">
        <v>468</v>
      </c>
      <c r="CI88" s="21">
        <f>IF(Table1[[#This Row],[Check 3 Status]]="Continued", Table1[[#This Row],[Check 3 Students Summer]], 0)</f>
        <v>38</v>
      </c>
      <c r="CJ88" s="58">
        <f>Table1[[#This Row],[Check 3 Per Student Savings]]*CI88</f>
        <v>8113</v>
      </c>
      <c r="CK88" s="21">
        <f>IF(Table1[[#This Row],[Check 3 Status]]="Continued", Table1[[#This Row],[Check 3 Students Fall]], 0)</f>
        <v>75</v>
      </c>
      <c r="CL88" s="58">
        <f>Table1[[#This Row],[Check 3 Per Student Savings]]*CK88</f>
        <v>16012.5</v>
      </c>
      <c r="CM88" s="21">
        <f>IF(Table1[[#This Row],[Check 3 Status]]="Continued", Table1[[#This Row],[Check 3 Students Spring]], 0)</f>
        <v>75</v>
      </c>
      <c r="CN88" s="58">
        <f>Table1[[#This Row],[Check 3 Per Student Savings]]*CM88</f>
        <v>16012.5</v>
      </c>
      <c r="CO88" s="21">
        <f t="shared" si="82"/>
        <v>188</v>
      </c>
      <c r="CP88" s="58">
        <f t="shared" si="83"/>
        <v>40138</v>
      </c>
      <c r="CQ88" s="58" t="s">
        <v>130</v>
      </c>
      <c r="CR88" s="21">
        <v>38</v>
      </c>
      <c r="CS88" s="21">
        <v>75</v>
      </c>
      <c r="CT88" s="21">
        <v>75</v>
      </c>
      <c r="CU88" s="21">
        <f t="shared" si="84"/>
        <v>188</v>
      </c>
      <c r="CV88" s="58">
        <v>213.5</v>
      </c>
      <c r="CW88" s="58">
        <f t="shared" si="85"/>
        <v>40138</v>
      </c>
      <c r="CX88" s="58"/>
      <c r="CY88" s="21">
        <f>IF(Table1[[#This Row],[Check 4 Status]]="Continued", Table1[[#This Row],[Check 4 Students Summer]], 0)</f>
        <v>38</v>
      </c>
      <c r="CZ88" s="58">
        <f>Table1[[#This Row],[Check 4 Per Student Savings]]*CY88</f>
        <v>8113</v>
      </c>
      <c r="DA88" s="21">
        <f>IF(Table1[[#This Row],[Check 4 Status]]="Continued", Table1[[#This Row],[Check 4 Students Fall]], 0)</f>
        <v>75</v>
      </c>
      <c r="DB88" s="58">
        <f>Table1[[#This Row],[Check 4 Per Student Savings]]*DA88</f>
        <v>16012.5</v>
      </c>
      <c r="DC88" s="21">
        <f>IF(Table1[[#This Row],[Check 4 Status]]="Continued", Table1[[#This Row],[Check 4 Students Spring]], 0)</f>
        <v>75</v>
      </c>
      <c r="DD88" s="58">
        <f>Table1[[#This Row],[Check 4 Per Student Savings]]*DC88</f>
        <v>16012.5</v>
      </c>
      <c r="DE88" s="58">
        <f t="shared" si="86"/>
        <v>188</v>
      </c>
      <c r="DF88" s="58">
        <f t="shared" si="87"/>
        <v>40138</v>
      </c>
      <c r="DG8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1194</v>
      </c>
      <c r="DH8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242195</v>
      </c>
      <c r="DI88" s="58">
        <f>Table1[[#This Row],[Grand Total Savings]]/Table1[[#This Row],[Total Award]]</f>
        <v>8.0731666666666673</v>
      </c>
      <c r="DJ88" s="17"/>
      <c r="DK88" s="17"/>
      <c r="DL88" s="17"/>
      <c r="DM88" s="17"/>
      <c r="EC88" s="17"/>
      <c r="ED88" s="17"/>
      <c r="EE88" s="17"/>
      <c r="EF88" s="17"/>
    </row>
    <row r="89" spans="1:136" x14ac:dyDescent="0.25">
      <c r="A89" s="159">
        <v>168</v>
      </c>
      <c r="B89" s="17" t="s">
        <v>2011</v>
      </c>
      <c r="D89" s="97">
        <v>510602</v>
      </c>
      <c r="E89" s="158">
        <v>42409</v>
      </c>
      <c r="F89" s="158">
        <v>42734</v>
      </c>
      <c r="G89" s="159" t="s">
        <v>521</v>
      </c>
      <c r="H89" s="95" t="s">
        <v>9</v>
      </c>
      <c r="I89" s="226" t="s">
        <v>118</v>
      </c>
      <c r="J89" s="17" t="s">
        <v>166</v>
      </c>
      <c r="K89" s="107">
        <v>10800</v>
      </c>
      <c r="L89" s="107"/>
      <c r="M89" s="101" t="s">
        <v>583</v>
      </c>
      <c r="N89" s="101" t="s">
        <v>584</v>
      </c>
      <c r="O89" s="101" t="s">
        <v>204</v>
      </c>
      <c r="P89" s="101" t="s">
        <v>205</v>
      </c>
      <c r="Q89" s="101" t="s">
        <v>206</v>
      </c>
      <c r="R89" s="101" t="s">
        <v>204</v>
      </c>
      <c r="S89" s="101" t="s">
        <v>129</v>
      </c>
      <c r="T89" s="17" t="s">
        <v>125</v>
      </c>
      <c r="U89" s="160" t="s">
        <v>367</v>
      </c>
      <c r="V89" s="17" t="s">
        <v>150</v>
      </c>
      <c r="W89" s="17" t="s">
        <v>150</v>
      </c>
      <c r="X89" s="17" t="s">
        <v>150</v>
      </c>
      <c r="Y89" s="58">
        <v>153250</v>
      </c>
      <c r="Z89" s="31">
        <v>1000</v>
      </c>
      <c r="AA89" s="58">
        <f t="shared" si="90"/>
        <v>153.25</v>
      </c>
      <c r="AB89" s="21">
        <f t="shared" si="100"/>
        <v>333.33333333333331</v>
      </c>
      <c r="AC89" s="21">
        <f t="shared" si="101"/>
        <v>333.33333333333331</v>
      </c>
      <c r="AD89" s="21">
        <f t="shared" si="102"/>
        <v>333.33333333333331</v>
      </c>
      <c r="AE89" s="17" t="s">
        <v>537</v>
      </c>
      <c r="AF89" s="17" t="s">
        <v>129</v>
      </c>
      <c r="AG89" s="17"/>
      <c r="AI89" s="17" t="s">
        <v>130</v>
      </c>
      <c r="AJ89" s="21">
        <v>0</v>
      </c>
      <c r="AK89" s="58">
        <v>0</v>
      </c>
      <c r="AL89" s="21">
        <v>0</v>
      </c>
      <c r="AM89" s="58">
        <f t="shared" si="74"/>
        <v>0</v>
      </c>
      <c r="AN89" s="21">
        <v>0</v>
      </c>
      <c r="AO89" s="58">
        <f t="shared" si="76"/>
        <v>0</v>
      </c>
      <c r="AP89" s="21">
        <v>0</v>
      </c>
      <c r="AQ89" s="58">
        <f t="shared" si="77"/>
        <v>0</v>
      </c>
      <c r="AR89" s="21">
        <v>0</v>
      </c>
      <c r="AS89" s="58">
        <f t="shared" si="78"/>
        <v>0</v>
      </c>
      <c r="AT89" s="21">
        <v>0</v>
      </c>
      <c r="AU89" s="58">
        <f t="shared" si="89"/>
        <v>0</v>
      </c>
      <c r="AV89" s="21">
        <v>0</v>
      </c>
      <c r="AW89" s="58">
        <v>0</v>
      </c>
      <c r="AX89" s="31">
        <f>Table1[[#This Row],[Students Per Fall]]</f>
        <v>333.33333333333331</v>
      </c>
      <c r="AY89" s="58">
        <f t="shared" si="91"/>
        <v>51083.333333333328</v>
      </c>
      <c r="AZ89" s="31">
        <f>IF(Table1[[#This Row],[Sustainability Check 1 (2017-2018) Status]]="Continued", Table1[[#This Row],[Students Per Spring]], 0)</f>
        <v>333.33333333333331</v>
      </c>
      <c r="BA89" s="58">
        <f t="shared" si="92"/>
        <v>51083.333333333328</v>
      </c>
      <c r="BB89" s="31">
        <f t="shared" si="93"/>
        <v>666.66666666666663</v>
      </c>
      <c r="BC89" s="58">
        <f t="shared" si="94"/>
        <v>102166.66666666666</v>
      </c>
      <c r="BD89" s="31">
        <f>IF(Table1[[#This Row],[Sustainability Check 1 (2017-2018) Status]]="Continued", Table1[[#This Row],[Students Per Summer]], 0)</f>
        <v>333.33333333333331</v>
      </c>
      <c r="BE89" s="58">
        <f t="shared" si="95"/>
        <v>51083.333333333328</v>
      </c>
      <c r="BF89" s="31">
        <f>IF(Table1[[#This Row],[Sustainability Check 1 (2017-2018) Status]]="Continued", Table1[[#This Row],[Students Per Fall]], 0)</f>
        <v>333.33333333333331</v>
      </c>
      <c r="BG89" s="58">
        <f t="shared" si="96"/>
        <v>51083.333333333328</v>
      </c>
      <c r="BH89" s="31">
        <f>IF(Table1[[#This Row],[Sustainability Check 1 (2017-2018) Status]]="Continued", Table1[[#This Row],[Students Per Spring]], 0)</f>
        <v>333.33333333333331</v>
      </c>
      <c r="BI89" s="58">
        <f t="shared" si="97"/>
        <v>51083.333333333328</v>
      </c>
      <c r="BJ89" s="31">
        <f t="shared" si="98"/>
        <v>1000</v>
      </c>
      <c r="BK89" s="58">
        <f t="shared" si="99"/>
        <v>153250</v>
      </c>
      <c r="BL89" s="58" t="s">
        <v>130</v>
      </c>
      <c r="BM89" s="31">
        <v>20</v>
      </c>
      <c r="BN89" s="31">
        <v>160</v>
      </c>
      <c r="BO89" s="31">
        <v>160</v>
      </c>
      <c r="BP89" s="31">
        <f t="shared" si="75"/>
        <v>340</v>
      </c>
      <c r="BQ89" s="96">
        <v>142.97999999999999</v>
      </c>
      <c r="BR89" s="58">
        <f>Table1[[#This Row],[Check 2 Students Total]]*Table1[[#This Row],[Summer 2018 Price Check]]</f>
        <v>48613.2</v>
      </c>
      <c r="BS89" s="31">
        <f>IF(Table1[[#This Row],[Sustainability Check 2 (2018-2019) Status]]="Continued", Table1[[#This Row],[Check 2 Students Summer]], 0)</f>
        <v>20</v>
      </c>
      <c r="BT89" s="58">
        <f>Table1[[#This Row],[Summer 2018 Price Check]]*BS89</f>
        <v>2859.6</v>
      </c>
      <c r="BU89" s="31">
        <f>IF(Table1[[#This Row],[Sustainability Check 2 (2018-2019) Status]]="Continued", Table1[[#This Row],[Check 2 Students Fall]], 0)</f>
        <v>160</v>
      </c>
      <c r="BV89" s="58">
        <f>Table1[[#This Row],[Summer 2018 Price Check]]*BU89</f>
        <v>22876.799999999999</v>
      </c>
      <c r="BW89" s="21">
        <f>IF(Table1[[#This Row],[Sustainability Check 2 (2018-2019) Status]]="Continued", Table1[Check 2 Students Spring], 0)</f>
        <v>160</v>
      </c>
      <c r="BX89" s="58">
        <f>Table1[[#This Row],[Summer 2018 Price Check]]*Table1[[#This Row],[Spring 2019 Students]]</f>
        <v>22876.799999999999</v>
      </c>
      <c r="BY89" s="31">
        <f t="shared" si="79"/>
        <v>340</v>
      </c>
      <c r="BZ89" s="58">
        <f t="shared" si="80"/>
        <v>48613.2</v>
      </c>
      <c r="CA89" s="58" t="s">
        <v>130</v>
      </c>
      <c r="CB89" s="21">
        <v>20</v>
      </c>
      <c r="CC89" s="21">
        <v>160</v>
      </c>
      <c r="CD89" s="21">
        <v>160</v>
      </c>
      <c r="CE89" s="21">
        <f t="shared" si="88"/>
        <v>340</v>
      </c>
      <c r="CF89" s="58">
        <v>158.25</v>
      </c>
      <c r="CG89" s="58">
        <f t="shared" si="81"/>
        <v>53805</v>
      </c>
      <c r="CH89" s="17" t="s">
        <v>537</v>
      </c>
      <c r="CI89" s="21">
        <f>IF(Table1[[#This Row],[Check 3 Status]]="Continued", Table1[[#This Row],[Check 3 Students Summer]], 0)</f>
        <v>20</v>
      </c>
      <c r="CJ89" s="58">
        <f>Table1[[#This Row],[Check 3 Per Student Savings]]*CI89</f>
        <v>3165</v>
      </c>
      <c r="CK89" s="21">
        <f>IF(Table1[[#This Row],[Check 3 Status]]="Continued", Table1[[#This Row],[Check 3 Students Fall]], 0)</f>
        <v>160</v>
      </c>
      <c r="CL89" s="58">
        <f>Table1[[#This Row],[Check 3 Per Student Savings]]*CK89</f>
        <v>25320</v>
      </c>
      <c r="CM89" s="21">
        <f>IF(Table1[[#This Row],[Check 3 Status]]="Continued", Table1[[#This Row],[Check 3 Students Spring]], 0)</f>
        <v>160</v>
      </c>
      <c r="CN89" s="58">
        <f>Table1[[#This Row],[Check 3 Per Student Savings]]*CM89</f>
        <v>25320</v>
      </c>
      <c r="CO89" s="21">
        <f t="shared" si="82"/>
        <v>340</v>
      </c>
      <c r="CP89" s="58">
        <f t="shared" si="83"/>
        <v>53805</v>
      </c>
      <c r="CQ89" s="58" t="s">
        <v>130</v>
      </c>
      <c r="CR89" s="21">
        <v>20</v>
      </c>
      <c r="CS89" s="21">
        <v>160</v>
      </c>
      <c r="CT89" s="21">
        <v>160</v>
      </c>
      <c r="CU89" s="21">
        <f t="shared" si="84"/>
        <v>340</v>
      </c>
      <c r="CV89" s="58">
        <v>158.25</v>
      </c>
      <c r="CW89" s="58">
        <f t="shared" si="85"/>
        <v>53805</v>
      </c>
      <c r="CX89" s="58"/>
      <c r="CY89" s="21">
        <f>IF(Table1[[#This Row],[Check 4 Status]]="Continued", Table1[[#This Row],[Check 4 Students Summer]], 0)</f>
        <v>20</v>
      </c>
      <c r="CZ89" s="58">
        <f>Table1[[#This Row],[Check 4 Per Student Savings]]*CY89</f>
        <v>3165</v>
      </c>
      <c r="DA89" s="21">
        <f>IF(Table1[[#This Row],[Check 4 Status]]="Continued", Table1[[#This Row],[Check 4 Students Fall]], 0)</f>
        <v>160</v>
      </c>
      <c r="DB89" s="58">
        <f>Table1[[#This Row],[Check 4 Per Student Savings]]*DA89</f>
        <v>25320</v>
      </c>
      <c r="DC89" s="21">
        <f>IF(Table1[[#This Row],[Check 4 Status]]="Continued", Table1[[#This Row],[Check 4 Students Spring]], 0)</f>
        <v>160</v>
      </c>
      <c r="DD89" s="58">
        <f>Table1[[#This Row],[Check 4 Per Student Savings]]*DC89</f>
        <v>25320</v>
      </c>
      <c r="DE89" s="58">
        <f t="shared" si="86"/>
        <v>340</v>
      </c>
      <c r="DF89" s="58">
        <f t="shared" si="87"/>
        <v>53805</v>
      </c>
      <c r="DG8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2686.6666666666665</v>
      </c>
      <c r="DH8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411639.86666666664</v>
      </c>
      <c r="DI89" s="58">
        <f>Table1[[#This Row],[Grand Total Savings]]/Table1[[#This Row],[Total Award]]</f>
        <v>38.114802469135803</v>
      </c>
      <c r="DJ89" s="17"/>
      <c r="DK89" s="17"/>
      <c r="DL89" s="17"/>
      <c r="DM89" s="17"/>
      <c r="EC89" s="17"/>
      <c r="ED89" s="17"/>
      <c r="EE89" s="17"/>
      <c r="EF89" s="17"/>
    </row>
    <row r="90" spans="1:136" x14ac:dyDescent="0.25">
      <c r="A90" s="159">
        <v>169</v>
      </c>
      <c r="B90" s="17" t="s">
        <v>2011</v>
      </c>
      <c r="D90" s="97">
        <v>510660</v>
      </c>
      <c r="E90" s="158">
        <v>42436</v>
      </c>
      <c r="F90" s="158">
        <v>42734</v>
      </c>
      <c r="G90" s="159" t="s">
        <v>521</v>
      </c>
      <c r="H90" s="95" t="s">
        <v>9</v>
      </c>
      <c r="I90" s="226" t="s">
        <v>118</v>
      </c>
      <c r="J90" s="17" t="s">
        <v>585</v>
      </c>
      <c r="K90" s="107">
        <v>10800</v>
      </c>
      <c r="L90" s="107"/>
      <c r="M90" s="101" t="s">
        <v>586</v>
      </c>
      <c r="N90" s="101" t="s">
        <v>587</v>
      </c>
      <c r="O90" s="101" t="s">
        <v>204</v>
      </c>
      <c r="P90" s="101" t="s">
        <v>205</v>
      </c>
      <c r="Q90" s="101" t="s">
        <v>206</v>
      </c>
      <c r="R90" s="101" t="s">
        <v>204</v>
      </c>
      <c r="S90" s="167" t="s">
        <v>36</v>
      </c>
      <c r="T90" s="17" t="s">
        <v>129</v>
      </c>
      <c r="U90" s="101" t="s">
        <v>287</v>
      </c>
      <c r="V90" s="17" t="s">
        <v>150</v>
      </c>
      <c r="W90" s="17" t="s">
        <v>150</v>
      </c>
      <c r="X90" s="17" t="s">
        <v>150</v>
      </c>
      <c r="Y90" s="58">
        <v>92000</v>
      </c>
      <c r="Z90" s="17">
        <v>460</v>
      </c>
      <c r="AA90" s="58">
        <f t="shared" si="90"/>
        <v>200</v>
      </c>
      <c r="AB90" s="21">
        <f t="shared" si="100"/>
        <v>153.33333333333334</v>
      </c>
      <c r="AC90" s="21">
        <f t="shared" si="101"/>
        <v>153.33333333333334</v>
      </c>
      <c r="AD90" s="21">
        <f t="shared" si="102"/>
        <v>153.33333333333334</v>
      </c>
      <c r="AE90" s="17" t="s">
        <v>537</v>
      </c>
      <c r="AF90" s="17" t="s">
        <v>125</v>
      </c>
      <c r="AG90" s="17">
        <v>291</v>
      </c>
      <c r="AH90" s="17" t="s">
        <v>588</v>
      </c>
      <c r="AI90" s="17" t="s">
        <v>130</v>
      </c>
      <c r="AJ90" s="21">
        <v>0</v>
      </c>
      <c r="AK90" s="58">
        <v>0</v>
      </c>
      <c r="AL90" s="21">
        <v>0</v>
      </c>
      <c r="AM90" s="58">
        <f t="shared" si="74"/>
        <v>0</v>
      </c>
      <c r="AN90" s="21">
        <v>0</v>
      </c>
      <c r="AO90" s="58">
        <f t="shared" si="76"/>
        <v>0</v>
      </c>
      <c r="AP90" s="21">
        <v>0</v>
      </c>
      <c r="AQ90" s="58">
        <f t="shared" si="77"/>
        <v>0</v>
      </c>
      <c r="AR90" s="21">
        <v>0</v>
      </c>
      <c r="AS90" s="58">
        <f t="shared" si="78"/>
        <v>0</v>
      </c>
      <c r="AT90" s="21">
        <v>0</v>
      </c>
      <c r="AU90" s="58">
        <f t="shared" si="89"/>
        <v>0</v>
      </c>
      <c r="AV90" s="21">
        <v>0</v>
      </c>
      <c r="AW90" s="58">
        <v>0</v>
      </c>
      <c r="AX90" s="31">
        <f>Table1[[#This Row],[Students Per Fall]]</f>
        <v>153.33333333333334</v>
      </c>
      <c r="AY90" s="58">
        <f t="shared" si="91"/>
        <v>30666.666666666668</v>
      </c>
      <c r="AZ90" s="31">
        <f>IF(Table1[[#This Row],[Sustainability Check 1 (2017-2018) Status]]="Continued", Table1[[#This Row],[Students Per Spring]], 0)</f>
        <v>153.33333333333334</v>
      </c>
      <c r="BA90" s="58">
        <f t="shared" si="92"/>
        <v>30666.666666666668</v>
      </c>
      <c r="BB90" s="31">
        <f t="shared" si="93"/>
        <v>306.66666666666669</v>
      </c>
      <c r="BC90" s="58">
        <f t="shared" si="94"/>
        <v>61333.333333333336</v>
      </c>
      <c r="BD90" s="31">
        <f>IF(Table1[[#This Row],[Sustainability Check 1 (2017-2018) Status]]="Continued", Table1[[#This Row],[Students Per Summer]], 0)</f>
        <v>153.33333333333334</v>
      </c>
      <c r="BE90" s="58">
        <f t="shared" si="95"/>
        <v>30666.666666666668</v>
      </c>
      <c r="BF90" s="98">
        <v>0</v>
      </c>
      <c r="BG90" s="99">
        <v>0</v>
      </c>
      <c r="BH90" s="98">
        <v>0</v>
      </c>
      <c r="BI90" s="99">
        <v>0</v>
      </c>
      <c r="BJ90" s="31">
        <f t="shared" si="98"/>
        <v>153.33333333333334</v>
      </c>
      <c r="BK90" s="58">
        <f t="shared" si="99"/>
        <v>30666.666666666668</v>
      </c>
      <c r="BL90" s="99" t="s">
        <v>1783</v>
      </c>
      <c r="BM90" s="98">
        <v>0</v>
      </c>
      <c r="BN90" s="98">
        <v>0</v>
      </c>
      <c r="BO90" s="98">
        <v>0</v>
      </c>
      <c r="BP90" s="98">
        <f t="shared" si="75"/>
        <v>0</v>
      </c>
      <c r="BQ90" s="96">
        <v>242.2</v>
      </c>
      <c r="BR90" s="58">
        <f>Table1[[#This Row],[Check 2 Students Total]]*Table1[[#This Row],[Summer 2018 Price Check]]</f>
        <v>0</v>
      </c>
      <c r="BS90" s="31">
        <f>IF(Table1[[#This Row],[Sustainability Check 2 (2018-2019) Status]]="Continued", Table1[[#This Row],[Check 2 Students Summer]], 0)</f>
        <v>0</v>
      </c>
      <c r="BT90" s="58">
        <f>Table1[[#This Row],[Summer 2018 Price Check]]*BS90</f>
        <v>0</v>
      </c>
      <c r="BU90" s="31">
        <f>IF(Table1[[#This Row],[Sustainability Check 2 (2018-2019) Status]]="Continued", Table1[[#This Row],[Check 2 Students Fall]], 0)</f>
        <v>0</v>
      </c>
      <c r="BV90" s="58">
        <f>Table1[[#This Row],[Summer 2018 Price Check]]*BU90</f>
        <v>0</v>
      </c>
      <c r="BW90" s="21">
        <f>IF(Table1[[#This Row],[Sustainability Check 2 (2018-2019) Status]]="Continued", Table1[Check 2 Students Spring], 0)</f>
        <v>0</v>
      </c>
      <c r="BX90" s="58">
        <f>Table1[[#This Row],[Summer 2018 Price Check]]*Table1[[#This Row],[Spring 2019 Students]]</f>
        <v>0</v>
      </c>
      <c r="BY90" s="31">
        <f t="shared" si="79"/>
        <v>0</v>
      </c>
      <c r="BZ90" s="58">
        <f t="shared" si="80"/>
        <v>0</v>
      </c>
      <c r="CA90" s="99" t="s">
        <v>1783</v>
      </c>
      <c r="CB90" s="21">
        <v>0</v>
      </c>
      <c r="CC90" s="21">
        <v>0</v>
      </c>
      <c r="CD90" s="21">
        <v>0</v>
      </c>
      <c r="CE90" s="21">
        <f t="shared" si="88"/>
        <v>0</v>
      </c>
      <c r="CF90" s="58">
        <v>0</v>
      </c>
      <c r="CG90" s="58">
        <f t="shared" si="81"/>
        <v>0</v>
      </c>
      <c r="CH90" s="17" t="s">
        <v>537</v>
      </c>
      <c r="CI90" s="21">
        <f>IF(Table1[[#This Row],[Check 3 Status]]="Continued", Table1[[#This Row],[Check 3 Students Summer]], 0)</f>
        <v>0</v>
      </c>
      <c r="CJ90" s="58">
        <f>Table1[[#This Row],[Check 3 Per Student Savings]]*CI90</f>
        <v>0</v>
      </c>
      <c r="CK90" s="21">
        <f>IF(Table1[[#This Row],[Check 3 Status]]="Continued", Table1[[#This Row],[Check 3 Students Fall]], 0)</f>
        <v>0</v>
      </c>
      <c r="CL90" s="58">
        <f>Table1[[#This Row],[Check 3 Per Student Savings]]*CK90</f>
        <v>0</v>
      </c>
      <c r="CM90" s="21">
        <f>IF(Table1[[#This Row],[Check 3 Status]]="Continued", Table1[[#This Row],[Check 3 Students Spring]], 0)</f>
        <v>0</v>
      </c>
      <c r="CN90" s="58">
        <f>Table1[[#This Row],[Check 3 Per Student Savings]]*CM90</f>
        <v>0</v>
      </c>
      <c r="CO90" s="21">
        <f t="shared" si="82"/>
        <v>0</v>
      </c>
      <c r="CP90" s="58">
        <f t="shared" si="83"/>
        <v>0</v>
      </c>
      <c r="CQ90" s="58" t="s">
        <v>1783</v>
      </c>
      <c r="CR90" s="21">
        <v>0</v>
      </c>
      <c r="CS90" s="21">
        <v>0</v>
      </c>
      <c r="CT90" s="21">
        <v>0</v>
      </c>
      <c r="CU90" s="21">
        <f t="shared" si="84"/>
        <v>0</v>
      </c>
      <c r="CV90" s="58">
        <v>0</v>
      </c>
      <c r="CW90" s="58">
        <f t="shared" si="85"/>
        <v>0</v>
      </c>
      <c r="CX90" s="58"/>
      <c r="CY90" s="21">
        <f>IF(Table1[[#This Row],[Check 4 Status]]="Continued", Table1[[#This Row],[Check 4 Students Summer]], 0)</f>
        <v>0</v>
      </c>
      <c r="CZ90" s="58">
        <f>Table1[[#This Row],[Check 4 Per Student Savings]]*CY90</f>
        <v>0</v>
      </c>
      <c r="DA90" s="21">
        <f>IF(Table1[[#This Row],[Check 4 Status]]="Continued", Table1[[#This Row],[Check 4 Students Fall]], 0)</f>
        <v>0</v>
      </c>
      <c r="DB90" s="58">
        <f>Table1[[#This Row],[Check 4 Per Student Savings]]*DA90</f>
        <v>0</v>
      </c>
      <c r="DC90" s="21">
        <f>IF(Table1[[#This Row],[Check 4 Status]]="Continued", Table1[[#This Row],[Check 4 Students Spring]], 0)</f>
        <v>0</v>
      </c>
      <c r="DD90" s="58">
        <f>Table1[[#This Row],[Check 4 Per Student Savings]]*DC90</f>
        <v>0</v>
      </c>
      <c r="DE90" s="58">
        <f t="shared" si="86"/>
        <v>0</v>
      </c>
      <c r="DF90" s="58">
        <f t="shared" si="87"/>
        <v>0</v>
      </c>
      <c r="DG9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460</v>
      </c>
      <c r="DH9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92000</v>
      </c>
      <c r="DI90" s="58">
        <f>Table1[[#This Row],[Grand Total Savings]]/Table1[[#This Row],[Total Award]]</f>
        <v>8.518518518518519</v>
      </c>
      <c r="DJ90" s="17"/>
      <c r="DK90" s="17"/>
      <c r="DL90" s="17"/>
      <c r="DM90" s="17"/>
      <c r="EC90" s="17"/>
      <c r="ED90" s="17"/>
      <c r="EE90" s="17"/>
      <c r="EF90" s="17"/>
    </row>
    <row r="91" spans="1:136" x14ac:dyDescent="0.25">
      <c r="A91" s="159">
        <v>172</v>
      </c>
      <c r="B91" s="17" t="s">
        <v>2011</v>
      </c>
      <c r="D91" s="97">
        <v>510591</v>
      </c>
      <c r="E91" s="158">
        <v>42436</v>
      </c>
      <c r="F91" s="165">
        <v>42886</v>
      </c>
      <c r="G91" s="159" t="s">
        <v>521</v>
      </c>
      <c r="H91" s="95" t="s">
        <v>9</v>
      </c>
      <c r="I91" s="226" t="s">
        <v>118</v>
      </c>
      <c r="J91" s="17" t="s">
        <v>585</v>
      </c>
      <c r="K91" s="107">
        <v>10000</v>
      </c>
      <c r="L91" s="107"/>
      <c r="M91" s="101" t="s">
        <v>589</v>
      </c>
      <c r="N91" s="101" t="s">
        <v>590</v>
      </c>
      <c r="O91" s="101" t="s">
        <v>122</v>
      </c>
      <c r="P91" s="101" t="s">
        <v>123</v>
      </c>
      <c r="Q91" s="101" t="s">
        <v>124</v>
      </c>
      <c r="R91" s="101" t="s">
        <v>122</v>
      </c>
      <c r="S91" s="101" t="s">
        <v>129</v>
      </c>
      <c r="T91" s="17" t="s">
        <v>129</v>
      </c>
      <c r="U91" s="101" t="s">
        <v>157</v>
      </c>
      <c r="V91" s="17" t="s">
        <v>150</v>
      </c>
      <c r="W91" s="17" t="s">
        <v>127</v>
      </c>
      <c r="X91" s="17" t="s">
        <v>127</v>
      </c>
      <c r="Y91" s="58">
        <v>106320</v>
      </c>
      <c r="Z91" s="17">
        <v>600</v>
      </c>
      <c r="AA91" s="58">
        <f t="shared" si="90"/>
        <v>177.2</v>
      </c>
      <c r="AB91" s="21">
        <f t="shared" si="100"/>
        <v>200</v>
      </c>
      <c r="AC91" s="21">
        <f t="shared" si="101"/>
        <v>200</v>
      </c>
      <c r="AD91" s="21">
        <f t="shared" si="102"/>
        <v>200</v>
      </c>
      <c r="AE91" s="17" t="s">
        <v>537</v>
      </c>
      <c r="AF91" s="17" t="s">
        <v>129</v>
      </c>
      <c r="AG91" s="17"/>
      <c r="AI91" s="17" t="s">
        <v>130</v>
      </c>
      <c r="AJ91" s="21">
        <v>0</v>
      </c>
      <c r="AK91" s="58">
        <v>0</v>
      </c>
      <c r="AL91" s="21">
        <v>0</v>
      </c>
      <c r="AM91" s="58">
        <f t="shared" si="74"/>
        <v>0</v>
      </c>
      <c r="AN91" s="21">
        <v>0</v>
      </c>
      <c r="AO91" s="58">
        <f t="shared" si="76"/>
        <v>0</v>
      </c>
      <c r="AP91" s="21">
        <v>0</v>
      </c>
      <c r="AQ91" s="58">
        <f t="shared" si="77"/>
        <v>0</v>
      </c>
      <c r="AR91" s="21">
        <v>0</v>
      </c>
      <c r="AS91" s="58">
        <f t="shared" si="78"/>
        <v>0</v>
      </c>
      <c r="AT91" s="21">
        <v>0</v>
      </c>
      <c r="AU91" s="58">
        <f t="shared" si="89"/>
        <v>0</v>
      </c>
      <c r="AV91" s="21">
        <v>0</v>
      </c>
      <c r="AW91" s="58">
        <v>0</v>
      </c>
      <c r="AX91" s="31">
        <f>Table1[[#This Row],[Students Per Fall]]</f>
        <v>200</v>
      </c>
      <c r="AY91" s="58">
        <f t="shared" si="91"/>
        <v>35440</v>
      </c>
      <c r="AZ91" s="31">
        <f>IF(Table1[[#This Row],[Sustainability Check 1 (2017-2018) Status]]="Continued", Table1[[#This Row],[Students Per Spring]], 0)</f>
        <v>200</v>
      </c>
      <c r="BA91" s="58">
        <f t="shared" si="92"/>
        <v>35440</v>
      </c>
      <c r="BB91" s="31">
        <f t="shared" si="93"/>
        <v>400</v>
      </c>
      <c r="BC91" s="58">
        <f t="shared" si="94"/>
        <v>70880</v>
      </c>
      <c r="BD91" s="31">
        <f>IF(Table1[[#This Row],[Sustainability Check 1 (2017-2018) Status]]="Continued", Table1[[#This Row],[Students Per Summer]], 0)</f>
        <v>200</v>
      </c>
      <c r="BE91" s="58">
        <f t="shared" si="95"/>
        <v>35440</v>
      </c>
      <c r="BF91" s="31">
        <f>IF(Table1[[#This Row],[Sustainability Check 1 (2017-2018) Status]]="Continued", Table1[[#This Row],[Students Per Fall]], 0)</f>
        <v>200</v>
      </c>
      <c r="BG91" s="58">
        <f t="shared" ref="BG91:BG111" si="103">$AA91*BF91</f>
        <v>35440</v>
      </c>
      <c r="BH91" s="31">
        <f>IF(Table1[[#This Row],[Sustainability Check 1 (2017-2018) Status]]="Continued", Table1[[#This Row],[Students Per Spring]], 0)</f>
        <v>200</v>
      </c>
      <c r="BI91" s="58">
        <f t="shared" ref="BI91:BI111" si="104">$AA91*BH91</f>
        <v>35440</v>
      </c>
      <c r="BJ91" s="31">
        <f t="shared" si="98"/>
        <v>600</v>
      </c>
      <c r="BK91" s="58">
        <f t="shared" si="99"/>
        <v>106320</v>
      </c>
      <c r="BL91" s="58" t="s">
        <v>130</v>
      </c>
      <c r="BM91" s="31">
        <v>0</v>
      </c>
      <c r="BN91" s="31">
        <v>100</v>
      </c>
      <c r="BO91" s="31">
        <v>40</v>
      </c>
      <c r="BP91" s="31">
        <f t="shared" si="75"/>
        <v>140</v>
      </c>
      <c r="BQ91" s="96">
        <v>199.95</v>
      </c>
      <c r="BR91" s="58">
        <f>Table1[[#This Row],[Check 2 Students Total]]*Table1[[#This Row],[Summer 2018 Price Check]]</f>
        <v>27993</v>
      </c>
      <c r="BS91" s="31">
        <f>IF(Table1[[#This Row],[Sustainability Check 2 (2018-2019) Status]]="Continued", Table1[[#This Row],[Check 2 Students Summer]], 0)</f>
        <v>0</v>
      </c>
      <c r="BT91" s="58">
        <f>Table1[[#This Row],[Summer 2018 Price Check]]*BS91</f>
        <v>0</v>
      </c>
      <c r="BU91" s="31">
        <f>IF(Table1[[#This Row],[Sustainability Check 2 (2018-2019) Status]]="Continued", Table1[[#This Row],[Check 2 Students Fall]], 0)</f>
        <v>100</v>
      </c>
      <c r="BV91" s="58">
        <f>Table1[[#This Row],[Summer 2018 Price Check]]*BU91</f>
        <v>19995</v>
      </c>
      <c r="BW91" s="21">
        <f>IF(Table1[[#This Row],[Sustainability Check 2 (2018-2019) Status]]="Continued", Table1[Check 2 Students Spring], 0)</f>
        <v>40</v>
      </c>
      <c r="BX91" s="58">
        <f>Table1[[#This Row],[Summer 2018 Price Check]]*Table1[[#This Row],[Spring 2019 Students]]</f>
        <v>7998</v>
      </c>
      <c r="BY91" s="31">
        <f t="shared" si="79"/>
        <v>140</v>
      </c>
      <c r="BZ91" s="58">
        <f t="shared" si="80"/>
        <v>27993</v>
      </c>
      <c r="CA91" s="58" t="s">
        <v>130</v>
      </c>
      <c r="CB91" s="21">
        <v>0</v>
      </c>
      <c r="CC91" s="21">
        <v>40</v>
      </c>
      <c r="CD91" s="21">
        <v>40</v>
      </c>
      <c r="CE91" s="21">
        <f t="shared" si="88"/>
        <v>80</v>
      </c>
      <c r="CF91" s="58">
        <v>100</v>
      </c>
      <c r="CG91" s="58">
        <f t="shared" si="81"/>
        <v>8000</v>
      </c>
      <c r="CH91" s="17" t="s">
        <v>537</v>
      </c>
      <c r="CI91" s="21">
        <f>IF(Table1[[#This Row],[Check 3 Status]]="Continued", Table1[[#This Row],[Check 3 Students Summer]], 0)</f>
        <v>0</v>
      </c>
      <c r="CJ91" s="58">
        <f>Table1[[#This Row],[Check 3 Per Student Savings]]*CI91</f>
        <v>0</v>
      </c>
      <c r="CK91" s="21">
        <f>IF(Table1[[#This Row],[Check 3 Status]]="Continued", Table1[[#This Row],[Check 3 Students Fall]], 0)</f>
        <v>40</v>
      </c>
      <c r="CL91" s="58">
        <f>Table1[[#This Row],[Check 3 Per Student Savings]]*CK91</f>
        <v>4000</v>
      </c>
      <c r="CM91" s="21">
        <f>IF(Table1[[#This Row],[Check 3 Status]]="Continued", Table1[[#This Row],[Check 3 Students Spring]], 0)</f>
        <v>40</v>
      </c>
      <c r="CN91" s="58">
        <f>Table1[[#This Row],[Check 3 Per Student Savings]]*CM91</f>
        <v>4000</v>
      </c>
      <c r="CO91" s="21">
        <f t="shared" si="82"/>
        <v>80</v>
      </c>
      <c r="CP91" s="58">
        <f t="shared" si="83"/>
        <v>8000</v>
      </c>
      <c r="CQ91" s="58" t="s">
        <v>130</v>
      </c>
      <c r="CR91" s="21">
        <v>0</v>
      </c>
      <c r="CS91" s="21">
        <v>40</v>
      </c>
      <c r="CT91" s="21">
        <v>0</v>
      </c>
      <c r="CU91" s="21">
        <f t="shared" si="84"/>
        <v>40</v>
      </c>
      <c r="CV91" s="58">
        <v>100</v>
      </c>
      <c r="CW91" s="58">
        <f t="shared" si="85"/>
        <v>4000</v>
      </c>
      <c r="CX91" s="58"/>
      <c r="CY91" s="21">
        <f>IF(Table1[[#This Row],[Check 4 Status]]="Continued", Table1[[#This Row],[Check 4 Students Summer]], 0)</f>
        <v>0</v>
      </c>
      <c r="CZ91" s="58">
        <f>Table1[[#This Row],[Check 4 Per Student Savings]]*CY91</f>
        <v>0</v>
      </c>
      <c r="DA91" s="21">
        <f>IF(Table1[[#This Row],[Check 4 Status]]="Continued", Table1[[#This Row],[Check 4 Students Fall]], 0)</f>
        <v>40</v>
      </c>
      <c r="DB91" s="58">
        <f>Table1[[#This Row],[Check 4 Per Student Savings]]*DA91</f>
        <v>4000</v>
      </c>
      <c r="DC91" s="21">
        <f>IF(Table1[[#This Row],[Check 4 Status]]="Continued", Table1[[#This Row],[Check 4 Students Spring]], 0)</f>
        <v>0</v>
      </c>
      <c r="DD91" s="58">
        <f>Table1[[#This Row],[Check 4 Per Student Savings]]*DC91</f>
        <v>0</v>
      </c>
      <c r="DE91" s="58">
        <f t="shared" si="86"/>
        <v>40</v>
      </c>
      <c r="DF91" s="58">
        <f t="shared" si="87"/>
        <v>4000</v>
      </c>
      <c r="DG9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1260</v>
      </c>
      <c r="DH9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217193</v>
      </c>
      <c r="DI91" s="58">
        <f>Table1[[#This Row],[Grand Total Savings]]/Table1[[#This Row],[Total Award]]</f>
        <v>21.7193</v>
      </c>
      <c r="DJ91" s="17"/>
      <c r="DK91" s="17"/>
      <c r="DL91" s="17"/>
      <c r="DM91" s="17"/>
      <c r="EC91" s="17"/>
      <c r="ED91" s="17"/>
      <c r="EE91" s="17"/>
      <c r="EF91" s="17"/>
    </row>
    <row r="92" spans="1:136" x14ac:dyDescent="0.25">
      <c r="A92" s="159">
        <v>174</v>
      </c>
      <c r="B92" s="17" t="s">
        <v>2011</v>
      </c>
      <c r="D92" s="97">
        <v>510611</v>
      </c>
      <c r="E92" s="158">
        <v>42578</v>
      </c>
      <c r="F92" s="158">
        <v>42734</v>
      </c>
      <c r="G92" s="159" t="s">
        <v>521</v>
      </c>
      <c r="H92" s="17">
        <v>2016</v>
      </c>
      <c r="I92" s="226" t="s">
        <v>118</v>
      </c>
      <c r="J92" s="17" t="s">
        <v>159</v>
      </c>
      <c r="K92" s="107">
        <v>30000</v>
      </c>
      <c r="L92" s="107"/>
      <c r="M92" s="101" t="s">
        <v>591</v>
      </c>
      <c r="N92" s="101" t="s">
        <v>592</v>
      </c>
      <c r="O92" s="101" t="s">
        <v>253</v>
      </c>
      <c r="P92" s="101" t="s">
        <v>593</v>
      </c>
      <c r="Q92" s="101" t="s">
        <v>192</v>
      </c>
      <c r="R92" s="101" t="s">
        <v>129</v>
      </c>
      <c r="S92" s="160" t="s">
        <v>36</v>
      </c>
      <c r="T92" s="17" t="s">
        <v>125</v>
      </c>
      <c r="U92" s="160" t="s">
        <v>255</v>
      </c>
      <c r="V92" s="17" t="s">
        <v>127</v>
      </c>
      <c r="W92" s="17" t="s">
        <v>127</v>
      </c>
      <c r="X92" s="17" t="s">
        <v>127</v>
      </c>
      <c r="Y92" s="58">
        <v>728163</v>
      </c>
      <c r="Z92" s="31">
        <v>1603</v>
      </c>
      <c r="AA92" s="58">
        <f t="shared" si="90"/>
        <v>454.25015595757952</v>
      </c>
      <c r="AB92" s="21">
        <f t="shared" si="100"/>
        <v>534.33333333333337</v>
      </c>
      <c r="AC92" s="21">
        <f t="shared" si="101"/>
        <v>534.33333333333337</v>
      </c>
      <c r="AD92" s="21">
        <f t="shared" si="102"/>
        <v>534.33333333333337</v>
      </c>
      <c r="AE92" s="17" t="s">
        <v>537</v>
      </c>
      <c r="AF92" s="17" t="s">
        <v>125</v>
      </c>
      <c r="AG92" s="17" t="s">
        <v>594</v>
      </c>
      <c r="AH92" s="17" t="s">
        <v>595</v>
      </c>
      <c r="AI92" s="17" t="s">
        <v>130</v>
      </c>
      <c r="AJ92" s="21">
        <v>0</v>
      </c>
      <c r="AK92" s="58">
        <v>0</v>
      </c>
      <c r="AL92" s="21">
        <v>0</v>
      </c>
      <c r="AM92" s="58">
        <f t="shared" si="74"/>
        <v>0</v>
      </c>
      <c r="AN92" s="21">
        <v>0</v>
      </c>
      <c r="AO92" s="58">
        <f t="shared" si="76"/>
        <v>0</v>
      </c>
      <c r="AP92" s="21">
        <v>0</v>
      </c>
      <c r="AQ92" s="58">
        <f t="shared" si="77"/>
        <v>0</v>
      </c>
      <c r="AR92" s="21">
        <v>0</v>
      </c>
      <c r="AS92" s="58">
        <f t="shared" si="78"/>
        <v>0</v>
      </c>
      <c r="AT92" s="21">
        <v>0</v>
      </c>
      <c r="AU92" s="58">
        <f t="shared" si="89"/>
        <v>0</v>
      </c>
      <c r="AV92" s="21">
        <v>0</v>
      </c>
      <c r="AW92" s="58">
        <v>0</v>
      </c>
      <c r="AX92" s="31">
        <f>Table1[[#This Row],[Students Per Fall]]</f>
        <v>534.33333333333337</v>
      </c>
      <c r="AY92" s="58">
        <f t="shared" si="91"/>
        <v>242721</v>
      </c>
      <c r="AZ92" s="31">
        <f>IF(Table1[[#This Row],[Sustainability Check 1 (2017-2018) Status]]="Continued", Table1[[#This Row],[Students Per Spring]], 0)</f>
        <v>534.33333333333337</v>
      </c>
      <c r="BA92" s="58">
        <f t="shared" si="92"/>
        <v>242721</v>
      </c>
      <c r="BB92" s="31">
        <f t="shared" si="93"/>
        <v>1068.6666666666667</v>
      </c>
      <c r="BC92" s="58">
        <f t="shared" si="94"/>
        <v>485442</v>
      </c>
      <c r="BD92" s="31">
        <f>IF(Table1[[#This Row],[Sustainability Check 1 (2017-2018) Status]]="Continued", Table1[[#This Row],[Students Per Summer]], 0)</f>
        <v>534.33333333333337</v>
      </c>
      <c r="BE92" s="58">
        <f t="shared" si="95"/>
        <v>242721</v>
      </c>
      <c r="BF92" s="31">
        <f>IF(Table1[[#This Row],[Sustainability Check 1 (2017-2018) Status]]="Continued", Table1[[#This Row],[Students Per Fall]], 0)</f>
        <v>534.33333333333337</v>
      </c>
      <c r="BG92" s="58">
        <f t="shared" si="103"/>
        <v>242721</v>
      </c>
      <c r="BH92" s="31">
        <f>IF(Table1[[#This Row],[Sustainability Check 1 (2017-2018) Status]]="Continued", Table1[[#This Row],[Students Per Spring]], 0)</f>
        <v>534.33333333333337</v>
      </c>
      <c r="BI92" s="58">
        <f t="shared" si="104"/>
        <v>242721</v>
      </c>
      <c r="BJ92" s="31">
        <f t="shared" si="98"/>
        <v>1603</v>
      </c>
      <c r="BK92" s="58">
        <f t="shared" si="99"/>
        <v>728163</v>
      </c>
      <c r="BL92" s="99" t="s">
        <v>130</v>
      </c>
      <c r="BM92" s="31">
        <v>534</v>
      </c>
      <c r="BN92" s="31">
        <v>534</v>
      </c>
      <c r="BO92" s="31">
        <v>534</v>
      </c>
      <c r="BP92" s="31">
        <f t="shared" si="75"/>
        <v>1602</v>
      </c>
      <c r="BQ92" s="58">
        <v>414.58</v>
      </c>
      <c r="BR92" s="58">
        <f>Table1[[#This Row],[Check 2 Students Total]]*Table1[[#This Row],[Summer 2018 Price Check]]</f>
        <v>664157.16</v>
      </c>
      <c r="BS92" s="31">
        <f>IF(Table1[[#This Row],[Sustainability Check 2 (2018-2019) Status]]="Continued", Table1[[#This Row],[Check 2 Students Summer]], 0)</f>
        <v>534</v>
      </c>
      <c r="BT92" s="58">
        <f>Table1[[#This Row],[Summer 2018 Price Check]]*BS92</f>
        <v>221385.72</v>
      </c>
      <c r="BU92" s="31">
        <f>IF(Table1[[#This Row],[Sustainability Check 2 (2018-2019) Status]]="Continued", Table1[[#This Row],[Check 2 Students Fall]], 0)</f>
        <v>534</v>
      </c>
      <c r="BV92" s="58">
        <f>Table1[[#This Row],[Summer 2018 Price Check]]*BU92</f>
        <v>221385.72</v>
      </c>
      <c r="BW92" s="100">
        <v>0</v>
      </c>
      <c r="BX92" s="99">
        <f>Table1[[#This Row],[Summer 2018 Price Check]]*Table1[[#This Row],[Spring 2019 Students]]</f>
        <v>0</v>
      </c>
      <c r="BY92" s="31">
        <f t="shared" si="79"/>
        <v>1068</v>
      </c>
      <c r="BZ92" s="58">
        <f t="shared" si="80"/>
        <v>442771.44</v>
      </c>
      <c r="CA92" s="99" t="s">
        <v>1783</v>
      </c>
      <c r="CB92" s="21">
        <v>0</v>
      </c>
      <c r="CC92" s="21">
        <v>0</v>
      </c>
      <c r="CD92" s="21">
        <v>0</v>
      </c>
      <c r="CE92" s="21">
        <f t="shared" si="88"/>
        <v>0</v>
      </c>
      <c r="CF92" s="58">
        <v>0</v>
      </c>
      <c r="CG92" s="99">
        <f t="shared" si="81"/>
        <v>0</v>
      </c>
      <c r="CH92" s="17" t="s">
        <v>537</v>
      </c>
      <c r="CI92" s="100">
        <f>IF(Table1[[#This Row],[Check 3 Status]]="Continued", Table1[[#This Row],[Check 3 Students Summer]], 0)</f>
        <v>0</v>
      </c>
      <c r="CJ92" s="99">
        <f>Table1[[#This Row],[Check 3 Per Student Savings]]*CI92</f>
        <v>0</v>
      </c>
      <c r="CK92" s="100">
        <f>IF(Table1[[#This Row],[Check 3 Status]]="Continued", Table1[[#This Row],[Check 3 Students Fall]], 0)</f>
        <v>0</v>
      </c>
      <c r="CL92" s="99">
        <f>Table1[[#This Row],[Check 3 Per Student Savings]]*CK92</f>
        <v>0</v>
      </c>
      <c r="CM92" s="100">
        <f>IF(Table1[[#This Row],[Check 3 Status]]="Continued", Table1[[#This Row],[Check 3 Students Spring]], 0)</f>
        <v>0</v>
      </c>
      <c r="CN92" s="99">
        <f>Table1[[#This Row],[Check 3 Per Student Savings]]*CM92</f>
        <v>0</v>
      </c>
      <c r="CO92" s="100">
        <f t="shared" si="82"/>
        <v>0</v>
      </c>
      <c r="CP92" s="99">
        <f t="shared" si="83"/>
        <v>0</v>
      </c>
      <c r="CQ92" s="99" t="s">
        <v>1783</v>
      </c>
      <c r="CR92" s="100">
        <v>0</v>
      </c>
      <c r="CS92" s="100">
        <v>0</v>
      </c>
      <c r="CT92" s="100">
        <v>0</v>
      </c>
      <c r="CU92" s="100">
        <f t="shared" si="84"/>
        <v>0</v>
      </c>
      <c r="CV92" s="99">
        <v>0</v>
      </c>
      <c r="CW92" s="99">
        <f t="shared" si="85"/>
        <v>0</v>
      </c>
      <c r="CX92" s="99"/>
      <c r="CY92" s="21">
        <f>IF(Table1[[#This Row],[Check 4 Status]]="Continued", Table1[[#This Row],[Check 4 Students Summer]], 0)</f>
        <v>0</v>
      </c>
      <c r="CZ92" s="58">
        <f>Table1[[#This Row],[Check 4 Per Student Savings]]*CY92</f>
        <v>0</v>
      </c>
      <c r="DA92" s="100">
        <f>IF(Table1[[#This Row],[Check 4 Status]]="Continued", Table1[[#This Row],[Check 4 Students Fall]], 0)</f>
        <v>0</v>
      </c>
      <c r="DB92" s="99">
        <f>Table1[[#This Row],[Check 4 Per Student Savings]]*DA92</f>
        <v>0</v>
      </c>
      <c r="DC92" s="21">
        <f>IF(Table1[[#This Row],[Check 4 Status]]="Continued", Table1[[#This Row],[Check 4 Students Spring]], 0)</f>
        <v>0</v>
      </c>
      <c r="DD92" s="58">
        <f>Table1[[#This Row],[Check 4 Per Student Savings]]*DC92</f>
        <v>0</v>
      </c>
      <c r="DE92" s="58">
        <f t="shared" si="86"/>
        <v>0</v>
      </c>
      <c r="DF92" s="58">
        <f t="shared" si="87"/>
        <v>0</v>
      </c>
      <c r="DG9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3739.666666666667</v>
      </c>
      <c r="DH9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1656376.44</v>
      </c>
      <c r="DI92" s="58">
        <f>Table1[[#This Row],[Grand Total Savings]]/Table1[[#This Row],[Total Award]]</f>
        <v>55.212547999999998</v>
      </c>
      <c r="DJ92" s="17"/>
      <c r="DK92" s="17"/>
      <c r="DL92" s="17"/>
      <c r="DM92" s="17"/>
      <c r="EC92" s="17"/>
      <c r="ED92" s="17"/>
      <c r="EE92" s="17"/>
      <c r="EF92" s="17"/>
    </row>
    <row r="93" spans="1:136" x14ac:dyDescent="0.25">
      <c r="A93" s="157">
        <v>175</v>
      </c>
      <c r="B93" s="17" t="s">
        <v>2011</v>
      </c>
      <c r="D93" s="97">
        <v>510596</v>
      </c>
      <c r="E93" s="158">
        <v>42415</v>
      </c>
      <c r="F93" s="158">
        <v>42886</v>
      </c>
      <c r="G93" s="159" t="s">
        <v>521</v>
      </c>
      <c r="H93" s="95" t="s">
        <v>9</v>
      </c>
      <c r="I93" s="226" t="s">
        <v>118</v>
      </c>
      <c r="J93" s="17" t="s">
        <v>119</v>
      </c>
      <c r="K93" s="107">
        <v>10800</v>
      </c>
      <c r="L93" s="107"/>
      <c r="M93" s="101" t="s">
        <v>596</v>
      </c>
      <c r="N93" s="101" t="s">
        <v>597</v>
      </c>
      <c r="O93" s="101" t="s">
        <v>598</v>
      </c>
      <c r="P93" s="101" t="s">
        <v>599</v>
      </c>
      <c r="Q93" s="101" t="s">
        <v>272</v>
      </c>
      <c r="R93" s="101" t="s">
        <v>600</v>
      </c>
      <c r="S93" s="101" t="s">
        <v>129</v>
      </c>
      <c r="T93" s="17" t="s">
        <v>125</v>
      </c>
      <c r="U93" s="160" t="s">
        <v>274</v>
      </c>
      <c r="V93" s="17" t="s">
        <v>140</v>
      </c>
      <c r="W93" s="17" t="s">
        <v>139</v>
      </c>
      <c r="X93" s="17" t="s">
        <v>150</v>
      </c>
      <c r="Y93" s="58">
        <v>104879</v>
      </c>
      <c r="Z93" s="17">
        <v>216</v>
      </c>
      <c r="AA93" s="58">
        <f t="shared" si="90"/>
        <v>485.55092592592592</v>
      </c>
      <c r="AB93" s="21">
        <f t="shared" si="100"/>
        <v>72</v>
      </c>
      <c r="AC93" s="21">
        <f t="shared" si="101"/>
        <v>72</v>
      </c>
      <c r="AD93" s="21">
        <f t="shared" si="102"/>
        <v>72</v>
      </c>
      <c r="AE93" s="17" t="s">
        <v>194</v>
      </c>
      <c r="AF93" s="17" t="s">
        <v>129</v>
      </c>
      <c r="AG93" s="17"/>
      <c r="AI93" s="166" t="s">
        <v>142</v>
      </c>
      <c r="AJ93" s="21">
        <v>0</v>
      </c>
      <c r="AK93" s="58">
        <v>0</v>
      </c>
      <c r="AL93" s="21">
        <v>0</v>
      </c>
      <c r="AM93" s="58">
        <f t="shared" si="74"/>
        <v>0</v>
      </c>
      <c r="AN93" s="21">
        <v>0</v>
      </c>
      <c r="AO93" s="58">
        <f t="shared" si="76"/>
        <v>0</v>
      </c>
      <c r="AP93" s="21">
        <v>0</v>
      </c>
      <c r="AQ93" s="58">
        <f t="shared" si="77"/>
        <v>0</v>
      </c>
      <c r="AR93" s="21">
        <f>Table1[[#This Row],[Students Per Spring]]</f>
        <v>72</v>
      </c>
      <c r="AS93" s="58">
        <f t="shared" si="78"/>
        <v>34959.666666666664</v>
      </c>
      <c r="AT93" s="21">
        <f>AN93+AP93+AR93</f>
        <v>72</v>
      </c>
      <c r="AU93" s="58">
        <f t="shared" si="89"/>
        <v>34959.666666666664</v>
      </c>
      <c r="AV93" s="21">
        <f>IF(Table1[[#This Row],[Sustainability Check 1 (2017-2018) Status]]="Continued", Table1[[#This Row],[Students Per Summer]], 0)</f>
        <v>0</v>
      </c>
      <c r="AW93" s="58">
        <f>$AA93*AV93</f>
        <v>0</v>
      </c>
      <c r="AX93" s="31">
        <f>IF(Table1[[#This Row],[Sustainability Check 1 (2017-2018) Status]]="Continued", Table1[[#This Row],[Students Per Fall]], 0)</f>
        <v>0</v>
      </c>
      <c r="AY93" s="58">
        <f t="shared" si="91"/>
        <v>0</v>
      </c>
      <c r="AZ93" s="31">
        <f>IF(Table1[[#This Row],[Sustainability Check 1 (2017-2018) Status]]="Continued", Table1[[#This Row],[Students Per Spring]], 0)</f>
        <v>0</v>
      </c>
      <c r="BA93" s="58">
        <f t="shared" si="92"/>
        <v>0</v>
      </c>
      <c r="BB93" s="31">
        <f t="shared" si="93"/>
        <v>0</v>
      </c>
      <c r="BC93" s="58">
        <f t="shared" si="94"/>
        <v>0</v>
      </c>
      <c r="BD93" s="31">
        <f>IF(Table1[[#This Row],[Sustainability Check 1 (2017-2018) Status]]="Continued", Table1[[#This Row],[Students Per Summer]], 0)</f>
        <v>0</v>
      </c>
      <c r="BE93" s="58">
        <f t="shared" si="95"/>
        <v>0</v>
      </c>
      <c r="BF93" s="31">
        <f>IF(Table1[[#This Row],[Sustainability Check 1 (2017-2018) Status]]="Continued", Table1[[#This Row],[Students Per Fall]], 0)</f>
        <v>0</v>
      </c>
      <c r="BG93" s="58">
        <f t="shared" si="103"/>
        <v>0</v>
      </c>
      <c r="BH93" s="31">
        <f>IF(Table1[[#This Row],[Sustainability Check 1 (2017-2018) Status]]="Continued", Table1[[#This Row],[Students Per Spring]], 0)</f>
        <v>0</v>
      </c>
      <c r="BI93" s="58">
        <f t="shared" si="104"/>
        <v>0</v>
      </c>
      <c r="BJ93" s="31">
        <f t="shared" si="98"/>
        <v>0</v>
      </c>
      <c r="BK93" s="58">
        <f t="shared" si="99"/>
        <v>0</v>
      </c>
      <c r="BL93" s="58" t="s">
        <v>142</v>
      </c>
      <c r="BM93" s="31">
        <v>0</v>
      </c>
      <c r="BN93" s="31">
        <v>0</v>
      </c>
      <c r="BO93" s="31">
        <v>0</v>
      </c>
      <c r="BP93" s="31">
        <f t="shared" si="75"/>
        <v>0</v>
      </c>
      <c r="BQ93" s="58">
        <v>482.55</v>
      </c>
      <c r="BR93" s="58">
        <f>Table1[[#This Row],[Check 2 Students Total]]*Table1[[#This Row],[Summer 2018 Price Check]]</f>
        <v>0</v>
      </c>
      <c r="BS93" s="31">
        <f>IF(Table1[[#This Row],[Sustainability Check 2 (2018-2019) Status]]="Continued", Table1[[#This Row],[Check 2 Students Summer]], 0)</f>
        <v>0</v>
      </c>
      <c r="BT93" s="58">
        <f>Table1[[#This Row],[Summer 2018 Price Check]]*BS93</f>
        <v>0</v>
      </c>
      <c r="BU93" s="31">
        <f>IF(Table1[[#This Row],[Sustainability Check 2 (2018-2019) Status]]="Continued", Table1[[#This Row],[Check 2 Students Fall]], 0)</f>
        <v>0</v>
      </c>
      <c r="BV93" s="58">
        <f>Table1[[#This Row],[Summer 2018 Price Check]]*BU93</f>
        <v>0</v>
      </c>
      <c r="BW93" s="21">
        <f>IF(Table1[[#This Row],[Sustainability Check 2 (2018-2019) Status]]="Continued", Table1[Check 2 Students Spring], 0)</f>
        <v>0</v>
      </c>
      <c r="BX93" s="58">
        <f>Table1[[#This Row],[Summer 2018 Price Check]]*Table1[[#This Row],[Spring 2019 Students]]</f>
        <v>0</v>
      </c>
      <c r="BY93" s="31">
        <f t="shared" si="79"/>
        <v>0</v>
      </c>
      <c r="BZ93" s="58">
        <f t="shared" si="80"/>
        <v>0</v>
      </c>
      <c r="CA93" s="58" t="s">
        <v>142</v>
      </c>
      <c r="CB93" s="21">
        <v>0</v>
      </c>
      <c r="CC93" s="21">
        <v>0</v>
      </c>
      <c r="CD93" s="21">
        <v>0</v>
      </c>
      <c r="CE93" s="21">
        <f t="shared" si="88"/>
        <v>0</v>
      </c>
      <c r="CF93" s="58">
        <v>0</v>
      </c>
      <c r="CG93" s="58">
        <f t="shared" si="81"/>
        <v>0</v>
      </c>
      <c r="CH93" s="17" t="s">
        <v>194</v>
      </c>
      <c r="CI93" s="21">
        <f>IF(Table1[[#This Row],[Check 3 Status]]="Continued", Table1[[#This Row],[Check 3 Students Summer]], 0)</f>
        <v>0</v>
      </c>
      <c r="CJ93" s="58">
        <f>Table1[[#This Row],[Check 3 Per Student Savings]]*CI93</f>
        <v>0</v>
      </c>
      <c r="CK93" s="21">
        <f>IF(Table1[[#This Row],[Check 3 Status]]="Continued", Table1[[#This Row],[Check 3 Students Fall]], 0)</f>
        <v>0</v>
      </c>
      <c r="CL93" s="58">
        <f>Table1[[#This Row],[Check 3 Per Student Savings]]*CK93</f>
        <v>0</v>
      </c>
      <c r="CM93" s="21">
        <f>IF(Table1[[#This Row],[Check 3 Status]]="Continued", Table1[[#This Row],[Check 3 Students Spring]], 0)</f>
        <v>0</v>
      </c>
      <c r="CN93" s="58">
        <f>Table1[[#This Row],[Check 3 Per Student Savings]]*CM93</f>
        <v>0</v>
      </c>
      <c r="CO93" s="21">
        <f t="shared" si="82"/>
        <v>0</v>
      </c>
      <c r="CP93" s="58">
        <f t="shared" si="83"/>
        <v>0</v>
      </c>
      <c r="CQ93" s="58" t="s">
        <v>142</v>
      </c>
      <c r="CR93" s="21">
        <v>0</v>
      </c>
      <c r="CS93" s="21">
        <v>0</v>
      </c>
      <c r="CT93" s="21">
        <v>0</v>
      </c>
      <c r="CU93" s="21">
        <f t="shared" si="84"/>
        <v>0</v>
      </c>
      <c r="CV93" s="58">
        <v>0</v>
      </c>
      <c r="CW93" s="58">
        <f t="shared" si="85"/>
        <v>0</v>
      </c>
      <c r="CX93" s="58"/>
      <c r="CY93" s="21">
        <f>IF(Table1[[#This Row],[Check 4 Status]]="Continued", Table1[[#This Row],[Check 4 Students Summer]], 0)</f>
        <v>0</v>
      </c>
      <c r="CZ93" s="58">
        <f>Table1[[#This Row],[Check 4 Per Student Savings]]*CY93</f>
        <v>0</v>
      </c>
      <c r="DA93" s="21">
        <f>IF(Table1[[#This Row],[Check 4 Status]]="Continued", Table1[[#This Row],[Check 4 Students Fall]], 0)</f>
        <v>0</v>
      </c>
      <c r="DB93" s="58">
        <f>Table1[[#This Row],[Check 4 Per Student Savings]]*DA93</f>
        <v>0</v>
      </c>
      <c r="DC93" s="21">
        <f>IF(Table1[[#This Row],[Check 4 Status]]="Continued", Table1[[#This Row],[Check 4 Students Spring]], 0)</f>
        <v>0</v>
      </c>
      <c r="DD93" s="58">
        <f>Table1[[#This Row],[Check 4 Per Student Savings]]*DC93</f>
        <v>0</v>
      </c>
      <c r="DE93" s="58">
        <f t="shared" si="86"/>
        <v>0</v>
      </c>
      <c r="DF93" s="58">
        <f t="shared" si="87"/>
        <v>0</v>
      </c>
      <c r="DG9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72</v>
      </c>
      <c r="DH9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34959.666666666664</v>
      </c>
      <c r="DI93" s="58">
        <f>Table1[[#This Row],[Grand Total Savings]]/Table1[[#This Row],[Total Award]]</f>
        <v>3.2370061728395059</v>
      </c>
      <c r="DJ93" s="17"/>
      <c r="DK93" s="17"/>
      <c r="DL93" s="17"/>
      <c r="DM93" s="17"/>
      <c r="EC93" s="17"/>
      <c r="ED93" s="17"/>
      <c r="EE93" s="17"/>
      <c r="EF93" s="17"/>
    </row>
    <row r="94" spans="1:136" x14ac:dyDescent="0.25">
      <c r="A94" s="159">
        <v>177</v>
      </c>
      <c r="B94" s="17" t="s">
        <v>2011</v>
      </c>
      <c r="D94" s="97">
        <v>510605</v>
      </c>
      <c r="E94" s="158">
        <v>42410</v>
      </c>
      <c r="F94" s="158">
        <v>42734</v>
      </c>
      <c r="G94" s="159" t="s">
        <v>521</v>
      </c>
      <c r="H94" s="95" t="s">
        <v>9</v>
      </c>
      <c r="I94" s="226" t="s">
        <v>118</v>
      </c>
      <c r="J94" s="17" t="s">
        <v>201</v>
      </c>
      <c r="K94" s="107">
        <v>16800</v>
      </c>
      <c r="L94" s="107"/>
      <c r="M94" s="101" t="s">
        <v>601</v>
      </c>
      <c r="N94" s="101" t="s">
        <v>602</v>
      </c>
      <c r="O94" s="101" t="s">
        <v>603</v>
      </c>
      <c r="P94" s="101" t="s">
        <v>604</v>
      </c>
      <c r="Q94" s="101" t="s">
        <v>456</v>
      </c>
      <c r="R94" s="101" t="s">
        <v>129</v>
      </c>
      <c r="S94" s="101" t="s">
        <v>129</v>
      </c>
      <c r="T94" s="17" t="s">
        <v>129</v>
      </c>
      <c r="U94" s="160" t="s">
        <v>605</v>
      </c>
      <c r="V94" s="17" t="s">
        <v>150</v>
      </c>
      <c r="W94" s="17" t="s">
        <v>150</v>
      </c>
      <c r="X94" s="17" t="s">
        <v>150</v>
      </c>
      <c r="Y94" s="58">
        <v>44075</v>
      </c>
      <c r="Z94" s="17">
        <v>215</v>
      </c>
      <c r="AA94" s="58">
        <f t="shared" si="90"/>
        <v>205</v>
      </c>
      <c r="AB94" s="21">
        <f t="shared" si="100"/>
        <v>71.666666666666671</v>
      </c>
      <c r="AC94" s="21">
        <f t="shared" si="101"/>
        <v>71.666666666666671</v>
      </c>
      <c r="AD94" s="21">
        <f t="shared" si="102"/>
        <v>71.666666666666671</v>
      </c>
      <c r="AE94" s="17" t="s">
        <v>194</v>
      </c>
      <c r="AF94" s="17" t="s">
        <v>129</v>
      </c>
      <c r="AG94" s="17"/>
      <c r="AI94" s="17" t="s">
        <v>130</v>
      </c>
      <c r="AJ94" s="21">
        <v>0</v>
      </c>
      <c r="AK94" s="58">
        <v>0</v>
      </c>
      <c r="AL94" s="21">
        <v>0</v>
      </c>
      <c r="AM94" s="58">
        <f t="shared" si="74"/>
        <v>0</v>
      </c>
      <c r="AN94" s="21">
        <v>0</v>
      </c>
      <c r="AO94" s="58">
        <f t="shared" si="76"/>
        <v>0</v>
      </c>
      <c r="AP94" s="21">
        <v>0</v>
      </c>
      <c r="AQ94" s="58">
        <f t="shared" si="77"/>
        <v>0</v>
      </c>
      <c r="AR94" s="21">
        <f>Table1[[#This Row],[Students Per Spring]]</f>
        <v>71.666666666666671</v>
      </c>
      <c r="AS94" s="58">
        <f t="shared" si="78"/>
        <v>14691.666666666668</v>
      </c>
      <c r="AT94" s="21">
        <f>AN94+AP94+AR94</f>
        <v>71.666666666666671</v>
      </c>
      <c r="AU94" s="58">
        <f t="shared" si="89"/>
        <v>14691.666666666668</v>
      </c>
      <c r="AV94" s="21">
        <f>IF(Table1[[#This Row],[Sustainability Check 1 (2017-2018) Status]]="Continued", Table1[[#This Row],[Students Per Summer]], 0)</f>
        <v>71.666666666666671</v>
      </c>
      <c r="AW94" s="58">
        <f>$AA94*AV94</f>
        <v>14691.666666666668</v>
      </c>
      <c r="AX94" s="31">
        <f>IF(Table1[[#This Row],[Sustainability Check 1 (2017-2018) Status]]="Continued", Table1[[#This Row],[Students Per Fall]], 0)</f>
        <v>71.666666666666671</v>
      </c>
      <c r="AY94" s="58">
        <f t="shared" si="91"/>
        <v>14691.666666666668</v>
      </c>
      <c r="AZ94" s="31">
        <f>IF(Table1[[#This Row],[Sustainability Check 1 (2017-2018) Status]]="Continued", Table1[[#This Row],[Students Per Spring]], 0)</f>
        <v>71.666666666666671</v>
      </c>
      <c r="BA94" s="58">
        <f t="shared" si="92"/>
        <v>14691.666666666668</v>
      </c>
      <c r="BB94" s="31">
        <f t="shared" si="93"/>
        <v>215</v>
      </c>
      <c r="BC94" s="58">
        <f t="shared" si="94"/>
        <v>44075</v>
      </c>
      <c r="BD94" s="31">
        <f>IF(Table1[[#This Row],[Sustainability Check 1 (2017-2018) Status]]="Continued", Table1[[#This Row],[Students Per Summer]], 0)</f>
        <v>71.666666666666671</v>
      </c>
      <c r="BE94" s="58">
        <f t="shared" si="95"/>
        <v>14691.666666666668</v>
      </c>
      <c r="BF94" s="31">
        <f>IF(Table1[[#This Row],[Sustainability Check 1 (2017-2018) Status]]="Continued", Table1[[#This Row],[Students Per Fall]], 0)</f>
        <v>71.666666666666671</v>
      </c>
      <c r="BG94" s="58">
        <f t="shared" si="103"/>
        <v>14691.666666666668</v>
      </c>
      <c r="BH94" s="31">
        <f>IF(Table1[[#This Row],[Sustainability Check 1 (2017-2018) Status]]="Continued", Table1[[#This Row],[Students Per Spring]], 0)</f>
        <v>71.666666666666671</v>
      </c>
      <c r="BI94" s="58">
        <f t="shared" si="104"/>
        <v>14691.666666666668</v>
      </c>
      <c r="BJ94" s="31">
        <f t="shared" si="98"/>
        <v>215</v>
      </c>
      <c r="BK94" s="58">
        <f t="shared" si="99"/>
        <v>44075</v>
      </c>
      <c r="BL94" s="58" t="s">
        <v>130</v>
      </c>
      <c r="BM94" s="31">
        <v>20</v>
      </c>
      <c r="BN94" s="31">
        <v>50</v>
      </c>
      <c r="BO94" s="31">
        <v>60</v>
      </c>
      <c r="BP94" s="31">
        <f t="shared" si="75"/>
        <v>130</v>
      </c>
      <c r="BQ94" s="58">
        <v>157.69999999999999</v>
      </c>
      <c r="BR94" s="58">
        <f>Table1[[#This Row],[Check 2 Students Total]]*Table1[[#This Row],[Summer 2018 Price Check]]</f>
        <v>20501</v>
      </c>
      <c r="BS94" s="31">
        <f>IF(Table1[[#This Row],[Sustainability Check 2 (2018-2019) Status]]="Continued", Table1[[#This Row],[Check 2 Students Summer]], 0)</f>
        <v>20</v>
      </c>
      <c r="BT94" s="58">
        <f>Table1[[#This Row],[Summer 2018 Price Check]]*BS94</f>
        <v>3154</v>
      </c>
      <c r="BU94" s="31">
        <f>IF(Table1[[#This Row],[Sustainability Check 2 (2018-2019) Status]]="Continued", Table1[[#This Row],[Check 2 Students Fall]], 0)</f>
        <v>50</v>
      </c>
      <c r="BV94" s="58">
        <f>Table1[[#This Row],[Summer 2018 Price Check]]*BU94</f>
        <v>7884.9999999999991</v>
      </c>
      <c r="BW94" s="21">
        <f>IF(Table1[[#This Row],[Sustainability Check 2 (2018-2019) Status]]="Continued", Table1[Check 2 Students Spring], 0)</f>
        <v>60</v>
      </c>
      <c r="BX94" s="58">
        <f>Table1[[#This Row],[Summer 2018 Price Check]]*Table1[[#This Row],[Spring 2019 Students]]</f>
        <v>9462</v>
      </c>
      <c r="BY94" s="31">
        <f t="shared" si="79"/>
        <v>130</v>
      </c>
      <c r="BZ94" s="58">
        <f t="shared" si="80"/>
        <v>20501</v>
      </c>
      <c r="CA94" s="58" t="s">
        <v>130</v>
      </c>
      <c r="CB94" s="21">
        <v>15</v>
      </c>
      <c r="CC94" s="21">
        <v>30</v>
      </c>
      <c r="CD94" s="21">
        <v>30</v>
      </c>
      <c r="CE94" s="21">
        <f t="shared" si="88"/>
        <v>75</v>
      </c>
      <c r="CF94" s="58">
        <v>172</v>
      </c>
      <c r="CG94" s="58">
        <f t="shared" si="81"/>
        <v>12900</v>
      </c>
      <c r="CH94" s="17" t="s">
        <v>194</v>
      </c>
      <c r="CI94" s="21">
        <f>IF(Table1[[#This Row],[Check 3 Status]]="Continued", Table1[[#This Row],[Check 3 Students Summer]], 0)</f>
        <v>15</v>
      </c>
      <c r="CJ94" s="58">
        <f>Table1[[#This Row],[Check 3 Per Student Savings]]*CI94</f>
        <v>2580</v>
      </c>
      <c r="CK94" s="21">
        <f>IF(Table1[[#This Row],[Check 3 Status]]="Continued", Table1[[#This Row],[Check 3 Students Fall]], 0)</f>
        <v>30</v>
      </c>
      <c r="CL94" s="58">
        <f>Table1[[#This Row],[Check 3 Per Student Savings]]*CK94</f>
        <v>5160</v>
      </c>
      <c r="CM94" s="21">
        <f>IF(Table1[[#This Row],[Check 3 Status]]="Continued", Table1[[#This Row],[Check 3 Students Spring]], 0)</f>
        <v>30</v>
      </c>
      <c r="CN94" s="58">
        <f>Table1[[#This Row],[Check 3 Per Student Savings]]*CM94</f>
        <v>5160</v>
      </c>
      <c r="CO94" s="21">
        <f t="shared" si="82"/>
        <v>75</v>
      </c>
      <c r="CP94" s="58">
        <f t="shared" si="83"/>
        <v>12900</v>
      </c>
      <c r="CQ94" s="58" t="s">
        <v>142</v>
      </c>
      <c r="CR94" s="21">
        <v>15</v>
      </c>
      <c r="CS94" s="21">
        <v>30</v>
      </c>
      <c r="CT94" s="21">
        <v>30</v>
      </c>
      <c r="CU94" s="21">
        <v>0</v>
      </c>
      <c r="CV94" s="58">
        <v>0</v>
      </c>
      <c r="CW94" s="58">
        <f t="shared" si="85"/>
        <v>0</v>
      </c>
      <c r="CX94" s="58"/>
      <c r="CY94" s="21">
        <f>IF(Table1[[#This Row],[Check 4 Status]]="Continued", Table1[[#This Row],[Check 4 Students Summer]], 0)</f>
        <v>0</v>
      </c>
      <c r="CZ94" s="58">
        <f>Table1[[#This Row],[Check 4 Per Student Savings]]*CY94</f>
        <v>0</v>
      </c>
      <c r="DA94" s="21">
        <f>IF(Table1[[#This Row],[Check 4 Status]]="Continued", Table1[[#This Row],[Check 4 Students Fall]], 0)</f>
        <v>0</v>
      </c>
      <c r="DB94" s="58">
        <f>Table1[[#This Row],[Check 4 Per Student Savings]]*DA94</f>
        <v>0</v>
      </c>
      <c r="DC94" s="21">
        <f>IF(Table1[[#This Row],[Check 4 Status]]="Continued", Table1[[#This Row],[Check 4 Students Spring]], 0)</f>
        <v>0</v>
      </c>
      <c r="DD94" s="58">
        <f>Table1[[#This Row],[Check 4 Per Student Savings]]*DC94</f>
        <v>0</v>
      </c>
      <c r="DE94" s="58">
        <f t="shared" si="86"/>
        <v>0</v>
      </c>
      <c r="DF94" s="58">
        <f t="shared" si="87"/>
        <v>0</v>
      </c>
      <c r="DG9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706.66666666666674</v>
      </c>
      <c r="DH9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136242.66666666669</v>
      </c>
      <c r="DI94" s="58">
        <f>Table1[[#This Row],[Grand Total Savings]]/Table1[[#This Row],[Total Award]]</f>
        <v>8.1096825396825416</v>
      </c>
      <c r="DJ94" s="17"/>
      <c r="DK94" s="17"/>
      <c r="DL94" s="17"/>
      <c r="DM94" s="17"/>
      <c r="EC94" s="17"/>
      <c r="ED94" s="17"/>
      <c r="EE94" s="17"/>
      <c r="EF94" s="17"/>
    </row>
    <row r="95" spans="1:136" x14ac:dyDescent="0.25">
      <c r="A95" s="159">
        <v>178</v>
      </c>
      <c r="B95" s="17" t="s">
        <v>2011</v>
      </c>
      <c r="D95" s="97">
        <v>510706</v>
      </c>
      <c r="E95" s="158">
        <v>42487</v>
      </c>
      <c r="F95" s="158">
        <v>42734</v>
      </c>
      <c r="G95" s="157" t="s">
        <v>521</v>
      </c>
      <c r="H95" s="95" t="s">
        <v>9</v>
      </c>
      <c r="I95" s="226" t="s">
        <v>118</v>
      </c>
      <c r="J95" s="17" t="s">
        <v>236</v>
      </c>
      <c r="K95" s="107">
        <v>21200</v>
      </c>
      <c r="L95" s="107"/>
      <c r="M95" s="101" t="s">
        <v>606</v>
      </c>
      <c r="N95" s="101" t="s">
        <v>607</v>
      </c>
      <c r="O95" s="101" t="s">
        <v>608</v>
      </c>
      <c r="P95" s="101" t="s">
        <v>609</v>
      </c>
      <c r="Q95" s="101" t="s">
        <v>148</v>
      </c>
      <c r="R95" s="101" t="s">
        <v>610</v>
      </c>
      <c r="S95" s="101" t="s">
        <v>129</v>
      </c>
      <c r="T95" s="17" t="s">
        <v>129</v>
      </c>
      <c r="U95" s="101" t="s">
        <v>157</v>
      </c>
      <c r="V95" s="17" t="s">
        <v>150</v>
      </c>
      <c r="W95" s="17" t="s">
        <v>150</v>
      </c>
      <c r="X95" s="17" t="s">
        <v>150</v>
      </c>
      <c r="Y95" s="58">
        <v>96000</v>
      </c>
      <c r="Z95" s="31">
        <v>1050</v>
      </c>
      <c r="AA95" s="58">
        <f t="shared" si="90"/>
        <v>91.428571428571431</v>
      </c>
      <c r="AB95" s="21">
        <f t="shared" si="100"/>
        <v>350</v>
      </c>
      <c r="AC95" s="21">
        <f t="shared" si="101"/>
        <v>350</v>
      </c>
      <c r="AD95" s="21">
        <f t="shared" si="102"/>
        <v>350</v>
      </c>
      <c r="AE95" s="17" t="s">
        <v>194</v>
      </c>
      <c r="AF95" s="17" t="s">
        <v>129</v>
      </c>
      <c r="AG95" s="17"/>
      <c r="AI95" s="17" t="s">
        <v>130</v>
      </c>
      <c r="AJ95" s="21">
        <v>0</v>
      </c>
      <c r="AK95" s="58">
        <v>0</v>
      </c>
      <c r="AL95" s="21">
        <v>0</v>
      </c>
      <c r="AM95" s="58">
        <f t="shared" ref="AM95:AM111" si="105">AK95</f>
        <v>0</v>
      </c>
      <c r="AN95" s="21">
        <v>0</v>
      </c>
      <c r="AO95" s="58">
        <f t="shared" si="76"/>
        <v>0</v>
      </c>
      <c r="AP95" s="21">
        <v>0</v>
      </c>
      <c r="AQ95" s="58">
        <f t="shared" si="77"/>
        <v>0</v>
      </c>
      <c r="AR95" s="21">
        <f>Table1[[#This Row],[Students Per Spring]]</f>
        <v>350</v>
      </c>
      <c r="AS95" s="58">
        <f t="shared" si="78"/>
        <v>32000</v>
      </c>
      <c r="AT95" s="21">
        <f>AN95+AP95+AR95</f>
        <v>350</v>
      </c>
      <c r="AU95" s="58">
        <f t="shared" si="89"/>
        <v>32000</v>
      </c>
      <c r="AV95" s="21">
        <f>IF(Table1[[#This Row],[Sustainability Check 1 (2017-2018) Status]]="Continued", Table1[[#This Row],[Students Per Summer]], 0)</f>
        <v>350</v>
      </c>
      <c r="AW95" s="58">
        <f>$AA95*AV95</f>
        <v>32000</v>
      </c>
      <c r="AX95" s="31">
        <f>IF(Table1[[#This Row],[Sustainability Check 1 (2017-2018) Status]]="Continued", Table1[[#This Row],[Students Per Fall]], 0)</f>
        <v>350</v>
      </c>
      <c r="AY95" s="58">
        <f t="shared" si="91"/>
        <v>32000</v>
      </c>
      <c r="AZ95" s="31">
        <f>IF(Table1[[#This Row],[Sustainability Check 1 (2017-2018) Status]]="Continued", Table1[[#This Row],[Students Per Spring]], 0)</f>
        <v>350</v>
      </c>
      <c r="BA95" s="58">
        <f t="shared" si="92"/>
        <v>32000</v>
      </c>
      <c r="BB95" s="31">
        <f t="shared" si="93"/>
        <v>1050</v>
      </c>
      <c r="BC95" s="58">
        <f t="shared" si="94"/>
        <v>96000</v>
      </c>
      <c r="BD95" s="31">
        <f>IF(Table1[[#This Row],[Sustainability Check 1 (2017-2018) Status]]="Continued", Table1[[#This Row],[Students Per Summer]], 0)</f>
        <v>350</v>
      </c>
      <c r="BE95" s="58">
        <f t="shared" si="95"/>
        <v>32000</v>
      </c>
      <c r="BF95" s="31">
        <f>IF(Table1[[#This Row],[Sustainability Check 1 (2017-2018) Status]]="Continued", Table1[[#This Row],[Students Per Fall]], 0)</f>
        <v>350</v>
      </c>
      <c r="BG95" s="58">
        <f t="shared" si="103"/>
        <v>32000</v>
      </c>
      <c r="BH95" s="31">
        <f>IF(Table1[[#This Row],[Sustainability Check 1 (2017-2018) Status]]="Continued", Table1[[#This Row],[Students Per Spring]], 0)</f>
        <v>350</v>
      </c>
      <c r="BI95" s="58">
        <f t="shared" si="104"/>
        <v>32000</v>
      </c>
      <c r="BJ95" s="31">
        <f t="shared" si="98"/>
        <v>1050</v>
      </c>
      <c r="BK95" s="58">
        <f t="shared" si="99"/>
        <v>96000</v>
      </c>
      <c r="BL95" s="58" t="s">
        <v>130</v>
      </c>
      <c r="BM95" s="31">
        <v>25</v>
      </c>
      <c r="BN95" s="31">
        <v>60</v>
      </c>
      <c r="BO95" s="31">
        <v>60</v>
      </c>
      <c r="BP95" s="31">
        <f t="shared" ref="BP95:BP111" si="106">SUM(BM95:BO95)</f>
        <v>145</v>
      </c>
      <c r="BQ95" s="58">
        <v>240.52</v>
      </c>
      <c r="BR95" s="58">
        <f>Table1[[#This Row],[Check 2 Students Total]]*Table1[[#This Row],[Summer 2018 Price Check]]</f>
        <v>34875.4</v>
      </c>
      <c r="BS95" s="31">
        <f>IF(Table1[[#This Row],[Sustainability Check 2 (2018-2019) Status]]="Continued", Table1[[#This Row],[Check 2 Students Summer]], 0)</f>
        <v>25</v>
      </c>
      <c r="BT95" s="58">
        <f>Table1[[#This Row],[Summer 2018 Price Check]]*BS95</f>
        <v>6013</v>
      </c>
      <c r="BU95" s="31">
        <f>IF(Table1[[#This Row],[Sustainability Check 2 (2018-2019) Status]]="Continued", Table1[[#This Row],[Check 2 Students Fall]], 0)</f>
        <v>60</v>
      </c>
      <c r="BV95" s="58">
        <f>Table1[[#This Row],[Summer 2018 Price Check]]*BU95</f>
        <v>14431.2</v>
      </c>
      <c r="BW95" s="21">
        <f>IF(Table1[[#This Row],[Sustainability Check 2 (2018-2019) Status]]="Continued", Table1[Check 2 Students Spring], 0)</f>
        <v>60</v>
      </c>
      <c r="BX95" s="58">
        <f>Table1[[#This Row],[Summer 2018 Price Check]]*Table1[[#This Row],[Spring 2019 Students]]</f>
        <v>14431.2</v>
      </c>
      <c r="BY95" s="31">
        <f t="shared" si="79"/>
        <v>145</v>
      </c>
      <c r="BZ95" s="58">
        <f t="shared" si="80"/>
        <v>34875.4</v>
      </c>
      <c r="CA95" s="58" t="s">
        <v>142</v>
      </c>
      <c r="CB95" s="21">
        <v>0</v>
      </c>
      <c r="CC95" s="21">
        <v>0</v>
      </c>
      <c r="CD95" s="21">
        <v>0</v>
      </c>
      <c r="CE95" s="21">
        <f t="shared" si="88"/>
        <v>0</v>
      </c>
      <c r="CF95" s="58">
        <v>0</v>
      </c>
      <c r="CG95" s="58">
        <f t="shared" si="81"/>
        <v>0</v>
      </c>
      <c r="CH95" s="17" t="s">
        <v>194</v>
      </c>
      <c r="CI95" s="21">
        <f>IF(Table1[[#This Row],[Check 3 Status]]="Continued", Table1[[#This Row],[Check 3 Students Summer]], 0)</f>
        <v>0</v>
      </c>
      <c r="CJ95" s="58">
        <f>Table1[[#This Row],[Check 3 Per Student Savings]]*CI95</f>
        <v>0</v>
      </c>
      <c r="CK95" s="21">
        <f>IF(Table1[[#This Row],[Check 3 Status]]="Continued", Table1[[#This Row],[Check 3 Students Fall]], 0)</f>
        <v>0</v>
      </c>
      <c r="CL95" s="58">
        <f>Table1[[#This Row],[Check 3 Per Student Savings]]*CK95</f>
        <v>0</v>
      </c>
      <c r="CM95" s="21">
        <f>IF(Table1[[#This Row],[Check 3 Status]]="Continued", Table1[[#This Row],[Check 3 Students Spring]], 0)</f>
        <v>0</v>
      </c>
      <c r="CN95" s="58">
        <f>Table1[[#This Row],[Check 3 Per Student Savings]]*CM95</f>
        <v>0</v>
      </c>
      <c r="CO95" s="21">
        <f t="shared" si="82"/>
        <v>0</v>
      </c>
      <c r="CP95" s="58">
        <f t="shared" si="83"/>
        <v>0</v>
      </c>
      <c r="CQ95" s="58" t="s">
        <v>142</v>
      </c>
      <c r="CR95" s="21">
        <v>0</v>
      </c>
      <c r="CS95" s="21">
        <v>0</v>
      </c>
      <c r="CT95" s="21">
        <v>0</v>
      </c>
      <c r="CU95" s="21">
        <f t="shared" si="84"/>
        <v>0</v>
      </c>
      <c r="CV95" s="58">
        <v>0</v>
      </c>
      <c r="CW95" s="58">
        <f t="shared" si="85"/>
        <v>0</v>
      </c>
      <c r="CX95" s="58"/>
      <c r="CY95" s="21">
        <f>IF(Table1[[#This Row],[Check 4 Status]]="Continued", Table1[[#This Row],[Check 4 Students Summer]], 0)</f>
        <v>0</v>
      </c>
      <c r="CZ95" s="58">
        <f>Table1[[#This Row],[Check 4 Per Student Savings]]*CY95</f>
        <v>0</v>
      </c>
      <c r="DA95" s="21">
        <f>IF(Table1[[#This Row],[Check 4 Status]]="Continued", Table1[[#This Row],[Check 4 Students Fall]], 0)</f>
        <v>0</v>
      </c>
      <c r="DB95" s="58">
        <f>Table1[[#This Row],[Check 4 Per Student Savings]]*DA95</f>
        <v>0</v>
      </c>
      <c r="DC95" s="21">
        <f>IF(Table1[[#This Row],[Check 4 Status]]="Continued", Table1[[#This Row],[Check 4 Students Spring]], 0)</f>
        <v>0</v>
      </c>
      <c r="DD95" s="58">
        <f>Table1[[#This Row],[Check 4 Per Student Savings]]*DC95</f>
        <v>0</v>
      </c>
      <c r="DE95" s="58">
        <f t="shared" si="86"/>
        <v>0</v>
      </c>
      <c r="DF95" s="58">
        <f t="shared" si="87"/>
        <v>0</v>
      </c>
      <c r="DG9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2595</v>
      </c>
      <c r="DH9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258875.4</v>
      </c>
      <c r="DI95" s="58">
        <f>Table1[[#This Row],[Grand Total Savings]]/Table1[[#This Row],[Total Award]]</f>
        <v>12.211103773584906</v>
      </c>
      <c r="DJ95" s="17"/>
      <c r="DK95" s="17"/>
      <c r="DL95" s="17"/>
      <c r="DM95" s="17"/>
      <c r="EC95" s="17"/>
      <c r="ED95" s="17"/>
      <c r="EE95" s="17"/>
      <c r="EF95" s="17"/>
    </row>
    <row r="96" spans="1:136" x14ac:dyDescent="0.25">
      <c r="A96" s="159">
        <v>180</v>
      </c>
      <c r="B96" s="17" t="s">
        <v>2011</v>
      </c>
      <c r="D96" s="97">
        <v>510607</v>
      </c>
      <c r="E96" s="158">
        <v>42412</v>
      </c>
      <c r="F96" s="158">
        <v>42515</v>
      </c>
      <c r="G96" s="159" t="s">
        <v>521</v>
      </c>
      <c r="H96" s="95" t="s">
        <v>9</v>
      </c>
      <c r="I96" s="226" t="s">
        <v>118</v>
      </c>
      <c r="J96" s="17" t="s">
        <v>179</v>
      </c>
      <c r="K96" s="107">
        <v>15800</v>
      </c>
      <c r="L96" s="107"/>
      <c r="M96" s="101" t="s">
        <v>188</v>
      </c>
      <c r="N96" s="101" t="s">
        <v>189</v>
      </c>
      <c r="O96" s="101" t="s">
        <v>190</v>
      </c>
      <c r="P96" s="101" t="s">
        <v>191</v>
      </c>
      <c r="Q96" s="101" t="s">
        <v>192</v>
      </c>
      <c r="R96" s="101" t="s">
        <v>129</v>
      </c>
      <c r="S96" s="101" t="s">
        <v>129</v>
      </c>
      <c r="T96" s="17" t="s">
        <v>125</v>
      </c>
      <c r="U96" s="160" t="s">
        <v>193</v>
      </c>
      <c r="V96" s="17" t="s">
        <v>150</v>
      </c>
      <c r="W96" s="17" t="s">
        <v>127</v>
      </c>
      <c r="X96" s="17" t="s">
        <v>127</v>
      </c>
      <c r="Y96" s="58">
        <v>89000</v>
      </c>
      <c r="Z96" s="31">
        <v>1000</v>
      </c>
      <c r="AA96" s="58">
        <f t="shared" si="90"/>
        <v>89</v>
      </c>
      <c r="AB96" s="21">
        <f t="shared" si="100"/>
        <v>333.33333333333331</v>
      </c>
      <c r="AC96" s="21">
        <f t="shared" si="101"/>
        <v>333.33333333333331</v>
      </c>
      <c r="AD96" s="21">
        <f t="shared" si="102"/>
        <v>333.33333333333331</v>
      </c>
      <c r="AE96" s="17" t="s">
        <v>194</v>
      </c>
      <c r="AF96" s="17" t="s">
        <v>129</v>
      </c>
      <c r="AG96" s="17"/>
      <c r="AI96" s="17" t="s">
        <v>130</v>
      </c>
      <c r="AJ96" s="21">
        <v>0</v>
      </c>
      <c r="AK96" s="58">
        <v>0</v>
      </c>
      <c r="AL96" s="21">
        <v>0</v>
      </c>
      <c r="AM96" s="58">
        <f t="shared" si="105"/>
        <v>0</v>
      </c>
      <c r="AN96" s="21">
        <v>0</v>
      </c>
      <c r="AO96" s="58">
        <f t="shared" si="76"/>
        <v>0</v>
      </c>
      <c r="AP96" s="21">
        <v>0</v>
      </c>
      <c r="AQ96" s="58">
        <f t="shared" si="77"/>
        <v>0</v>
      </c>
      <c r="AR96" s="21">
        <f>Table1[[#This Row],[Students Per Spring]]</f>
        <v>333.33333333333331</v>
      </c>
      <c r="AS96" s="58">
        <f t="shared" si="78"/>
        <v>29666.666666666664</v>
      </c>
      <c r="AT96" s="21">
        <f>AN96+AP96+AR96</f>
        <v>333.33333333333331</v>
      </c>
      <c r="AU96" s="58">
        <f t="shared" si="89"/>
        <v>29666.666666666664</v>
      </c>
      <c r="AV96" s="21">
        <f>IF(Table1[[#This Row],[Sustainability Check 1 (2017-2018) Status]]="Continued", Table1[[#This Row],[Students Per Summer]], 0)</f>
        <v>333.33333333333331</v>
      </c>
      <c r="AW96" s="58">
        <f>$AA96*AV96</f>
        <v>29666.666666666664</v>
      </c>
      <c r="AX96" s="31">
        <f>IF(Table1[[#This Row],[Sustainability Check 1 (2017-2018) Status]]="Continued", Table1[[#This Row],[Students Per Fall]], 0)</f>
        <v>333.33333333333331</v>
      </c>
      <c r="AY96" s="58">
        <f t="shared" si="91"/>
        <v>29666.666666666664</v>
      </c>
      <c r="AZ96" s="31">
        <f>IF(Table1[[#This Row],[Sustainability Check 1 (2017-2018) Status]]="Continued", Table1[[#This Row],[Students Per Spring]], 0)</f>
        <v>333.33333333333331</v>
      </c>
      <c r="BA96" s="58">
        <f t="shared" si="92"/>
        <v>29666.666666666664</v>
      </c>
      <c r="BB96" s="31">
        <f t="shared" si="93"/>
        <v>1000</v>
      </c>
      <c r="BC96" s="58">
        <f t="shared" si="94"/>
        <v>89000</v>
      </c>
      <c r="BD96" s="31">
        <f>IF(Table1[[#This Row],[Sustainability Check 1 (2017-2018) Status]]="Continued", Table1[[#This Row],[Students Per Summer]], 0)</f>
        <v>333.33333333333331</v>
      </c>
      <c r="BE96" s="58">
        <f t="shared" si="95"/>
        <v>29666.666666666664</v>
      </c>
      <c r="BF96" s="31">
        <f>IF(Table1[[#This Row],[Sustainability Check 1 (2017-2018) Status]]="Continued", Table1[[#This Row],[Students Per Fall]], 0)</f>
        <v>333.33333333333331</v>
      </c>
      <c r="BG96" s="58">
        <f t="shared" si="103"/>
        <v>29666.666666666664</v>
      </c>
      <c r="BH96" s="31">
        <f>IF(Table1[[#This Row],[Sustainability Check 1 (2017-2018) Status]]="Continued", Table1[[#This Row],[Students Per Spring]], 0)</f>
        <v>333.33333333333331</v>
      </c>
      <c r="BI96" s="58">
        <f t="shared" si="104"/>
        <v>29666.666666666664</v>
      </c>
      <c r="BJ96" s="31">
        <f t="shared" si="98"/>
        <v>1000</v>
      </c>
      <c r="BK96" s="58">
        <f t="shared" si="99"/>
        <v>89000</v>
      </c>
      <c r="BL96" s="58" t="s">
        <v>130</v>
      </c>
      <c r="BM96" s="31">
        <v>60</v>
      </c>
      <c r="BN96" s="31">
        <v>150</v>
      </c>
      <c r="BO96" s="31">
        <v>150</v>
      </c>
      <c r="BP96" s="31">
        <f t="shared" si="106"/>
        <v>360</v>
      </c>
      <c r="BQ96" s="58">
        <v>159.94999999999999</v>
      </c>
      <c r="BR96" s="58">
        <f>Table1[[#This Row],[Check 2 Students Total]]*Table1[[#This Row],[Summer 2018 Price Check]]</f>
        <v>57581.999999999993</v>
      </c>
      <c r="BS96" s="31">
        <f>IF(Table1[[#This Row],[Sustainability Check 2 (2018-2019) Status]]="Continued", Table1[[#This Row],[Check 2 Students Summer]], 0)</f>
        <v>60</v>
      </c>
      <c r="BT96" s="58">
        <f>Table1[[#This Row],[Summer 2018 Price Check]]*BS96</f>
        <v>9597</v>
      </c>
      <c r="BU96" s="31">
        <f>IF(Table1[[#This Row],[Sustainability Check 2 (2018-2019) Status]]="Continued", Table1[[#This Row],[Check 2 Students Fall]], 0)</f>
        <v>150</v>
      </c>
      <c r="BV96" s="58">
        <f>Table1[[#This Row],[Summer 2018 Price Check]]*BU96</f>
        <v>23992.5</v>
      </c>
      <c r="BW96" s="21">
        <f>IF(Table1[[#This Row],[Sustainability Check 2 (2018-2019) Status]]="Continued", Table1[Check 2 Students Spring], 0)</f>
        <v>150</v>
      </c>
      <c r="BX96" s="58">
        <f>Table1[[#This Row],[Summer 2018 Price Check]]*Table1[[#This Row],[Spring 2019 Students]]</f>
        <v>23992.5</v>
      </c>
      <c r="BY96" s="31">
        <f t="shared" si="79"/>
        <v>360</v>
      </c>
      <c r="BZ96" s="58">
        <f t="shared" si="80"/>
        <v>57582</v>
      </c>
      <c r="CA96" s="58" t="s">
        <v>142</v>
      </c>
      <c r="CB96" s="21">
        <v>0</v>
      </c>
      <c r="CC96" s="21">
        <v>0</v>
      </c>
      <c r="CD96" s="21">
        <v>0</v>
      </c>
      <c r="CE96" s="21">
        <f t="shared" si="88"/>
        <v>0</v>
      </c>
      <c r="CF96" s="58">
        <v>0</v>
      </c>
      <c r="CG96" s="58">
        <f t="shared" si="81"/>
        <v>0</v>
      </c>
      <c r="CH96" s="17" t="s">
        <v>194</v>
      </c>
      <c r="CI96" s="21">
        <f>IF(Table1[[#This Row],[Check 3 Status]]="Continued", Table1[[#This Row],[Check 3 Students Summer]], 0)</f>
        <v>0</v>
      </c>
      <c r="CJ96" s="58">
        <f>Table1[[#This Row],[Check 3 Per Student Savings]]*CI96</f>
        <v>0</v>
      </c>
      <c r="CK96" s="21">
        <f>IF(Table1[[#This Row],[Check 3 Status]]="Continued", Table1[[#This Row],[Check 3 Students Fall]], 0)</f>
        <v>0</v>
      </c>
      <c r="CL96" s="58">
        <f>Table1[[#This Row],[Check 3 Per Student Savings]]*CK96</f>
        <v>0</v>
      </c>
      <c r="CM96" s="21">
        <f>IF(Table1[[#This Row],[Check 3 Status]]="Continued", Table1[[#This Row],[Check 3 Students Spring]], 0)</f>
        <v>0</v>
      </c>
      <c r="CN96" s="58">
        <f>Table1[[#This Row],[Check 3 Per Student Savings]]*CM96</f>
        <v>0</v>
      </c>
      <c r="CO96" s="21">
        <f t="shared" si="82"/>
        <v>0</v>
      </c>
      <c r="CP96" s="58">
        <f t="shared" si="83"/>
        <v>0</v>
      </c>
      <c r="CQ96" s="58" t="s">
        <v>142</v>
      </c>
      <c r="CR96" s="21">
        <v>0</v>
      </c>
      <c r="CS96" s="21">
        <v>0</v>
      </c>
      <c r="CT96" s="21">
        <v>0</v>
      </c>
      <c r="CU96" s="21">
        <f t="shared" si="84"/>
        <v>0</v>
      </c>
      <c r="CV96" s="58">
        <v>0</v>
      </c>
      <c r="CW96" s="58">
        <f t="shared" si="85"/>
        <v>0</v>
      </c>
      <c r="CX96" s="58"/>
      <c r="CY96" s="21">
        <f>IF(Table1[[#This Row],[Check 4 Status]]="Continued", Table1[[#This Row],[Check 4 Students Summer]], 0)</f>
        <v>0</v>
      </c>
      <c r="CZ96" s="58">
        <f>Table1[[#This Row],[Check 4 Per Student Savings]]*CY96</f>
        <v>0</v>
      </c>
      <c r="DA96" s="21">
        <f>IF(Table1[[#This Row],[Check 4 Status]]="Continued", Table1[[#This Row],[Check 4 Students Fall]], 0)</f>
        <v>0</v>
      </c>
      <c r="DB96" s="58">
        <f>Table1[[#This Row],[Check 4 Per Student Savings]]*DA96</f>
        <v>0</v>
      </c>
      <c r="DC96" s="21">
        <f>IF(Table1[[#This Row],[Check 4 Status]]="Continued", Table1[[#This Row],[Check 4 Students Spring]], 0)</f>
        <v>0</v>
      </c>
      <c r="DD96" s="58">
        <f>Table1[[#This Row],[Check 4 Per Student Savings]]*DC96</f>
        <v>0</v>
      </c>
      <c r="DE96" s="58">
        <f t="shared" si="86"/>
        <v>0</v>
      </c>
      <c r="DF96" s="58">
        <f t="shared" si="87"/>
        <v>0</v>
      </c>
      <c r="DG9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2693.333333333333</v>
      </c>
      <c r="DH9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265248.66666666663</v>
      </c>
      <c r="DI96" s="58">
        <f>Table1[[#This Row],[Grand Total Savings]]/Table1[[#This Row],[Total Award]]</f>
        <v>16.787890295358647</v>
      </c>
      <c r="DJ96" s="17"/>
      <c r="DK96" s="17"/>
      <c r="DL96" s="17"/>
      <c r="DM96" s="17"/>
      <c r="EC96" s="17"/>
      <c r="ED96" s="17"/>
      <c r="EE96" s="17"/>
      <c r="EF96" s="17"/>
    </row>
    <row r="97" spans="1:136" x14ac:dyDescent="0.25">
      <c r="A97" s="159">
        <v>181</v>
      </c>
      <c r="B97" s="17" t="s">
        <v>2011</v>
      </c>
      <c r="D97" s="97">
        <v>510606</v>
      </c>
      <c r="E97" s="158">
        <v>42412</v>
      </c>
      <c r="F97" s="158">
        <v>42886</v>
      </c>
      <c r="G97" s="159" t="s">
        <v>521</v>
      </c>
      <c r="H97" s="95" t="s">
        <v>9</v>
      </c>
      <c r="I97" s="226" t="s">
        <v>118</v>
      </c>
      <c r="J97" s="17" t="s">
        <v>179</v>
      </c>
      <c r="K97" s="107">
        <v>15800</v>
      </c>
      <c r="L97" s="107"/>
      <c r="M97" s="101" t="s">
        <v>611</v>
      </c>
      <c r="N97" s="101" t="s">
        <v>612</v>
      </c>
      <c r="O97" s="101" t="s">
        <v>613</v>
      </c>
      <c r="P97" s="101" t="s">
        <v>599</v>
      </c>
      <c r="Q97" s="101" t="s">
        <v>272</v>
      </c>
      <c r="R97" s="101" t="s">
        <v>614</v>
      </c>
      <c r="S97" s="160" t="s">
        <v>36</v>
      </c>
      <c r="T97" s="17" t="s">
        <v>125</v>
      </c>
      <c r="U97" s="160" t="s">
        <v>274</v>
      </c>
      <c r="V97" s="17" t="s">
        <v>150</v>
      </c>
      <c r="W97" s="17" t="s">
        <v>127</v>
      </c>
      <c r="X97" s="17" t="s">
        <v>139</v>
      </c>
      <c r="Y97" s="58">
        <v>73800</v>
      </c>
      <c r="Z97" s="17">
        <v>300</v>
      </c>
      <c r="AA97" s="58">
        <f t="shared" si="90"/>
        <v>246</v>
      </c>
      <c r="AB97" s="21">
        <f t="shared" si="100"/>
        <v>100</v>
      </c>
      <c r="AC97" s="21">
        <f t="shared" si="101"/>
        <v>100</v>
      </c>
      <c r="AD97" s="21">
        <f t="shared" si="102"/>
        <v>100</v>
      </c>
      <c r="AE97" s="17" t="s">
        <v>194</v>
      </c>
      <c r="AF97" s="17" t="s">
        <v>129</v>
      </c>
      <c r="AG97" s="17"/>
      <c r="AI97" s="17" t="s">
        <v>130</v>
      </c>
      <c r="AJ97" s="21">
        <v>0</v>
      </c>
      <c r="AK97" s="58">
        <v>0</v>
      </c>
      <c r="AL97" s="21">
        <v>0</v>
      </c>
      <c r="AM97" s="58">
        <f t="shared" si="105"/>
        <v>0</v>
      </c>
      <c r="AN97" s="21">
        <v>0</v>
      </c>
      <c r="AO97" s="58">
        <f t="shared" si="76"/>
        <v>0</v>
      </c>
      <c r="AP97" s="21">
        <v>0</v>
      </c>
      <c r="AQ97" s="58">
        <f t="shared" si="77"/>
        <v>0</v>
      </c>
      <c r="AR97" s="21">
        <f>Table1[[#This Row],[Students Per Spring]]</f>
        <v>100</v>
      </c>
      <c r="AS97" s="58">
        <f t="shared" si="78"/>
        <v>24600</v>
      </c>
      <c r="AT97" s="21">
        <f>AN97+AP97+AR97</f>
        <v>100</v>
      </c>
      <c r="AU97" s="58">
        <f t="shared" si="89"/>
        <v>24600</v>
      </c>
      <c r="AV97" s="21">
        <f>IF(Table1[[#This Row],[Sustainability Check 1 (2017-2018) Status]]="Continued", Table1[[#This Row],[Students Per Summer]], 0)</f>
        <v>100</v>
      </c>
      <c r="AW97" s="58">
        <f>$AA97*AV97</f>
        <v>24600</v>
      </c>
      <c r="AX97" s="31">
        <f>IF(Table1[[#This Row],[Sustainability Check 1 (2017-2018) Status]]="Continued", Table1[[#This Row],[Students Per Fall]], 0)</f>
        <v>100</v>
      </c>
      <c r="AY97" s="58">
        <f t="shared" si="91"/>
        <v>24600</v>
      </c>
      <c r="AZ97" s="31">
        <f>IF(Table1[[#This Row],[Sustainability Check 1 (2017-2018) Status]]="Continued", Table1[[#This Row],[Students Per Spring]], 0)</f>
        <v>100</v>
      </c>
      <c r="BA97" s="58">
        <f t="shared" si="92"/>
        <v>24600</v>
      </c>
      <c r="BB97" s="31">
        <f t="shared" si="93"/>
        <v>300</v>
      </c>
      <c r="BC97" s="58">
        <f t="shared" si="94"/>
        <v>73800</v>
      </c>
      <c r="BD97" s="31">
        <f>IF(Table1[[#This Row],[Sustainability Check 1 (2017-2018) Status]]="Continued", Table1[[#This Row],[Students Per Summer]], 0)</f>
        <v>100</v>
      </c>
      <c r="BE97" s="58">
        <f t="shared" si="95"/>
        <v>24600</v>
      </c>
      <c r="BF97" s="31">
        <f>IF(Table1[[#This Row],[Sustainability Check 1 (2017-2018) Status]]="Continued", Table1[[#This Row],[Students Per Fall]], 0)</f>
        <v>100</v>
      </c>
      <c r="BG97" s="58">
        <f t="shared" si="103"/>
        <v>24600</v>
      </c>
      <c r="BH97" s="31">
        <f>IF(Table1[[#This Row],[Sustainability Check 1 (2017-2018) Status]]="Continued", Table1[[#This Row],[Students Per Spring]], 0)</f>
        <v>100</v>
      </c>
      <c r="BI97" s="58">
        <f t="shared" si="104"/>
        <v>24600</v>
      </c>
      <c r="BJ97" s="31">
        <f t="shared" si="98"/>
        <v>300</v>
      </c>
      <c r="BK97" s="58">
        <f t="shared" si="99"/>
        <v>73800</v>
      </c>
      <c r="BL97" s="58" t="s">
        <v>130</v>
      </c>
      <c r="BM97" s="31">
        <v>25</v>
      </c>
      <c r="BN97" s="31">
        <v>100</v>
      </c>
      <c r="BO97" s="31">
        <v>100</v>
      </c>
      <c r="BP97" s="31">
        <f t="shared" si="106"/>
        <v>225</v>
      </c>
      <c r="BQ97" s="58">
        <v>287.95</v>
      </c>
      <c r="BR97" s="58">
        <f>Table1[[#This Row],[Check 2 Students Total]]*Table1[[#This Row],[Summer 2018 Price Check]]</f>
        <v>64788.75</v>
      </c>
      <c r="BS97" s="31">
        <f>IF(Table1[[#This Row],[Sustainability Check 2 (2018-2019) Status]]="Continued", Table1[[#This Row],[Check 2 Students Summer]], 0)</f>
        <v>25</v>
      </c>
      <c r="BT97" s="58">
        <f>Table1[[#This Row],[Summer 2018 Price Check]]*BS97</f>
        <v>7198.75</v>
      </c>
      <c r="BU97" s="31">
        <f>IF(Table1[[#This Row],[Sustainability Check 2 (2018-2019) Status]]="Continued", Table1[[#This Row],[Check 2 Students Fall]], 0)</f>
        <v>100</v>
      </c>
      <c r="BV97" s="58">
        <f>Table1[[#This Row],[Summer 2018 Price Check]]*BU97</f>
        <v>28795</v>
      </c>
      <c r="BW97" s="21">
        <f>IF(Table1[[#This Row],[Sustainability Check 2 (2018-2019) Status]]="Continued", Table1[Check 2 Students Spring], 0)</f>
        <v>100</v>
      </c>
      <c r="BX97" s="58">
        <f>Table1[[#This Row],[Summer 2018 Price Check]]*Table1[[#This Row],[Spring 2019 Students]]</f>
        <v>28795</v>
      </c>
      <c r="BY97" s="31">
        <f t="shared" si="79"/>
        <v>225</v>
      </c>
      <c r="BZ97" s="58">
        <f t="shared" si="80"/>
        <v>64788.75</v>
      </c>
      <c r="CA97" s="58" t="s">
        <v>130</v>
      </c>
      <c r="CB97" s="21">
        <v>40</v>
      </c>
      <c r="CC97" s="21">
        <v>84</v>
      </c>
      <c r="CD97" s="21">
        <v>84</v>
      </c>
      <c r="CE97" s="21">
        <f t="shared" si="88"/>
        <v>208</v>
      </c>
      <c r="CF97" s="58">
        <v>246</v>
      </c>
      <c r="CG97" s="58">
        <f t="shared" si="81"/>
        <v>51168</v>
      </c>
      <c r="CH97" s="17" t="s">
        <v>194</v>
      </c>
      <c r="CI97" s="21">
        <f>IF(Table1[[#This Row],[Check 3 Status]]="Continued", Table1[[#This Row],[Check 3 Students Summer]], 0)</f>
        <v>40</v>
      </c>
      <c r="CJ97" s="58">
        <f>Table1[[#This Row],[Check 3 Per Student Savings]]*CI97</f>
        <v>9840</v>
      </c>
      <c r="CK97" s="21">
        <f>IF(Table1[[#This Row],[Check 3 Status]]="Continued", Table1[[#This Row],[Check 3 Students Fall]], 0)</f>
        <v>84</v>
      </c>
      <c r="CL97" s="58">
        <f>Table1[[#This Row],[Check 3 Per Student Savings]]*CK97</f>
        <v>20664</v>
      </c>
      <c r="CM97" s="21">
        <f>IF(Table1[[#This Row],[Check 3 Status]]="Continued", Table1[[#This Row],[Check 3 Students Spring]], 0)</f>
        <v>84</v>
      </c>
      <c r="CN97" s="58">
        <f>Table1[[#This Row],[Check 3 Per Student Savings]]*CM97</f>
        <v>20664</v>
      </c>
      <c r="CO97" s="21">
        <f t="shared" si="82"/>
        <v>208</v>
      </c>
      <c r="CP97" s="58">
        <f t="shared" si="83"/>
        <v>51168</v>
      </c>
      <c r="CQ97" s="58" t="s">
        <v>130</v>
      </c>
      <c r="CR97" s="21">
        <v>40</v>
      </c>
      <c r="CS97" s="21">
        <v>84</v>
      </c>
      <c r="CT97" s="21">
        <v>84</v>
      </c>
      <c r="CU97" s="21">
        <f t="shared" si="84"/>
        <v>208</v>
      </c>
      <c r="CV97" s="58">
        <v>246</v>
      </c>
      <c r="CW97" s="58">
        <f t="shared" si="85"/>
        <v>51168</v>
      </c>
      <c r="CX97" s="58"/>
      <c r="CY97" s="21">
        <f>IF(Table1[[#This Row],[Check 4 Status]]="Continued", Table1[[#This Row],[Check 4 Students Summer]], 0)</f>
        <v>40</v>
      </c>
      <c r="CZ97" s="58">
        <f>Table1[[#This Row],[Check 4 Per Student Savings]]*CY97</f>
        <v>9840</v>
      </c>
      <c r="DA97" s="21">
        <f>IF(Table1[[#This Row],[Check 4 Status]]="Continued", Table1[[#This Row],[Check 4 Students Fall]], 0)</f>
        <v>84</v>
      </c>
      <c r="DB97" s="58">
        <f>Table1[[#This Row],[Check 4 Per Student Savings]]*DA97</f>
        <v>20664</v>
      </c>
      <c r="DC97" s="21">
        <f>IF(Table1[[#This Row],[Check 4 Status]]="Continued", Table1[[#This Row],[Check 4 Students Spring]], 0)</f>
        <v>84</v>
      </c>
      <c r="DD97" s="58">
        <f>Table1[[#This Row],[Check 4 Per Student Savings]]*DC97</f>
        <v>20664</v>
      </c>
      <c r="DE97" s="58">
        <f t="shared" si="86"/>
        <v>208</v>
      </c>
      <c r="DF97" s="58">
        <f t="shared" si="87"/>
        <v>51168</v>
      </c>
      <c r="DG9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1341</v>
      </c>
      <c r="DH9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339324.75</v>
      </c>
      <c r="DI97" s="58">
        <f>Table1[[#This Row],[Grand Total Savings]]/Table1[[#This Row],[Total Award]]</f>
        <v>21.47625</v>
      </c>
      <c r="DJ97" s="17"/>
      <c r="DK97" s="17"/>
      <c r="DL97" s="17"/>
      <c r="DM97" s="17"/>
      <c r="EC97" s="17"/>
      <c r="ED97" s="17"/>
      <c r="EE97" s="17"/>
      <c r="EF97" s="17"/>
    </row>
    <row r="98" spans="1:136" x14ac:dyDescent="0.25">
      <c r="A98" s="159">
        <v>182</v>
      </c>
      <c r="B98" s="17" t="s">
        <v>2011</v>
      </c>
      <c r="D98" s="97">
        <v>510608</v>
      </c>
      <c r="E98" s="158">
        <v>42486</v>
      </c>
      <c r="F98" s="165">
        <v>43180</v>
      </c>
      <c r="G98" s="159" t="s">
        <v>521</v>
      </c>
      <c r="H98" s="95" t="s">
        <v>9</v>
      </c>
      <c r="I98" s="226" t="s">
        <v>118</v>
      </c>
      <c r="J98" s="17" t="s">
        <v>132</v>
      </c>
      <c r="K98" s="107">
        <v>30000</v>
      </c>
      <c r="L98" s="107"/>
      <c r="M98" s="101" t="s">
        <v>615</v>
      </c>
      <c r="N98" s="101" t="s">
        <v>616</v>
      </c>
      <c r="O98" s="101" t="s">
        <v>617</v>
      </c>
      <c r="P98" s="101" t="s">
        <v>618</v>
      </c>
      <c r="Q98" s="101" t="s">
        <v>206</v>
      </c>
      <c r="R98" s="101" t="s">
        <v>129</v>
      </c>
      <c r="S98" s="160" t="s">
        <v>36</v>
      </c>
      <c r="T98" s="17" t="s">
        <v>129</v>
      </c>
      <c r="U98" s="101" t="s">
        <v>287</v>
      </c>
      <c r="V98" s="17" t="s">
        <v>150</v>
      </c>
      <c r="W98" s="17" t="s">
        <v>127</v>
      </c>
      <c r="X98" s="17" t="s">
        <v>139</v>
      </c>
      <c r="Y98" s="58">
        <v>344520</v>
      </c>
      <c r="Z98" s="31">
        <v>1160</v>
      </c>
      <c r="AA98" s="58">
        <f t="shared" si="90"/>
        <v>297</v>
      </c>
      <c r="AB98" s="21">
        <f t="shared" si="100"/>
        <v>386.66666666666669</v>
      </c>
      <c r="AC98" s="21">
        <f t="shared" si="101"/>
        <v>386.66666666666669</v>
      </c>
      <c r="AD98" s="21">
        <f t="shared" si="102"/>
        <v>386.66666666666669</v>
      </c>
      <c r="AE98" s="17" t="s">
        <v>537</v>
      </c>
      <c r="AF98" s="17" t="s">
        <v>129</v>
      </c>
      <c r="AG98" s="17"/>
      <c r="AI98" s="17" t="s">
        <v>130</v>
      </c>
      <c r="AJ98" s="21">
        <v>0</v>
      </c>
      <c r="AK98" s="58">
        <v>0</v>
      </c>
      <c r="AL98" s="21">
        <v>0</v>
      </c>
      <c r="AM98" s="58">
        <f t="shared" si="105"/>
        <v>0</v>
      </c>
      <c r="AN98" s="21">
        <v>0</v>
      </c>
      <c r="AO98" s="58">
        <f t="shared" ref="AO98:AO111" si="107">$AA98*AN98</f>
        <v>0</v>
      </c>
      <c r="AP98" s="21">
        <v>0</v>
      </c>
      <c r="AQ98" s="58">
        <f t="shared" ref="AQ98:AQ111" si="108">$AA98*AP98</f>
        <v>0</v>
      </c>
      <c r="AR98" s="21">
        <v>0</v>
      </c>
      <c r="AS98" s="58">
        <f t="shared" ref="AS98:AS111" si="109">$AA98*AR98</f>
        <v>0</v>
      </c>
      <c r="AT98" s="21">
        <v>0</v>
      </c>
      <c r="AU98" s="58">
        <f t="shared" si="89"/>
        <v>0</v>
      </c>
      <c r="AV98" s="21">
        <v>0</v>
      </c>
      <c r="AW98" s="58">
        <v>0</v>
      </c>
      <c r="AX98" s="31">
        <f>Table1[[#This Row],[Students Per Fall]]</f>
        <v>386.66666666666669</v>
      </c>
      <c r="AY98" s="58">
        <f t="shared" si="91"/>
        <v>114840</v>
      </c>
      <c r="AZ98" s="31">
        <f>IF(Table1[[#This Row],[Sustainability Check 1 (2017-2018) Status]]="Continued", Table1[[#This Row],[Students Per Spring]], 0)</f>
        <v>386.66666666666669</v>
      </c>
      <c r="BA98" s="58">
        <f t="shared" si="92"/>
        <v>114840</v>
      </c>
      <c r="BB98" s="31">
        <f t="shared" si="93"/>
        <v>773.33333333333337</v>
      </c>
      <c r="BC98" s="58">
        <f t="shared" si="94"/>
        <v>229680</v>
      </c>
      <c r="BD98" s="31">
        <f>IF(Table1[[#This Row],[Sustainability Check 1 (2017-2018) Status]]="Continued", Table1[[#This Row],[Students Per Summer]], 0)</f>
        <v>386.66666666666669</v>
      </c>
      <c r="BE98" s="58">
        <f t="shared" si="95"/>
        <v>114840</v>
      </c>
      <c r="BF98" s="31">
        <f>IF(Table1[[#This Row],[Sustainability Check 1 (2017-2018) Status]]="Continued", Table1[[#This Row],[Students Per Fall]], 0)</f>
        <v>386.66666666666669</v>
      </c>
      <c r="BG98" s="58">
        <f t="shared" si="103"/>
        <v>114840</v>
      </c>
      <c r="BH98" s="31">
        <f>IF(Table1[[#This Row],[Sustainability Check 1 (2017-2018) Status]]="Continued", Table1[[#This Row],[Students Per Spring]], 0)</f>
        <v>386.66666666666669</v>
      </c>
      <c r="BI98" s="58">
        <f t="shared" si="104"/>
        <v>114840</v>
      </c>
      <c r="BJ98" s="31">
        <f t="shared" si="98"/>
        <v>1160</v>
      </c>
      <c r="BK98" s="58">
        <f t="shared" si="99"/>
        <v>344520</v>
      </c>
      <c r="BL98" s="58" t="s">
        <v>130</v>
      </c>
      <c r="BM98" s="31">
        <v>27</v>
      </c>
      <c r="BN98" s="31">
        <v>62</v>
      </c>
      <c r="BO98" s="31">
        <v>50</v>
      </c>
      <c r="BP98" s="31">
        <f t="shared" si="106"/>
        <v>139</v>
      </c>
      <c r="BQ98" s="58">
        <v>194.5</v>
      </c>
      <c r="BR98" s="58">
        <f>Table1[[#This Row],[Check 2 Students Total]]*Table1[[#This Row],[Summer 2018 Price Check]]</f>
        <v>27035.5</v>
      </c>
      <c r="BS98" s="31">
        <f>IF(Table1[[#This Row],[Sustainability Check 2 (2018-2019) Status]]="Continued", Table1[[#This Row],[Check 2 Students Summer]], 0)</f>
        <v>27</v>
      </c>
      <c r="BT98" s="58">
        <f>Table1[[#This Row],[Summer 2018 Price Check]]*BS98</f>
        <v>5251.5</v>
      </c>
      <c r="BU98" s="31">
        <f>IF(Table1[[#This Row],[Sustainability Check 2 (2018-2019) Status]]="Continued", Table1[[#This Row],[Check 2 Students Fall]], 0)</f>
        <v>62</v>
      </c>
      <c r="BV98" s="58">
        <f>Table1[[#This Row],[Summer 2018 Price Check]]*BU98</f>
        <v>12059</v>
      </c>
      <c r="BW98" s="21">
        <f>IF(Table1[[#This Row],[Sustainability Check 2 (2018-2019) Status]]="Continued", Table1[Check 2 Students Spring], 0)</f>
        <v>50</v>
      </c>
      <c r="BX98" s="58">
        <f>Table1[[#This Row],[Summer 2018 Price Check]]*Table1[[#This Row],[Spring 2019 Students]]</f>
        <v>9725</v>
      </c>
      <c r="BY98" s="31">
        <f t="shared" si="79"/>
        <v>139</v>
      </c>
      <c r="BZ98" s="58">
        <f t="shared" si="80"/>
        <v>27035.5</v>
      </c>
      <c r="CA98" s="58" t="s">
        <v>130</v>
      </c>
      <c r="CB98" s="21">
        <v>24</v>
      </c>
      <c r="CC98" s="21">
        <v>60</v>
      </c>
      <c r="CD98" s="21">
        <v>0</v>
      </c>
      <c r="CE98" s="21">
        <f t="shared" ref="CE98:CE129" si="110">CB98+CC98+CD98</f>
        <v>84</v>
      </c>
      <c r="CF98" s="58">
        <v>297</v>
      </c>
      <c r="CG98" s="58">
        <f t="shared" si="81"/>
        <v>24948</v>
      </c>
      <c r="CH98" s="17" t="s">
        <v>537</v>
      </c>
      <c r="CI98" s="21">
        <f>IF(Table1[[#This Row],[Check 3 Status]]="Continued", Table1[[#This Row],[Check 3 Students Summer]], 0)</f>
        <v>24</v>
      </c>
      <c r="CJ98" s="58">
        <f>Table1[[#This Row],[Check 3 Per Student Savings]]*CI98</f>
        <v>7128</v>
      </c>
      <c r="CK98" s="21">
        <f>IF(Table1[[#This Row],[Check 3 Status]]="Continued", Table1[[#This Row],[Check 3 Students Fall]], 0)</f>
        <v>60</v>
      </c>
      <c r="CL98" s="58">
        <f>Table1[[#This Row],[Check 3 Per Student Savings]]*CK98</f>
        <v>17820</v>
      </c>
      <c r="CM98" s="21">
        <f>IF(Table1[[#This Row],[Check 3 Status]]="Continued", Table1[[#This Row],[Check 3 Students Spring]], 0)</f>
        <v>0</v>
      </c>
      <c r="CN98" s="58">
        <f>Table1[[#This Row],[Check 3 Per Student Savings]]*CM98</f>
        <v>0</v>
      </c>
      <c r="CO98" s="21">
        <f t="shared" si="82"/>
        <v>84</v>
      </c>
      <c r="CP98" s="58">
        <f t="shared" si="83"/>
        <v>24948</v>
      </c>
      <c r="CQ98" s="58" t="s">
        <v>1777</v>
      </c>
      <c r="CR98" s="21">
        <v>24</v>
      </c>
      <c r="CS98" s="21">
        <v>60</v>
      </c>
      <c r="CT98" s="21">
        <v>0</v>
      </c>
      <c r="CU98" s="21">
        <v>0</v>
      </c>
      <c r="CV98" s="58">
        <v>0</v>
      </c>
      <c r="CW98" s="58">
        <f t="shared" si="85"/>
        <v>0</v>
      </c>
      <c r="CX98" s="58"/>
      <c r="CY98" s="21">
        <f>IF(Table1[[#This Row],[Check 4 Status]]="Continued", Table1[[#This Row],[Check 4 Students Summer]], 0)</f>
        <v>0</v>
      </c>
      <c r="CZ98" s="58">
        <f>Table1[[#This Row],[Check 4 Per Student Savings]]*CY98</f>
        <v>0</v>
      </c>
      <c r="DA98" s="21">
        <f>IF(Table1[[#This Row],[Check 4 Status]]="Continued", Table1[[#This Row],[Check 4 Students Fall]], 0)</f>
        <v>0</v>
      </c>
      <c r="DB98" s="58">
        <f>Table1[[#This Row],[Check 4 Per Student Savings]]*DA98</f>
        <v>0</v>
      </c>
      <c r="DC98" s="21">
        <f>IF(Table1[[#This Row],[Check 4 Status]]="Continued", Table1[[#This Row],[Check 4 Students Spring]], 0)</f>
        <v>0</v>
      </c>
      <c r="DD98" s="58">
        <f>Table1[[#This Row],[Check 4 Per Student Savings]]*DC98</f>
        <v>0</v>
      </c>
      <c r="DE98" s="58">
        <f t="shared" si="86"/>
        <v>0</v>
      </c>
      <c r="DF98" s="58">
        <f t="shared" si="87"/>
        <v>0</v>
      </c>
      <c r="DG9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2156.3333333333335</v>
      </c>
      <c r="DH9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626183.5</v>
      </c>
      <c r="DI98" s="58">
        <f>Table1[[#This Row],[Grand Total Savings]]/Table1[[#This Row],[Total Award]]</f>
        <v>20.872783333333334</v>
      </c>
      <c r="DJ98" s="17"/>
      <c r="DK98" s="17"/>
      <c r="DL98" s="17"/>
      <c r="DM98" s="17"/>
      <c r="EC98" s="17"/>
      <c r="ED98" s="17"/>
      <c r="EE98" s="17"/>
      <c r="EF98" s="17"/>
    </row>
    <row r="99" spans="1:136" x14ac:dyDescent="0.25">
      <c r="A99" s="159">
        <v>183</v>
      </c>
      <c r="B99" s="17" t="s">
        <v>2011</v>
      </c>
      <c r="D99" s="97">
        <v>510600</v>
      </c>
      <c r="E99" s="158">
        <v>42411</v>
      </c>
      <c r="F99" s="158">
        <v>42506</v>
      </c>
      <c r="G99" s="159" t="s">
        <v>521</v>
      </c>
      <c r="H99" s="95" t="s">
        <v>9</v>
      </c>
      <c r="I99" s="226" t="s">
        <v>118</v>
      </c>
      <c r="J99" s="17" t="s">
        <v>210</v>
      </c>
      <c r="K99" s="107">
        <v>15800</v>
      </c>
      <c r="L99" s="107"/>
      <c r="M99" s="101" t="s">
        <v>211</v>
      </c>
      <c r="N99" s="101" t="s">
        <v>212</v>
      </c>
      <c r="O99" s="101" t="s">
        <v>362</v>
      </c>
      <c r="P99" s="101" t="s">
        <v>619</v>
      </c>
      <c r="Q99" s="101" t="s">
        <v>148</v>
      </c>
      <c r="R99" s="101" t="s">
        <v>129</v>
      </c>
      <c r="S99" s="101" t="s">
        <v>129</v>
      </c>
      <c r="T99" s="17" t="s">
        <v>129</v>
      </c>
      <c r="U99" s="160" t="s">
        <v>620</v>
      </c>
      <c r="V99" s="17" t="s">
        <v>139</v>
      </c>
      <c r="W99" s="17" t="s">
        <v>127</v>
      </c>
      <c r="X99" s="17" t="s">
        <v>150</v>
      </c>
      <c r="Y99" s="58">
        <v>210000</v>
      </c>
      <c r="Z99" s="31">
        <v>1050</v>
      </c>
      <c r="AA99" s="58">
        <f t="shared" si="90"/>
        <v>200</v>
      </c>
      <c r="AB99" s="21">
        <f t="shared" si="100"/>
        <v>350</v>
      </c>
      <c r="AC99" s="21">
        <f t="shared" si="101"/>
        <v>350</v>
      </c>
      <c r="AD99" s="21">
        <f t="shared" si="102"/>
        <v>350</v>
      </c>
      <c r="AE99" s="17" t="s">
        <v>194</v>
      </c>
      <c r="AF99" s="17" t="s">
        <v>129</v>
      </c>
      <c r="AG99" s="17"/>
      <c r="AI99" s="17" t="s">
        <v>130</v>
      </c>
      <c r="AJ99" s="21">
        <v>0</v>
      </c>
      <c r="AK99" s="58">
        <v>0</v>
      </c>
      <c r="AL99" s="21">
        <v>0</v>
      </c>
      <c r="AM99" s="58">
        <f t="shared" si="105"/>
        <v>0</v>
      </c>
      <c r="AN99" s="21">
        <v>0</v>
      </c>
      <c r="AO99" s="58">
        <f t="shared" si="107"/>
        <v>0</v>
      </c>
      <c r="AP99" s="21">
        <v>0</v>
      </c>
      <c r="AQ99" s="58">
        <f t="shared" si="108"/>
        <v>0</v>
      </c>
      <c r="AR99" s="21">
        <f>Table1[[#This Row],[Students Per Spring]]</f>
        <v>350</v>
      </c>
      <c r="AS99" s="58">
        <f t="shared" si="109"/>
        <v>70000</v>
      </c>
      <c r="AT99" s="21">
        <f>AN99+AP99+AR99</f>
        <v>350</v>
      </c>
      <c r="AU99" s="58">
        <f t="shared" si="89"/>
        <v>70000</v>
      </c>
      <c r="AV99" s="21">
        <f>IF(Table1[[#This Row],[Sustainability Check 1 (2017-2018) Status]]="Continued", Table1[[#This Row],[Students Per Summer]], 0)</f>
        <v>350</v>
      </c>
      <c r="AW99" s="58">
        <f>$AA99*AV99</f>
        <v>70000</v>
      </c>
      <c r="AX99" s="31">
        <f>IF(Table1[[#This Row],[Sustainability Check 1 (2017-2018) Status]]="Continued", Table1[[#This Row],[Students Per Fall]], 0)</f>
        <v>350</v>
      </c>
      <c r="AY99" s="58">
        <f t="shared" si="91"/>
        <v>70000</v>
      </c>
      <c r="AZ99" s="31">
        <f>IF(Table1[[#This Row],[Sustainability Check 1 (2017-2018) Status]]="Continued", Table1[[#This Row],[Students Per Spring]], 0)</f>
        <v>350</v>
      </c>
      <c r="BA99" s="58">
        <f t="shared" si="92"/>
        <v>70000</v>
      </c>
      <c r="BB99" s="31">
        <f t="shared" si="93"/>
        <v>1050</v>
      </c>
      <c r="BC99" s="58">
        <f t="shared" si="94"/>
        <v>210000</v>
      </c>
      <c r="BD99" s="31">
        <f>IF(Table1[[#This Row],[Sustainability Check 1 (2017-2018) Status]]="Continued", Table1[[#This Row],[Students Per Summer]], 0)</f>
        <v>350</v>
      </c>
      <c r="BE99" s="58">
        <f t="shared" si="95"/>
        <v>70000</v>
      </c>
      <c r="BF99" s="31">
        <f>IF(Table1[[#This Row],[Sustainability Check 1 (2017-2018) Status]]="Continued", Table1[[#This Row],[Students Per Fall]], 0)</f>
        <v>350</v>
      </c>
      <c r="BG99" s="58">
        <f t="shared" si="103"/>
        <v>70000</v>
      </c>
      <c r="BH99" s="31">
        <f>IF(Table1[[#This Row],[Sustainability Check 1 (2017-2018) Status]]="Continued", Table1[[#This Row],[Students Per Spring]], 0)</f>
        <v>350</v>
      </c>
      <c r="BI99" s="58">
        <f t="shared" si="104"/>
        <v>70000</v>
      </c>
      <c r="BJ99" s="31">
        <f t="shared" si="98"/>
        <v>1050</v>
      </c>
      <c r="BK99" s="58">
        <f t="shared" si="99"/>
        <v>210000</v>
      </c>
      <c r="BL99" s="58" t="s">
        <v>130</v>
      </c>
      <c r="BM99" s="31">
        <v>50</v>
      </c>
      <c r="BN99" s="31">
        <v>220</v>
      </c>
      <c r="BO99" s="31">
        <v>200</v>
      </c>
      <c r="BP99" s="31">
        <f t="shared" si="106"/>
        <v>470</v>
      </c>
      <c r="BQ99" s="58">
        <v>159.96</v>
      </c>
      <c r="BR99" s="58">
        <f>Table1[[#This Row],[Check 2 Students Total]]*Table1[[#This Row],[Summer 2018 Price Check]]</f>
        <v>75181.2</v>
      </c>
      <c r="BS99" s="31">
        <f>IF(Table1[[#This Row],[Sustainability Check 2 (2018-2019) Status]]="Continued", Table1[[#This Row],[Check 2 Students Summer]], 0)</f>
        <v>50</v>
      </c>
      <c r="BT99" s="58">
        <f>Table1[[#This Row],[Summer 2018 Price Check]]*BS99</f>
        <v>7998</v>
      </c>
      <c r="BU99" s="31">
        <f>IF(Table1[[#This Row],[Sustainability Check 2 (2018-2019) Status]]="Continued", Table1[[#This Row],[Check 2 Students Fall]], 0)</f>
        <v>220</v>
      </c>
      <c r="BV99" s="58">
        <f>Table1[[#This Row],[Summer 2018 Price Check]]*BU99</f>
        <v>35191.200000000004</v>
      </c>
      <c r="BW99" s="21">
        <f>IF(Table1[[#This Row],[Sustainability Check 2 (2018-2019) Status]]="Continued", Table1[Check 2 Students Spring], 0)</f>
        <v>200</v>
      </c>
      <c r="BX99" s="58">
        <f>Table1[[#This Row],[Summer 2018 Price Check]]*Table1[[#This Row],[Spring 2019 Students]]</f>
        <v>31992</v>
      </c>
      <c r="BY99" s="31">
        <f t="shared" si="79"/>
        <v>470</v>
      </c>
      <c r="BZ99" s="58">
        <f t="shared" si="80"/>
        <v>75181.200000000012</v>
      </c>
      <c r="CA99" s="58" t="s">
        <v>130</v>
      </c>
      <c r="CB99" s="21">
        <v>50</v>
      </c>
      <c r="CC99" s="21">
        <v>220</v>
      </c>
      <c r="CD99" s="21">
        <v>200</v>
      </c>
      <c r="CE99" s="21">
        <f t="shared" si="110"/>
        <v>470</v>
      </c>
      <c r="CF99" s="58">
        <v>150</v>
      </c>
      <c r="CG99" s="58">
        <f t="shared" si="81"/>
        <v>70500</v>
      </c>
      <c r="CH99" s="17" t="s">
        <v>194</v>
      </c>
      <c r="CI99" s="21">
        <f>IF(Table1[[#This Row],[Check 3 Status]]="Continued", Table1[[#This Row],[Check 3 Students Summer]], 0)</f>
        <v>50</v>
      </c>
      <c r="CJ99" s="58">
        <f>Table1[[#This Row],[Check 3 Per Student Savings]]*CI99</f>
        <v>7500</v>
      </c>
      <c r="CK99" s="21">
        <f>IF(Table1[[#This Row],[Check 3 Status]]="Continued", Table1[[#This Row],[Check 3 Students Fall]], 0)</f>
        <v>220</v>
      </c>
      <c r="CL99" s="58">
        <f>Table1[[#This Row],[Check 3 Per Student Savings]]*CK99</f>
        <v>33000</v>
      </c>
      <c r="CM99" s="21">
        <f>IF(Table1[[#This Row],[Check 3 Status]]="Continued", Table1[[#This Row],[Check 3 Students Spring]], 0)</f>
        <v>200</v>
      </c>
      <c r="CN99" s="58">
        <f>Table1[[#This Row],[Check 3 Per Student Savings]]*CM99</f>
        <v>30000</v>
      </c>
      <c r="CO99" s="21">
        <f t="shared" si="82"/>
        <v>470</v>
      </c>
      <c r="CP99" s="58">
        <f t="shared" si="83"/>
        <v>70500</v>
      </c>
      <c r="CQ99" s="58" t="s">
        <v>1777</v>
      </c>
      <c r="CR99" s="21">
        <v>50</v>
      </c>
      <c r="CS99" s="21">
        <v>220</v>
      </c>
      <c r="CT99" s="21">
        <v>200</v>
      </c>
      <c r="CU99" s="21">
        <v>0</v>
      </c>
      <c r="CV99" s="58">
        <v>0</v>
      </c>
      <c r="CW99" s="58">
        <f t="shared" si="85"/>
        <v>0</v>
      </c>
      <c r="CX99" s="58"/>
      <c r="CY99" s="21">
        <f>IF(Table1[[#This Row],[Check 4 Status]]="Continued", Table1[[#This Row],[Check 4 Students Summer]], 0)</f>
        <v>0</v>
      </c>
      <c r="CZ99" s="58">
        <f>Table1[[#This Row],[Check 4 Per Student Savings]]*CY99</f>
        <v>0</v>
      </c>
      <c r="DA99" s="21">
        <f>IF(Table1[[#This Row],[Check 4 Status]]="Continued", Table1[[#This Row],[Check 4 Students Fall]], 0)</f>
        <v>0</v>
      </c>
      <c r="DB99" s="58">
        <f>Table1[[#This Row],[Check 4 Per Student Savings]]*DA99</f>
        <v>0</v>
      </c>
      <c r="DC99" s="21">
        <f>IF(Table1[[#This Row],[Check 4 Status]]="Continued", Table1[[#This Row],[Check 4 Students Spring]], 0)</f>
        <v>0</v>
      </c>
      <c r="DD99" s="58">
        <f>Table1[[#This Row],[Check 4 Per Student Savings]]*DC99</f>
        <v>0</v>
      </c>
      <c r="DE99" s="58">
        <f t="shared" si="86"/>
        <v>0</v>
      </c>
      <c r="DF99" s="58">
        <f t="shared" si="87"/>
        <v>0</v>
      </c>
      <c r="DG9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3390</v>
      </c>
      <c r="DH9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635681.19999999995</v>
      </c>
      <c r="DI99" s="58">
        <f>Table1[[#This Row],[Grand Total Savings]]/Table1[[#This Row],[Total Award]]</f>
        <v>40.232987341772152</v>
      </c>
      <c r="DJ99" s="17"/>
      <c r="DK99" s="17"/>
      <c r="DL99" s="17"/>
      <c r="DM99" s="17"/>
      <c r="EC99" s="17"/>
      <c r="ED99" s="17"/>
      <c r="EE99" s="17"/>
      <c r="EF99" s="17"/>
    </row>
    <row r="100" spans="1:136" x14ac:dyDescent="0.25">
      <c r="A100" s="159">
        <v>193</v>
      </c>
      <c r="B100" s="17" t="s">
        <v>2011</v>
      </c>
      <c r="D100" s="97">
        <v>510772</v>
      </c>
      <c r="E100" s="158">
        <v>42510</v>
      </c>
      <c r="F100" s="158">
        <v>42886</v>
      </c>
      <c r="G100" s="159" t="s">
        <v>621</v>
      </c>
      <c r="H100" s="95" t="s">
        <v>9</v>
      </c>
      <c r="I100" s="226" t="s">
        <v>118</v>
      </c>
      <c r="J100" s="17" t="s">
        <v>2000</v>
      </c>
      <c r="K100" s="107">
        <v>10800</v>
      </c>
      <c r="L100" s="107"/>
      <c r="M100" s="101" t="s">
        <v>622</v>
      </c>
      <c r="N100" s="101" t="s">
        <v>623</v>
      </c>
      <c r="O100" s="101" t="s">
        <v>624</v>
      </c>
      <c r="P100" s="101" t="s">
        <v>625</v>
      </c>
      <c r="Q100" s="101" t="s">
        <v>304</v>
      </c>
      <c r="R100" s="101" t="s">
        <v>129</v>
      </c>
      <c r="S100" s="168" t="s">
        <v>36</v>
      </c>
      <c r="T100" s="17" t="s">
        <v>129</v>
      </c>
      <c r="U100" s="160" t="s">
        <v>626</v>
      </c>
      <c r="V100" s="17" t="s">
        <v>150</v>
      </c>
      <c r="W100" s="17" t="s">
        <v>150</v>
      </c>
      <c r="X100" s="17" t="s">
        <v>127</v>
      </c>
      <c r="Y100" s="58">
        <v>48560</v>
      </c>
      <c r="Z100" s="17">
        <v>160</v>
      </c>
      <c r="AA100" s="58">
        <f t="shared" si="90"/>
        <v>303.5</v>
      </c>
      <c r="AB100" s="21">
        <f t="shared" si="100"/>
        <v>53.333333333333336</v>
      </c>
      <c r="AC100" s="21">
        <f t="shared" si="101"/>
        <v>53.333333333333336</v>
      </c>
      <c r="AD100" s="21">
        <f t="shared" si="102"/>
        <v>53.333333333333336</v>
      </c>
      <c r="AE100" s="17" t="s">
        <v>537</v>
      </c>
      <c r="AF100" s="17" t="s">
        <v>129</v>
      </c>
      <c r="AG100" s="17"/>
      <c r="AI100" s="17" t="s">
        <v>130</v>
      </c>
      <c r="AJ100" s="21">
        <v>0</v>
      </c>
      <c r="AK100" s="58">
        <v>0</v>
      </c>
      <c r="AL100" s="21">
        <v>0</v>
      </c>
      <c r="AM100" s="58">
        <f t="shared" si="105"/>
        <v>0</v>
      </c>
      <c r="AN100" s="21">
        <v>0</v>
      </c>
      <c r="AO100" s="58">
        <f t="shared" si="107"/>
        <v>0</v>
      </c>
      <c r="AP100" s="21">
        <v>0</v>
      </c>
      <c r="AQ100" s="58">
        <f t="shared" si="108"/>
        <v>0</v>
      </c>
      <c r="AR100" s="21">
        <v>0</v>
      </c>
      <c r="AS100" s="58">
        <f t="shared" si="109"/>
        <v>0</v>
      </c>
      <c r="AT100" s="21">
        <v>0</v>
      </c>
      <c r="AU100" s="58">
        <f t="shared" si="89"/>
        <v>0</v>
      </c>
      <c r="AV100" s="21">
        <v>0</v>
      </c>
      <c r="AW100" s="58">
        <v>0</v>
      </c>
      <c r="AX100" s="31">
        <f>Table1[[#This Row],[Students Per Fall]]</f>
        <v>53.333333333333336</v>
      </c>
      <c r="AY100" s="58">
        <f t="shared" si="91"/>
        <v>16186.666666666668</v>
      </c>
      <c r="AZ100" s="31">
        <f>IF(Table1[[#This Row],[Sustainability Check 1 (2017-2018) Status]]="Continued", Table1[[#This Row],[Students Per Spring]], 0)</f>
        <v>53.333333333333336</v>
      </c>
      <c r="BA100" s="58">
        <f t="shared" si="92"/>
        <v>16186.666666666668</v>
      </c>
      <c r="BB100" s="31">
        <f t="shared" si="93"/>
        <v>106.66666666666667</v>
      </c>
      <c r="BC100" s="58">
        <f t="shared" si="94"/>
        <v>32373.333333333336</v>
      </c>
      <c r="BD100" s="31">
        <f>IF(Table1[[#This Row],[Sustainability Check 1 (2017-2018) Status]]="Continued", Table1[[#This Row],[Students Per Summer]], 0)</f>
        <v>53.333333333333336</v>
      </c>
      <c r="BE100" s="58">
        <f t="shared" si="95"/>
        <v>16186.666666666668</v>
      </c>
      <c r="BF100" s="31">
        <f>IF(Table1[[#This Row],[Sustainability Check 1 (2017-2018) Status]]="Continued", Table1[[#This Row],[Students Per Fall]], 0)</f>
        <v>53.333333333333336</v>
      </c>
      <c r="BG100" s="58">
        <f t="shared" si="103"/>
        <v>16186.666666666668</v>
      </c>
      <c r="BH100" s="31">
        <f>IF(Table1[[#This Row],[Sustainability Check 1 (2017-2018) Status]]="Continued", Table1[[#This Row],[Students Per Spring]], 0)</f>
        <v>53.333333333333336</v>
      </c>
      <c r="BI100" s="58">
        <f t="shared" si="104"/>
        <v>16186.666666666668</v>
      </c>
      <c r="BJ100" s="31">
        <f t="shared" si="98"/>
        <v>160</v>
      </c>
      <c r="BK100" s="58">
        <f t="shared" si="99"/>
        <v>48560</v>
      </c>
      <c r="BL100" s="58" t="s">
        <v>130</v>
      </c>
      <c r="BM100" s="31">
        <v>15</v>
      </c>
      <c r="BN100" s="31">
        <v>10</v>
      </c>
      <c r="BO100" s="31">
        <v>50</v>
      </c>
      <c r="BP100" s="31">
        <f t="shared" si="106"/>
        <v>75</v>
      </c>
      <c r="BQ100" s="96">
        <v>218.56</v>
      </c>
      <c r="BR100" s="58">
        <f>Table1[[#This Row],[Check 2 Students Total]]*Table1[[#This Row],[Summer 2018 Price Check]]</f>
        <v>16392</v>
      </c>
      <c r="BS100" s="31">
        <f>IF(Table1[[#This Row],[Sustainability Check 2 (2018-2019) Status]]="Continued", Table1[[#This Row],[Check 2 Students Summer]], 0)</f>
        <v>15</v>
      </c>
      <c r="BT100" s="58">
        <f>Table1[[#This Row],[Summer 2018 Price Check]]*BS100</f>
        <v>3278.4</v>
      </c>
      <c r="BU100" s="31">
        <f>IF(Table1[[#This Row],[Sustainability Check 2 (2018-2019) Status]]="Continued", Table1[[#This Row],[Check 2 Students Fall]], 0)</f>
        <v>10</v>
      </c>
      <c r="BV100" s="58">
        <f>Table1[[#This Row],[Summer 2018 Price Check]]*BU100</f>
        <v>2185.6</v>
      </c>
      <c r="BW100" s="21">
        <f>IF(Table1[[#This Row],[Sustainability Check 2 (2018-2019) Status]]="Continued", Table1[Check 2 Students Spring], 0)</f>
        <v>50</v>
      </c>
      <c r="BX100" s="58">
        <f>Table1[[#This Row],[Summer 2018 Price Check]]*Table1[[#This Row],[Spring 2019 Students]]</f>
        <v>10928</v>
      </c>
      <c r="BY100" s="31">
        <f t="shared" si="79"/>
        <v>75</v>
      </c>
      <c r="BZ100" s="58">
        <f t="shared" si="80"/>
        <v>16392</v>
      </c>
      <c r="CA100" s="58" t="s">
        <v>142</v>
      </c>
      <c r="CB100" s="21">
        <v>0</v>
      </c>
      <c r="CC100" s="21">
        <v>0</v>
      </c>
      <c r="CD100" s="21">
        <v>0</v>
      </c>
      <c r="CE100" s="21">
        <f t="shared" si="110"/>
        <v>0</v>
      </c>
      <c r="CF100" s="58">
        <v>0</v>
      </c>
      <c r="CG100" s="58">
        <f t="shared" si="81"/>
        <v>0</v>
      </c>
      <c r="CH100" s="17" t="s">
        <v>537</v>
      </c>
      <c r="CI100" s="21">
        <f>IF(Table1[[#This Row],[Check 3 Status]]="Continued", Table1[[#This Row],[Check 3 Students Summer]], 0)</f>
        <v>0</v>
      </c>
      <c r="CJ100" s="58">
        <f>Table1[[#This Row],[Check 3 Per Student Savings]]*CI100</f>
        <v>0</v>
      </c>
      <c r="CK100" s="21">
        <f>IF(Table1[[#This Row],[Check 3 Status]]="Continued", Table1[[#This Row],[Check 3 Students Fall]], 0)</f>
        <v>0</v>
      </c>
      <c r="CL100" s="58">
        <f>Table1[[#This Row],[Check 3 Per Student Savings]]*CK100</f>
        <v>0</v>
      </c>
      <c r="CM100" s="21">
        <f>IF(Table1[[#This Row],[Check 3 Status]]="Continued", Table1[[#This Row],[Check 3 Students Spring]], 0)</f>
        <v>0</v>
      </c>
      <c r="CN100" s="58">
        <f>Table1[[#This Row],[Check 3 Per Student Savings]]*CM100</f>
        <v>0</v>
      </c>
      <c r="CO100" s="21">
        <f t="shared" si="82"/>
        <v>0</v>
      </c>
      <c r="CP100" s="58">
        <f t="shared" si="83"/>
        <v>0</v>
      </c>
      <c r="CQ100" s="58" t="s">
        <v>142</v>
      </c>
      <c r="CR100" s="21">
        <v>0</v>
      </c>
      <c r="CS100" s="21">
        <v>0</v>
      </c>
      <c r="CT100" s="21">
        <v>0</v>
      </c>
      <c r="CU100" s="21">
        <f t="shared" si="84"/>
        <v>0</v>
      </c>
      <c r="CV100" s="58">
        <v>0</v>
      </c>
      <c r="CW100" s="58">
        <f t="shared" si="85"/>
        <v>0</v>
      </c>
      <c r="CX100" s="58"/>
      <c r="CY100" s="21">
        <f>IF(Table1[[#This Row],[Check 4 Status]]="Continued", Table1[[#This Row],[Check 4 Students Summer]], 0)</f>
        <v>0</v>
      </c>
      <c r="CZ100" s="58">
        <f>Table1[[#This Row],[Check 4 Per Student Savings]]*CY100</f>
        <v>0</v>
      </c>
      <c r="DA100" s="21">
        <f>IF(Table1[[#This Row],[Check 4 Status]]="Continued", Table1[[#This Row],[Check 4 Students Fall]], 0)</f>
        <v>0</v>
      </c>
      <c r="DB100" s="58">
        <f>Table1[[#This Row],[Check 4 Per Student Savings]]*DA100</f>
        <v>0</v>
      </c>
      <c r="DC100" s="21">
        <f>IF(Table1[[#This Row],[Check 4 Status]]="Continued", Table1[[#This Row],[Check 4 Students Spring]], 0)</f>
        <v>0</v>
      </c>
      <c r="DD100" s="58">
        <f>Table1[[#This Row],[Check 4 Per Student Savings]]*DC100</f>
        <v>0</v>
      </c>
      <c r="DE100" s="58">
        <f t="shared" si="86"/>
        <v>0</v>
      </c>
      <c r="DF100" s="58">
        <f t="shared" si="87"/>
        <v>0</v>
      </c>
      <c r="DG10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341.66666666666669</v>
      </c>
      <c r="DH10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97325.333333333343</v>
      </c>
      <c r="DI100" s="58">
        <f>Table1[[#This Row],[Grand Total Savings]]/Table1[[#This Row],[Total Award]]</f>
        <v>9.0116049382716064</v>
      </c>
      <c r="DJ100" s="17"/>
      <c r="DK100" s="17"/>
      <c r="DL100" s="17"/>
      <c r="DM100" s="17"/>
      <c r="EC100" s="17"/>
      <c r="ED100" s="17"/>
      <c r="EE100" s="17"/>
      <c r="EF100" s="17"/>
    </row>
    <row r="101" spans="1:136" x14ac:dyDescent="0.25">
      <c r="A101" s="159">
        <v>196</v>
      </c>
      <c r="B101" s="17" t="s">
        <v>2011</v>
      </c>
      <c r="D101" s="97">
        <v>510715</v>
      </c>
      <c r="E101" s="158">
        <v>42486</v>
      </c>
      <c r="F101" s="158">
        <v>42886</v>
      </c>
      <c r="G101" s="159" t="s">
        <v>621</v>
      </c>
      <c r="H101" s="95" t="s">
        <v>9</v>
      </c>
      <c r="I101" s="226" t="s">
        <v>118</v>
      </c>
      <c r="J101" s="17" t="s">
        <v>499</v>
      </c>
      <c r="K101" s="107">
        <v>20800</v>
      </c>
      <c r="L101" s="107"/>
      <c r="M101" s="101" t="s">
        <v>627</v>
      </c>
      <c r="N101" s="160" t="s">
        <v>628</v>
      </c>
      <c r="O101" s="101" t="s">
        <v>534</v>
      </c>
      <c r="P101" s="101" t="s">
        <v>581</v>
      </c>
      <c r="Q101" s="101" t="s">
        <v>488</v>
      </c>
      <c r="R101" s="101" t="s">
        <v>534</v>
      </c>
      <c r="S101" s="101" t="s">
        <v>129</v>
      </c>
      <c r="T101" s="17" t="s">
        <v>129</v>
      </c>
      <c r="U101" s="160" t="s">
        <v>629</v>
      </c>
      <c r="V101" s="17" t="s">
        <v>150</v>
      </c>
      <c r="W101" s="17" t="s">
        <v>127</v>
      </c>
      <c r="X101" s="17" t="s">
        <v>139</v>
      </c>
      <c r="Y101" s="58">
        <v>79996</v>
      </c>
      <c r="Z101" s="17">
        <v>560</v>
      </c>
      <c r="AA101" s="58">
        <f t="shared" si="90"/>
        <v>142.85</v>
      </c>
      <c r="AB101" s="21">
        <f t="shared" si="100"/>
        <v>186.66666666666666</v>
      </c>
      <c r="AC101" s="21">
        <f t="shared" si="101"/>
        <v>186.66666666666666</v>
      </c>
      <c r="AD101" s="21">
        <f t="shared" si="102"/>
        <v>186.66666666666666</v>
      </c>
      <c r="AE101" s="17" t="s">
        <v>537</v>
      </c>
      <c r="AF101" s="17" t="s">
        <v>129</v>
      </c>
      <c r="AG101" s="17"/>
      <c r="AI101" s="17" t="s">
        <v>130</v>
      </c>
      <c r="AJ101" s="21">
        <v>0</v>
      </c>
      <c r="AK101" s="58">
        <v>0</v>
      </c>
      <c r="AL101" s="21">
        <v>0</v>
      </c>
      <c r="AM101" s="58">
        <f t="shared" si="105"/>
        <v>0</v>
      </c>
      <c r="AN101" s="21">
        <v>0</v>
      </c>
      <c r="AO101" s="58">
        <f t="shared" si="107"/>
        <v>0</v>
      </c>
      <c r="AP101" s="21">
        <v>0</v>
      </c>
      <c r="AQ101" s="58">
        <f t="shared" si="108"/>
        <v>0</v>
      </c>
      <c r="AR101" s="21">
        <v>0</v>
      </c>
      <c r="AS101" s="58">
        <f t="shared" si="109"/>
        <v>0</v>
      </c>
      <c r="AT101" s="21">
        <v>0</v>
      </c>
      <c r="AU101" s="58">
        <f t="shared" si="89"/>
        <v>0</v>
      </c>
      <c r="AV101" s="21">
        <v>0</v>
      </c>
      <c r="AW101" s="58">
        <v>0</v>
      </c>
      <c r="AX101" s="31">
        <v>0</v>
      </c>
      <c r="AY101" s="58">
        <v>0</v>
      </c>
      <c r="AZ101" s="31">
        <f>Table1[[#This Row],[Students Per Spring]]</f>
        <v>186.66666666666666</v>
      </c>
      <c r="BA101" s="58">
        <f t="shared" si="92"/>
        <v>26665.333333333332</v>
      </c>
      <c r="BB101" s="31">
        <f t="shared" si="93"/>
        <v>186.66666666666666</v>
      </c>
      <c r="BC101" s="58">
        <f t="shared" si="94"/>
        <v>26665.333333333332</v>
      </c>
      <c r="BD101" s="31">
        <f>IF(Table1[[#This Row],[Sustainability Check 1 (2017-2018) Status]]="Continued", Table1[[#This Row],[Students Per Summer]], 0)</f>
        <v>186.66666666666666</v>
      </c>
      <c r="BE101" s="58">
        <f t="shared" si="95"/>
        <v>26665.333333333332</v>
      </c>
      <c r="BF101" s="31">
        <f>IF(Table1[[#This Row],[Sustainability Check 1 (2017-2018) Status]]="Continued", Table1[[#This Row],[Students Per Fall]], 0)</f>
        <v>186.66666666666666</v>
      </c>
      <c r="BG101" s="58">
        <f t="shared" si="103"/>
        <v>26665.333333333332</v>
      </c>
      <c r="BH101" s="31">
        <f>IF(Table1[[#This Row],[Sustainability Check 1 (2017-2018) Status]]="Continued", Table1[[#This Row],[Students Per Spring]], 0)</f>
        <v>186.66666666666666</v>
      </c>
      <c r="BI101" s="58">
        <f t="shared" si="104"/>
        <v>26665.333333333332</v>
      </c>
      <c r="BJ101" s="31">
        <f t="shared" si="98"/>
        <v>560</v>
      </c>
      <c r="BK101" s="58">
        <f t="shared" si="99"/>
        <v>79996</v>
      </c>
      <c r="BL101" s="58" t="s">
        <v>130</v>
      </c>
      <c r="BM101" s="31">
        <v>32</v>
      </c>
      <c r="BN101" s="31">
        <v>32</v>
      </c>
      <c r="BO101" s="31">
        <v>32</v>
      </c>
      <c r="BP101" s="31">
        <f t="shared" si="106"/>
        <v>96</v>
      </c>
      <c r="BQ101" s="58">
        <v>93.1</v>
      </c>
      <c r="BR101" s="58">
        <f>Table1[[#This Row],[Check 2 Students Total]]*Table1[[#This Row],[Summer 2018 Price Check]]</f>
        <v>8937.5999999999985</v>
      </c>
      <c r="BS101" s="31">
        <f>IF(Table1[[#This Row],[Sustainability Check 2 (2018-2019) Status]]="Continued", Table1[[#This Row],[Check 2 Students Summer]], 0)</f>
        <v>32</v>
      </c>
      <c r="BT101" s="58">
        <f>Table1[[#This Row],[Summer 2018 Price Check]]*BS101</f>
        <v>2979.2</v>
      </c>
      <c r="BU101" s="31">
        <f>IF(Table1[[#This Row],[Sustainability Check 2 (2018-2019) Status]]="Continued", Table1[[#This Row],[Check 2 Students Fall]], 0)</f>
        <v>32</v>
      </c>
      <c r="BV101" s="58">
        <f>Table1[[#This Row],[Summer 2018 Price Check]]*BU101</f>
        <v>2979.2</v>
      </c>
      <c r="BW101" s="21">
        <f>IF(Table1[[#This Row],[Sustainability Check 2 (2018-2019) Status]]="Continued", Table1[Check 2 Students Spring], 0)</f>
        <v>32</v>
      </c>
      <c r="BX101" s="58">
        <f>Table1[[#This Row],[Summer 2018 Price Check]]*Table1[[#This Row],[Spring 2019 Students]]</f>
        <v>2979.2</v>
      </c>
      <c r="BY101" s="31">
        <f t="shared" si="79"/>
        <v>96</v>
      </c>
      <c r="BZ101" s="58">
        <f t="shared" si="80"/>
        <v>8937.5999999999985</v>
      </c>
      <c r="CA101" s="58" t="s">
        <v>130</v>
      </c>
      <c r="CB101" s="21">
        <v>45</v>
      </c>
      <c r="CC101" s="21">
        <v>196</v>
      </c>
      <c r="CD101" s="21">
        <v>196</v>
      </c>
      <c r="CE101" s="21">
        <f t="shared" si="110"/>
        <v>437</v>
      </c>
      <c r="CF101" s="58">
        <v>132.5</v>
      </c>
      <c r="CG101" s="58">
        <f t="shared" si="81"/>
        <v>57902.5</v>
      </c>
      <c r="CH101" s="17" t="s">
        <v>537</v>
      </c>
      <c r="CI101" s="21">
        <f>IF(Table1[[#This Row],[Check 3 Status]]="Continued", Table1[[#This Row],[Check 3 Students Summer]], 0)</f>
        <v>45</v>
      </c>
      <c r="CJ101" s="58">
        <f>Table1[[#This Row],[Check 3 Per Student Savings]]*CI101</f>
        <v>5962.5</v>
      </c>
      <c r="CK101" s="21">
        <f>IF(Table1[[#This Row],[Check 3 Status]]="Continued", Table1[[#This Row],[Check 3 Students Fall]], 0)</f>
        <v>196</v>
      </c>
      <c r="CL101" s="58">
        <f>Table1[[#This Row],[Check 3 Per Student Savings]]*CK101</f>
        <v>25970</v>
      </c>
      <c r="CM101" s="21">
        <f>IF(Table1[[#This Row],[Check 3 Status]]="Continued", Table1[[#This Row],[Check 3 Students Spring]], 0)</f>
        <v>196</v>
      </c>
      <c r="CN101" s="58">
        <f>Table1[[#This Row],[Check 3 Per Student Savings]]*CM101</f>
        <v>25970</v>
      </c>
      <c r="CO101" s="21">
        <f t="shared" si="82"/>
        <v>437</v>
      </c>
      <c r="CP101" s="58">
        <f t="shared" si="83"/>
        <v>57902.5</v>
      </c>
      <c r="CQ101" s="58" t="s">
        <v>142</v>
      </c>
      <c r="CR101" s="21">
        <v>45</v>
      </c>
      <c r="CS101" s="21">
        <v>196</v>
      </c>
      <c r="CT101" s="21">
        <v>196</v>
      </c>
      <c r="CU101" s="21">
        <v>0</v>
      </c>
      <c r="CV101" s="58">
        <v>0</v>
      </c>
      <c r="CW101" s="58">
        <f t="shared" si="85"/>
        <v>0</v>
      </c>
      <c r="CX101" s="58"/>
      <c r="CY101" s="21">
        <f>IF(Table1[[#This Row],[Check 4 Status]]="Continued", Table1[[#This Row],[Check 4 Students Summer]], 0)</f>
        <v>0</v>
      </c>
      <c r="CZ101" s="58">
        <f>Table1[[#This Row],[Check 4 Per Student Savings]]*CY101</f>
        <v>0</v>
      </c>
      <c r="DA101" s="21">
        <f>IF(Table1[[#This Row],[Check 4 Status]]="Continued", Table1[[#This Row],[Check 4 Students Fall]], 0)</f>
        <v>0</v>
      </c>
      <c r="DB101" s="58">
        <f>Table1[[#This Row],[Check 4 Per Student Savings]]*DA101</f>
        <v>0</v>
      </c>
      <c r="DC101" s="21">
        <f>IF(Table1[[#This Row],[Check 4 Status]]="Continued", Table1[[#This Row],[Check 4 Students Spring]], 0)</f>
        <v>0</v>
      </c>
      <c r="DD101" s="58">
        <f>Table1[[#This Row],[Check 4 Per Student Savings]]*DC101</f>
        <v>0</v>
      </c>
      <c r="DE101" s="58">
        <f t="shared" si="86"/>
        <v>0</v>
      </c>
      <c r="DF101" s="58">
        <f t="shared" si="87"/>
        <v>0</v>
      </c>
      <c r="DG10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1279.6666666666665</v>
      </c>
      <c r="DH10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173501.43333333332</v>
      </c>
      <c r="DI101" s="58">
        <f>Table1[[#This Row],[Grand Total Savings]]/Table1[[#This Row],[Total Award]]</f>
        <v>8.3414150641025628</v>
      </c>
      <c r="DJ101" s="17"/>
      <c r="DK101" s="17"/>
      <c r="DL101" s="17"/>
      <c r="DM101" s="17"/>
      <c r="DO101" s="62"/>
      <c r="EC101" s="17"/>
      <c r="ED101" s="17"/>
      <c r="EE101" s="17"/>
      <c r="EF101" s="17"/>
    </row>
    <row r="102" spans="1:136" x14ac:dyDescent="0.25">
      <c r="A102" s="157" t="s">
        <v>630</v>
      </c>
      <c r="B102" s="17" t="s">
        <v>2011</v>
      </c>
      <c r="D102" s="97">
        <v>510776</v>
      </c>
      <c r="E102" s="158">
        <v>42552</v>
      </c>
      <c r="F102" s="158">
        <v>42886</v>
      </c>
      <c r="G102" s="159" t="s">
        <v>621</v>
      </c>
      <c r="H102" s="95" t="s">
        <v>9</v>
      </c>
      <c r="I102" s="226" t="s">
        <v>118</v>
      </c>
      <c r="J102" s="17" t="s">
        <v>388</v>
      </c>
      <c r="K102" s="107">
        <v>10400</v>
      </c>
      <c r="L102" s="107"/>
      <c r="M102" s="101" t="s">
        <v>631</v>
      </c>
      <c r="N102" s="101" t="s">
        <v>632</v>
      </c>
      <c r="O102" s="101" t="s">
        <v>633</v>
      </c>
      <c r="P102" s="101" t="s">
        <v>634</v>
      </c>
      <c r="Q102" s="101" t="s">
        <v>543</v>
      </c>
      <c r="R102" s="101" t="s">
        <v>129</v>
      </c>
      <c r="S102" s="101" t="s">
        <v>129</v>
      </c>
      <c r="T102" s="17" t="s">
        <v>129</v>
      </c>
      <c r="U102" s="101" t="s">
        <v>157</v>
      </c>
      <c r="V102" s="17" t="s">
        <v>150</v>
      </c>
      <c r="W102" s="17" t="s">
        <v>127</v>
      </c>
      <c r="X102" s="17" t="s">
        <v>127</v>
      </c>
      <c r="Y102" s="58">
        <v>20989</v>
      </c>
      <c r="Z102" s="17">
        <v>145</v>
      </c>
      <c r="AA102" s="58">
        <f t="shared" si="90"/>
        <v>144.75172413793103</v>
      </c>
      <c r="AB102" s="21">
        <f t="shared" si="100"/>
        <v>48.333333333333336</v>
      </c>
      <c r="AC102" s="21">
        <f t="shared" si="101"/>
        <v>48.333333333333336</v>
      </c>
      <c r="AD102" s="21">
        <f t="shared" si="102"/>
        <v>48.333333333333336</v>
      </c>
      <c r="AE102" s="17" t="s">
        <v>635</v>
      </c>
      <c r="AF102" s="17" t="s">
        <v>129</v>
      </c>
      <c r="AG102" s="17"/>
      <c r="AI102" s="17" t="s">
        <v>130</v>
      </c>
      <c r="AJ102" s="21">
        <v>0</v>
      </c>
      <c r="AK102" s="58">
        <v>0</v>
      </c>
      <c r="AL102" s="21">
        <v>0</v>
      </c>
      <c r="AM102" s="58">
        <f t="shared" si="105"/>
        <v>0</v>
      </c>
      <c r="AN102" s="21">
        <v>0</v>
      </c>
      <c r="AO102" s="58">
        <f t="shared" si="107"/>
        <v>0</v>
      </c>
      <c r="AP102" s="21">
        <v>0</v>
      </c>
      <c r="AQ102" s="58">
        <f t="shared" si="108"/>
        <v>0</v>
      </c>
      <c r="AR102" s="21">
        <f>Table1[[#This Row],[Students Per Spring]]</f>
        <v>48.333333333333336</v>
      </c>
      <c r="AS102" s="58">
        <f t="shared" si="109"/>
        <v>6996.3333333333339</v>
      </c>
      <c r="AT102" s="21">
        <f>AN102+AP102+AR102</f>
        <v>48.333333333333336</v>
      </c>
      <c r="AU102" s="58">
        <f t="shared" si="89"/>
        <v>6996.3333333333339</v>
      </c>
      <c r="AV102" s="21">
        <f>IF(Table1[[#This Row],[Sustainability Check 1 (2017-2018) Status]]="Continued", Table1[[#This Row],[Students Per Summer]], 0)</f>
        <v>48.333333333333336</v>
      </c>
      <c r="AW102" s="58">
        <f>$AA102*AV102</f>
        <v>6996.3333333333339</v>
      </c>
      <c r="AX102" s="31">
        <f>IF(Table1[[#This Row],[Sustainability Check 1 (2017-2018) Status]]="Continued", Table1[[#This Row],[Students Per Fall]], 0)</f>
        <v>48.333333333333336</v>
      </c>
      <c r="AY102" s="58">
        <f>$AA102*AX102</f>
        <v>6996.3333333333339</v>
      </c>
      <c r="AZ102" s="31">
        <f>IF(Table1[[#This Row],[Sustainability Check 1 (2017-2018) Status]]="Continued", Table1[[#This Row],[Students Per Spring]], 0)</f>
        <v>48.333333333333336</v>
      </c>
      <c r="BA102" s="58">
        <f t="shared" si="92"/>
        <v>6996.3333333333339</v>
      </c>
      <c r="BB102" s="31">
        <f t="shared" si="93"/>
        <v>145</v>
      </c>
      <c r="BC102" s="58">
        <f t="shared" si="94"/>
        <v>20989</v>
      </c>
      <c r="BD102" s="31">
        <f>IF(Table1[[#This Row],[Sustainability Check 1 (2017-2018) Status]]="Continued", Table1[[#This Row],[Students Per Summer]], 0)</f>
        <v>48.333333333333336</v>
      </c>
      <c r="BE102" s="58">
        <f t="shared" si="95"/>
        <v>6996.3333333333339</v>
      </c>
      <c r="BF102" s="31">
        <f>IF(Table1[[#This Row],[Sustainability Check 1 (2017-2018) Status]]="Continued", Table1[[#This Row],[Students Per Fall]], 0)</f>
        <v>48.333333333333336</v>
      </c>
      <c r="BG102" s="58">
        <f t="shared" si="103"/>
        <v>6996.3333333333339</v>
      </c>
      <c r="BH102" s="31">
        <f>IF(Table1[[#This Row],[Sustainability Check 1 (2017-2018) Status]]="Continued", Table1[[#This Row],[Students Per Spring]], 0)</f>
        <v>48.333333333333336</v>
      </c>
      <c r="BI102" s="58">
        <f t="shared" si="104"/>
        <v>6996.3333333333339</v>
      </c>
      <c r="BJ102" s="31">
        <f t="shared" si="98"/>
        <v>145</v>
      </c>
      <c r="BK102" s="58">
        <f t="shared" si="99"/>
        <v>20989</v>
      </c>
      <c r="BL102" s="58" t="s">
        <v>130</v>
      </c>
      <c r="BM102" s="31">
        <v>70</v>
      </c>
      <c r="BN102" s="31">
        <v>70</v>
      </c>
      <c r="BO102" s="31">
        <v>70</v>
      </c>
      <c r="BP102" s="31">
        <f t="shared" si="106"/>
        <v>210</v>
      </c>
      <c r="BQ102" s="58">
        <v>149.94999999999999</v>
      </c>
      <c r="BR102" s="58">
        <f>Table1[[#This Row],[Check 2 Students Total]]*Table1[[#This Row],[Summer 2018 Price Check]]</f>
        <v>31489.499999999996</v>
      </c>
      <c r="BS102" s="31">
        <f>IF(Table1[[#This Row],[Sustainability Check 2 (2018-2019) Status]]="Continued", Table1[[#This Row],[Check 2 Students Summer]], 0)</f>
        <v>70</v>
      </c>
      <c r="BT102" s="58">
        <f>Table1[[#This Row],[Summer 2018 Price Check]]*BS102</f>
        <v>10496.5</v>
      </c>
      <c r="BU102" s="31">
        <f>IF(Table1[[#This Row],[Sustainability Check 2 (2018-2019) Status]]="Continued", Table1[[#This Row],[Check 2 Students Fall]], 0)</f>
        <v>70</v>
      </c>
      <c r="BV102" s="58">
        <f>Table1[[#This Row],[Summer 2018 Price Check]]*BU102</f>
        <v>10496.5</v>
      </c>
      <c r="BW102" s="21">
        <f>IF(Table1[[#This Row],[Sustainability Check 2 (2018-2019) Status]]="Continued", Table1[Check 2 Students Spring], 0)</f>
        <v>70</v>
      </c>
      <c r="BX102" s="58">
        <f>Table1[[#This Row],[Summer 2018 Price Check]]*Table1[[#This Row],[Spring 2019 Students]]</f>
        <v>10496.5</v>
      </c>
      <c r="BY102" s="31">
        <f t="shared" si="79"/>
        <v>210</v>
      </c>
      <c r="BZ102" s="58">
        <f t="shared" si="80"/>
        <v>31489.5</v>
      </c>
      <c r="CA102" s="58" t="s">
        <v>130</v>
      </c>
      <c r="CB102" s="21">
        <v>24</v>
      </c>
      <c r="CC102" s="21">
        <v>33</v>
      </c>
      <c r="CD102" s="21">
        <v>33</v>
      </c>
      <c r="CE102" s="21">
        <f t="shared" si="110"/>
        <v>90</v>
      </c>
      <c r="CF102" s="58">
        <v>168.95</v>
      </c>
      <c r="CG102" s="58">
        <f t="shared" si="81"/>
        <v>15205.499999999998</v>
      </c>
      <c r="CH102" s="17" t="s">
        <v>635</v>
      </c>
      <c r="CI102" s="21">
        <f>IF(Table1[[#This Row],[Check 3 Status]]="Continued", Table1[[#This Row],[Check 3 Students Summer]], 0)</f>
        <v>24</v>
      </c>
      <c r="CJ102" s="58">
        <f>Table1[[#This Row],[Check 3 Per Student Savings]]*CI102</f>
        <v>4054.7999999999997</v>
      </c>
      <c r="CK102" s="21">
        <f>IF(Table1[[#This Row],[Check 3 Status]]="Continued", Table1[[#This Row],[Check 3 Students Fall]], 0)</f>
        <v>33</v>
      </c>
      <c r="CL102" s="58">
        <f>Table1[[#This Row],[Check 3 Per Student Savings]]*CK102</f>
        <v>5575.3499999999995</v>
      </c>
      <c r="CM102" s="21">
        <f>IF(Table1[[#This Row],[Check 3 Status]]="Continued", Table1[[#This Row],[Check 3 Students Spring]], 0)</f>
        <v>33</v>
      </c>
      <c r="CN102" s="58">
        <f>Table1[[#This Row],[Check 3 Per Student Savings]]*CM102</f>
        <v>5575.3499999999995</v>
      </c>
      <c r="CO102" s="21">
        <f t="shared" si="82"/>
        <v>90</v>
      </c>
      <c r="CP102" s="58">
        <f t="shared" si="83"/>
        <v>15205.5</v>
      </c>
      <c r="CQ102" s="58" t="s">
        <v>130</v>
      </c>
      <c r="CR102" s="21">
        <v>24</v>
      </c>
      <c r="CS102" s="21">
        <v>33</v>
      </c>
      <c r="CT102" s="21">
        <v>33</v>
      </c>
      <c r="CU102" s="21">
        <f t="shared" si="84"/>
        <v>90</v>
      </c>
      <c r="CV102" s="58">
        <v>168.95</v>
      </c>
      <c r="CW102" s="58">
        <f t="shared" si="85"/>
        <v>15205.499999999998</v>
      </c>
      <c r="CX102" s="58"/>
      <c r="CY102" s="21">
        <f>IF(Table1[[#This Row],[Check 4 Status]]="Continued", Table1[[#This Row],[Check 4 Students Summer]], 0)</f>
        <v>24</v>
      </c>
      <c r="CZ102" s="58">
        <f>Table1[[#This Row],[Check 4 Per Student Savings]]*CY102</f>
        <v>4054.7999999999997</v>
      </c>
      <c r="DA102" s="21">
        <f>IF(Table1[[#This Row],[Check 4 Status]]="Continued", Table1[[#This Row],[Check 4 Students Fall]], 0)</f>
        <v>33</v>
      </c>
      <c r="DB102" s="58">
        <f>Table1[[#This Row],[Check 4 Per Student Savings]]*DA102</f>
        <v>5575.3499999999995</v>
      </c>
      <c r="DC102" s="21">
        <f>IF(Table1[[#This Row],[Check 4 Status]]="Continued", Table1[[#This Row],[Check 4 Students Spring]], 0)</f>
        <v>33</v>
      </c>
      <c r="DD102" s="58">
        <f>Table1[[#This Row],[Check 4 Per Student Savings]]*DC102</f>
        <v>5575.3499999999995</v>
      </c>
      <c r="DE102" s="58">
        <f t="shared" si="86"/>
        <v>90</v>
      </c>
      <c r="DF102" s="58">
        <f t="shared" si="87"/>
        <v>15205.5</v>
      </c>
      <c r="DG10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728.33333333333337</v>
      </c>
      <c r="DH10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110874.83333333334</v>
      </c>
      <c r="DI102" s="58">
        <f>Table1[[#This Row],[Grand Total Savings]]/Table1[[#This Row],[Total Award]]</f>
        <v>10.661041666666668</v>
      </c>
      <c r="DJ102" s="17"/>
      <c r="DK102" s="17"/>
      <c r="DL102" s="17"/>
      <c r="DM102" s="17"/>
      <c r="EC102" s="17"/>
      <c r="ED102" s="17"/>
      <c r="EE102" s="17"/>
      <c r="EF102" s="17"/>
    </row>
    <row r="103" spans="1:136" x14ac:dyDescent="0.25">
      <c r="A103" s="157" t="s">
        <v>636</v>
      </c>
      <c r="B103" s="17" t="s">
        <v>2011</v>
      </c>
      <c r="D103" s="97">
        <v>511144</v>
      </c>
      <c r="E103" s="158">
        <v>42573</v>
      </c>
      <c r="F103" s="158">
        <v>42886</v>
      </c>
      <c r="G103" s="159" t="s">
        <v>621</v>
      </c>
      <c r="H103" s="95" t="s">
        <v>9</v>
      </c>
      <c r="I103" s="226" t="s">
        <v>118</v>
      </c>
      <c r="J103" s="17" t="s">
        <v>172</v>
      </c>
      <c r="K103" s="107">
        <v>5400</v>
      </c>
      <c r="L103" s="107"/>
      <c r="M103" s="101" t="s">
        <v>546</v>
      </c>
      <c r="N103" s="101" t="s">
        <v>547</v>
      </c>
      <c r="O103" s="101" t="s">
        <v>633</v>
      </c>
      <c r="P103" s="101" t="s">
        <v>634</v>
      </c>
      <c r="Q103" s="101" t="s">
        <v>543</v>
      </c>
      <c r="R103" s="101" t="s">
        <v>129</v>
      </c>
      <c r="S103" s="101" t="s">
        <v>129</v>
      </c>
      <c r="T103" s="17" t="s">
        <v>129</v>
      </c>
      <c r="U103" s="101" t="s">
        <v>157</v>
      </c>
      <c r="V103" s="17" t="s">
        <v>548</v>
      </c>
      <c r="W103" s="17" t="s">
        <v>548</v>
      </c>
      <c r="X103" s="17" t="s">
        <v>548</v>
      </c>
      <c r="Y103" s="58">
        <v>20989</v>
      </c>
      <c r="Z103" s="17">
        <v>145</v>
      </c>
      <c r="AA103" s="58">
        <f t="shared" si="90"/>
        <v>144.75172413793103</v>
      </c>
      <c r="AB103" s="21">
        <f t="shared" si="100"/>
        <v>48.333333333333336</v>
      </c>
      <c r="AC103" s="21">
        <f t="shared" si="101"/>
        <v>48.333333333333336</v>
      </c>
      <c r="AD103" s="21">
        <f t="shared" si="102"/>
        <v>48.333333333333336</v>
      </c>
      <c r="AE103" s="17" t="s">
        <v>635</v>
      </c>
      <c r="AF103" s="17" t="s">
        <v>129</v>
      </c>
      <c r="AG103" s="17"/>
      <c r="AI103" s="17" t="s">
        <v>130</v>
      </c>
      <c r="AJ103" s="21">
        <v>0</v>
      </c>
      <c r="AK103" s="58">
        <v>0</v>
      </c>
      <c r="AL103" s="21">
        <v>0</v>
      </c>
      <c r="AM103" s="58">
        <f t="shared" si="105"/>
        <v>0</v>
      </c>
      <c r="AN103" s="21">
        <v>0</v>
      </c>
      <c r="AO103" s="58">
        <f t="shared" si="107"/>
        <v>0</v>
      </c>
      <c r="AP103" s="21">
        <v>0</v>
      </c>
      <c r="AQ103" s="58">
        <f t="shared" si="108"/>
        <v>0</v>
      </c>
      <c r="AR103" s="21">
        <v>0</v>
      </c>
      <c r="AS103" s="58">
        <f t="shared" si="109"/>
        <v>0</v>
      </c>
      <c r="AT103" s="21">
        <v>0</v>
      </c>
      <c r="AU103" s="58">
        <f t="shared" si="89"/>
        <v>0</v>
      </c>
      <c r="AV103" s="21">
        <v>0</v>
      </c>
      <c r="AW103" s="58">
        <v>0</v>
      </c>
      <c r="AX103" s="31">
        <v>0</v>
      </c>
      <c r="AY103" s="58">
        <v>0</v>
      </c>
      <c r="AZ103" s="31">
        <f>Table1[[#This Row],[Students Per Spring]]</f>
        <v>48.333333333333336</v>
      </c>
      <c r="BA103" s="58">
        <f t="shared" si="92"/>
        <v>6996.3333333333339</v>
      </c>
      <c r="BB103" s="31">
        <f t="shared" si="93"/>
        <v>48.333333333333336</v>
      </c>
      <c r="BC103" s="58">
        <f t="shared" si="94"/>
        <v>6996.3333333333339</v>
      </c>
      <c r="BD103" s="31">
        <f>IF(Table1[[#This Row],[Sustainability Check 1 (2017-2018) Status]]="Continued", Table1[[#This Row],[Students Per Summer]], 0)</f>
        <v>48.333333333333336</v>
      </c>
      <c r="BE103" s="58">
        <f t="shared" si="95"/>
        <v>6996.3333333333339</v>
      </c>
      <c r="BF103" s="31">
        <f>IF(Table1[[#This Row],[Sustainability Check 1 (2017-2018) Status]]="Continued", Table1[[#This Row],[Students Per Fall]], 0)</f>
        <v>48.333333333333336</v>
      </c>
      <c r="BG103" s="58">
        <f t="shared" si="103"/>
        <v>6996.3333333333339</v>
      </c>
      <c r="BH103" s="31">
        <f>IF(Table1[[#This Row],[Sustainability Check 1 (2017-2018) Status]]="Continued", Table1[[#This Row],[Students Per Spring]], 0)</f>
        <v>48.333333333333336</v>
      </c>
      <c r="BI103" s="58">
        <f t="shared" si="104"/>
        <v>6996.3333333333339</v>
      </c>
      <c r="BJ103" s="31">
        <f t="shared" si="98"/>
        <v>145</v>
      </c>
      <c r="BK103" s="58">
        <f t="shared" si="99"/>
        <v>20989</v>
      </c>
      <c r="BL103" s="58" t="s">
        <v>130</v>
      </c>
      <c r="BM103" s="31">
        <v>0</v>
      </c>
      <c r="BN103" s="31">
        <v>100</v>
      </c>
      <c r="BO103" s="31">
        <v>100</v>
      </c>
      <c r="BP103" s="31">
        <f t="shared" si="106"/>
        <v>200</v>
      </c>
      <c r="BQ103" s="58">
        <v>149.94999999999999</v>
      </c>
      <c r="BR103" s="58">
        <f>Table1[[#This Row],[Check 2 Students Total]]*Table1[[#This Row],[Summer 2018 Price Check]]</f>
        <v>29989.999999999996</v>
      </c>
      <c r="BS103" s="31">
        <f>IF(Table1[[#This Row],[Sustainability Check 2 (2018-2019) Status]]="Continued", Table1[[#This Row],[Check 2 Students Summer]], 0)</f>
        <v>0</v>
      </c>
      <c r="BT103" s="58">
        <f>Table1[[#This Row],[Summer 2018 Price Check]]*BS103</f>
        <v>0</v>
      </c>
      <c r="BU103" s="31">
        <f>IF(Table1[[#This Row],[Sustainability Check 2 (2018-2019) Status]]="Continued", Table1[[#This Row],[Check 2 Students Fall]], 0)</f>
        <v>100</v>
      </c>
      <c r="BV103" s="58">
        <f>Table1[[#This Row],[Summer 2018 Price Check]]*BU103</f>
        <v>14994.999999999998</v>
      </c>
      <c r="BW103" s="21">
        <f>IF(Table1[[#This Row],[Sustainability Check 2 (2018-2019) Status]]="Continued", Table1[Check 2 Students Spring], 0)</f>
        <v>100</v>
      </c>
      <c r="BX103" s="58">
        <f>Table1[[#This Row],[Summer 2018 Price Check]]*Table1[[#This Row],[Spring 2019 Students]]</f>
        <v>14994.999999999998</v>
      </c>
      <c r="BY103" s="31">
        <f t="shared" si="79"/>
        <v>200</v>
      </c>
      <c r="BZ103" s="58">
        <f t="shared" si="80"/>
        <v>29989.999999999996</v>
      </c>
      <c r="CA103" s="58" t="s">
        <v>130</v>
      </c>
      <c r="CB103" s="21">
        <v>100</v>
      </c>
      <c r="CC103" s="21">
        <v>0</v>
      </c>
      <c r="CD103" s="21">
        <v>200</v>
      </c>
      <c r="CE103" s="21">
        <f t="shared" si="110"/>
        <v>300</v>
      </c>
      <c r="CF103" s="58">
        <v>84.95</v>
      </c>
      <c r="CG103" s="58">
        <f t="shared" si="81"/>
        <v>25485</v>
      </c>
      <c r="CH103" s="17" t="s">
        <v>635</v>
      </c>
      <c r="CI103" s="21">
        <f>IF(Table1[[#This Row],[Check 3 Status]]="Continued", Table1[[#This Row],[Check 3 Students Summer]], 0)</f>
        <v>100</v>
      </c>
      <c r="CJ103" s="58">
        <f>Table1[[#This Row],[Check 3 Per Student Savings]]*CI103</f>
        <v>8495</v>
      </c>
      <c r="CK103" s="21">
        <f>IF(Table1[[#This Row],[Check 3 Status]]="Continued", Table1[[#This Row],[Check 3 Students Fall]], 0)</f>
        <v>0</v>
      </c>
      <c r="CL103" s="58">
        <f>Table1[[#This Row],[Check 3 Per Student Savings]]*CK103</f>
        <v>0</v>
      </c>
      <c r="CM103" s="21">
        <f>IF(Table1[[#This Row],[Check 3 Status]]="Continued", Table1[[#This Row],[Check 3 Students Spring]], 0)</f>
        <v>200</v>
      </c>
      <c r="CN103" s="58">
        <f>Table1[[#This Row],[Check 3 Per Student Savings]]*CM103</f>
        <v>16990</v>
      </c>
      <c r="CO103" s="21">
        <f t="shared" si="82"/>
        <v>300</v>
      </c>
      <c r="CP103" s="58">
        <f t="shared" si="83"/>
        <v>25485</v>
      </c>
      <c r="CQ103" s="58" t="s">
        <v>130</v>
      </c>
      <c r="CR103" s="21">
        <v>100</v>
      </c>
      <c r="CS103" s="21">
        <v>0</v>
      </c>
      <c r="CT103" s="21">
        <v>200</v>
      </c>
      <c r="CU103" s="21">
        <f t="shared" si="84"/>
        <v>300</v>
      </c>
      <c r="CV103" s="58">
        <v>84.95</v>
      </c>
      <c r="CW103" s="58">
        <f t="shared" si="85"/>
        <v>25485</v>
      </c>
      <c r="CX103" s="58"/>
      <c r="CY103" s="21">
        <f>IF(Table1[[#This Row],[Check 4 Status]]="Continued", Table1[[#This Row],[Check 4 Students Summer]], 0)</f>
        <v>100</v>
      </c>
      <c r="CZ103" s="58">
        <f>Table1[[#This Row],[Check 4 Per Student Savings]]*CY103</f>
        <v>8495</v>
      </c>
      <c r="DA103" s="21">
        <f>IF(Table1[[#This Row],[Check 4 Status]]="Continued", Table1[[#This Row],[Check 4 Students Fall]], 0)</f>
        <v>0</v>
      </c>
      <c r="DB103" s="58">
        <f>Table1[[#This Row],[Check 4 Per Student Savings]]*DA103</f>
        <v>0</v>
      </c>
      <c r="DC103" s="21">
        <f>IF(Table1[[#This Row],[Check 4 Status]]="Continued", Table1[[#This Row],[Check 4 Students Spring]], 0)</f>
        <v>200</v>
      </c>
      <c r="DD103" s="58">
        <f>Table1[[#This Row],[Check 4 Per Student Savings]]*DC103</f>
        <v>16990</v>
      </c>
      <c r="DE103" s="58">
        <f t="shared" si="86"/>
        <v>300</v>
      </c>
      <c r="DF103" s="58">
        <f t="shared" si="87"/>
        <v>25485</v>
      </c>
      <c r="DG10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993.33333333333337</v>
      </c>
      <c r="DH10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108945.33333333333</v>
      </c>
      <c r="DI103" s="58">
        <f>Table1[[#This Row],[Grand Total Savings]]/Table1[[#This Row],[Total Award]]</f>
        <v>20.175061728395061</v>
      </c>
      <c r="DJ103" s="17"/>
      <c r="DK103" s="17"/>
      <c r="DL103" s="17"/>
      <c r="DM103" s="17"/>
      <c r="EC103" s="17"/>
      <c r="ED103" s="17"/>
      <c r="EE103" s="17"/>
      <c r="EF103" s="17"/>
    </row>
    <row r="104" spans="1:136" x14ac:dyDescent="0.25">
      <c r="A104" s="159">
        <v>206</v>
      </c>
      <c r="B104" s="17" t="s">
        <v>2011</v>
      </c>
      <c r="D104" s="97">
        <v>510773</v>
      </c>
      <c r="E104" s="158">
        <v>42875</v>
      </c>
      <c r="F104" s="158">
        <v>42776</v>
      </c>
      <c r="G104" s="159" t="s">
        <v>621</v>
      </c>
      <c r="H104" s="95" t="s">
        <v>9</v>
      </c>
      <c r="I104" s="226" t="s">
        <v>118</v>
      </c>
      <c r="J104" s="17" t="s">
        <v>210</v>
      </c>
      <c r="K104" s="107">
        <v>10800</v>
      </c>
      <c r="L104" s="107"/>
      <c r="M104" s="101" t="s">
        <v>637</v>
      </c>
      <c r="N104" s="101" t="s">
        <v>638</v>
      </c>
      <c r="O104" s="101" t="s">
        <v>639</v>
      </c>
      <c r="P104" s="101" t="s">
        <v>640</v>
      </c>
      <c r="Q104" s="101" t="s">
        <v>641</v>
      </c>
      <c r="R104" s="101" t="s">
        <v>129</v>
      </c>
      <c r="S104" s="168" t="s">
        <v>129</v>
      </c>
      <c r="T104" s="17" t="s">
        <v>129</v>
      </c>
      <c r="U104" s="101" t="s">
        <v>157</v>
      </c>
      <c r="V104" s="17" t="s">
        <v>150</v>
      </c>
      <c r="W104" s="17" t="s">
        <v>150</v>
      </c>
      <c r="X104" s="17" t="s">
        <v>127</v>
      </c>
      <c r="Y104" s="58">
        <v>59760</v>
      </c>
      <c r="Z104" s="17">
        <v>360</v>
      </c>
      <c r="AA104" s="58">
        <f t="shared" si="90"/>
        <v>166</v>
      </c>
      <c r="AB104" s="21">
        <f t="shared" si="100"/>
        <v>120</v>
      </c>
      <c r="AC104" s="21">
        <f t="shared" si="101"/>
        <v>120</v>
      </c>
      <c r="AD104" s="21">
        <f t="shared" si="102"/>
        <v>120</v>
      </c>
      <c r="AE104" s="17" t="s">
        <v>468</v>
      </c>
      <c r="AF104" s="17" t="s">
        <v>129</v>
      </c>
      <c r="AG104" s="17"/>
      <c r="AI104" s="161" t="s">
        <v>130</v>
      </c>
      <c r="AJ104" s="21">
        <v>0</v>
      </c>
      <c r="AK104" s="58">
        <v>0</v>
      </c>
      <c r="AL104" s="21">
        <v>0</v>
      </c>
      <c r="AM104" s="58">
        <f t="shared" si="105"/>
        <v>0</v>
      </c>
      <c r="AN104" s="21">
        <v>0</v>
      </c>
      <c r="AO104" s="58">
        <f t="shared" si="107"/>
        <v>0</v>
      </c>
      <c r="AP104" s="21">
        <v>0</v>
      </c>
      <c r="AQ104" s="58">
        <f t="shared" si="108"/>
        <v>0</v>
      </c>
      <c r="AR104" s="21">
        <v>0</v>
      </c>
      <c r="AS104" s="58">
        <f t="shared" si="109"/>
        <v>0</v>
      </c>
      <c r="AT104" s="21">
        <v>0</v>
      </c>
      <c r="AU104" s="58">
        <f t="shared" si="89"/>
        <v>0</v>
      </c>
      <c r="AV104" s="21">
        <f>IF(Table1[[#This Row],[Sustainability Check 1 (2017-2018) Status]]="Continued", Table1[[#This Row],[Students Per Summer]], 0)</f>
        <v>120</v>
      </c>
      <c r="AW104" s="58">
        <f>$AA104*AV104</f>
        <v>19920</v>
      </c>
      <c r="AX104" s="31">
        <f>IF(Table1[[#This Row],[Sustainability Check 1 (2017-2018) Status]]="Continued", Table1[[#This Row],[Students Per Fall]], 0)</f>
        <v>120</v>
      </c>
      <c r="AY104" s="58">
        <f>$AA104*AX104</f>
        <v>19920</v>
      </c>
      <c r="AZ104" s="31">
        <f>IF(Table1[[#This Row],[Sustainability Check 1 (2017-2018) Status]]="Continued", Table1[[#This Row],[Students Per Spring]], 0)</f>
        <v>120</v>
      </c>
      <c r="BA104" s="58">
        <f t="shared" si="92"/>
        <v>19920</v>
      </c>
      <c r="BB104" s="31">
        <f t="shared" si="93"/>
        <v>360</v>
      </c>
      <c r="BC104" s="58">
        <f t="shared" si="94"/>
        <v>59760</v>
      </c>
      <c r="BD104" s="31">
        <f>IF(Table1[[#This Row],[Sustainability Check 1 (2017-2018) Status]]="Continued", Table1[[#This Row],[Students Per Summer]], 0)</f>
        <v>120</v>
      </c>
      <c r="BE104" s="58">
        <f t="shared" si="95"/>
        <v>19920</v>
      </c>
      <c r="BF104" s="31">
        <f>IF(Table1[[#This Row],[Sustainability Check 1 (2017-2018) Status]]="Continued", Table1[[#This Row],[Students Per Fall]], 0)</f>
        <v>120</v>
      </c>
      <c r="BG104" s="58">
        <f t="shared" si="103"/>
        <v>19920</v>
      </c>
      <c r="BH104" s="31">
        <f>IF(Table1[[#This Row],[Sustainability Check 1 (2017-2018) Status]]="Continued", Table1[[#This Row],[Students Per Spring]], 0)</f>
        <v>120</v>
      </c>
      <c r="BI104" s="58">
        <f t="shared" si="104"/>
        <v>19920</v>
      </c>
      <c r="BJ104" s="31">
        <f t="shared" si="98"/>
        <v>360</v>
      </c>
      <c r="BK104" s="58">
        <f t="shared" si="99"/>
        <v>59760</v>
      </c>
      <c r="BL104" s="58" t="s">
        <v>130</v>
      </c>
      <c r="BM104" s="31">
        <v>50</v>
      </c>
      <c r="BN104" s="31">
        <v>120</v>
      </c>
      <c r="BO104" s="31">
        <v>90</v>
      </c>
      <c r="BP104" s="31">
        <f t="shared" si="106"/>
        <v>260</v>
      </c>
      <c r="BQ104" s="58">
        <v>198.95</v>
      </c>
      <c r="BR104" s="58">
        <f>Table1[[#This Row],[Check 2 Students Total]]*Table1[[#This Row],[Summer 2018 Price Check]]</f>
        <v>51727</v>
      </c>
      <c r="BS104" s="31">
        <f>IF(Table1[[#This Row],[Sustainability Check 2 (2018-2019) Status]]="Continued", Table1[[#This Row],[Check 2 Students Summer]], 0)</f>
        <v>50</v>
      </c>
      <c r="BT104" s="58">
        <f>Table1[[#This Row],[Summer 2018 Price Check]]*BS104</f>
        <v>9947.5</v>
      </c>
      <c r="BU104" s="31">
        <f>IF(Table1[[#This Row],[Sustainability Check 2 (2018-2019) Status]]="Continued", Table1[[#This Row],[Check 2 Students Fall]], 0)</f>
        <v>120</v>
      </c>
      <c r="BV104" s="58">
        <f>Table1[[#This Row],[Summer 2018 Price Check]]*BU104</f>
        <v>23874</v>
      </c>
      <c r="BW104" s="21">
        <f>IF(Table1[[#This Row],[Sustainability Check 2 (2018-2019) Status]]="Continued", Table1[Check 2 Students Spring], 0)</f>
        <v>90</v>
      </c>
      <c r="BX104" s="58">
        <f>Table1[[#This Row],[Summer 2018 Price Check]]*Table1[[#This Row],[Spring 2019 Students]]</f>
        <v>17905.5</v>
      </c>
      <c r="BY104" s="31">
        <f t="shared" si="79"/>
        <v>260</v>
      </c>
      <c r="BZ104" s="58">
        <f t="shared" si="80"/>
        <v>51727</v>
      </c>
      <c r="CA104" s="58" t="s">
        <v>130</v>
      </c>
      <c r="CB104" s="21">
        <v>60</v>
      </c>
      <c r="CC104" s="21">
        <v>160</v>
      </c>
      <c r="CD104" s="21">
        <v>100</v>
      </c>
      <c r="CE104" s="21">
        <f t="shared" si="110"/>
        <v>320</v>
      </c>
      <c r="CF104" s="58">
        <v>166</v>
      </c>
      <c r="CG104" s="58">
        <f t="shared" si="81"/>
        <v>53120</v>
      </c>
      <c r="CH104" s="17" t="s">
        <v>468</v>
      </c>
      <c r="CI104" s="21">
        <f>IF(Table1[[#This Row],[Check 3 Status]]="Continued", Table1[[#This Row],[Check 3 Students Summer]], 0)</f>
        <v>60</v>
      </c>
      <c r="CJ104" s="58">
        <f>Table1[[#This Row],[Check 3 Per Student Savings]]*CI104</f>
        <v>9960</v>
      </c>
      <c r="CK104" s="21">
        <f>IF(Table1[[#This Row],[Check 3 Status]]="Continued", Table1[[#This Row],[Check 3 Students Fall]], 0)</f>
        <v>160</v>
      </c>
      <c r="CL104" s="58">
        <f>Table1[[#This Row],[Check 3 Per Student Savings]]*CK104</f>
        <v>26560</v>
      </c>
      <c r="CM104" s="21">
        <f>IF(Table1[[#This Row],[Check 3 Status]]="Continued", Table1[[#This Row],[Check 3 Students Spring]], 0)</f>
        <v>100</v>
      </c>
      <c r="CN104" s="58">
        <f>Table1[[#This Row],[Check 3 Per Student Savings]]*CM104</f>
        <v>16600</v>
      </c>
      <c r="CO104" s="21">
        <f t="shared" si="82"/>
        <v>320</v>
      </c>
      <c r="CP104" s="58">
        <f t="shared" si="83"/>
        <v>53120</v>
      </c>
      <c r="CQ104" s="58" t="s">
        <v>1777</v>
      </c>
      <c r="CR104" s="21">
        <v>60</v>
      </c>
      <c r="CS104" s="21">
        <v>160</v>
      </c>
      <c r="CT104" s="21">
        <v>100</v>
      </c>
      <c r="CU104" s="21">
        <v>0</v>
      </c>
      <c r="CV104" s="58">
        <v>0</v>
      </c>
      <c r="CW104" s="58">
        <f t="shared" si="85"/>
        <v>0</v>
      </c>
      <c r="CX104" s="58"/>
      <c r="CY104" s="21">
        <f>IF(Table1[[#This Row],[Check 4 Status]]="Continued", Table1[[#This Row],[Check 4 Students Summer]], 0)</f>
        <v>0</v>
      </c>
      <c r="CZ104" s="58">
        <f>Table1[[#This Row],[Check 4 Per Student Savings]]*CY104</f>
        <v>0</v>
      </c>
      <c r="DA104" s="21">
        <f>IF(Table1[[#This Row],[Check 4 Status]]="Continued", Table1[[#This Row],[Check 4 Students Fall]], 0)</f>
        <v>0</v>
      </c>
      <c r="DB104" s="58">
        <f>Table1[[#This Row],[Check 4 Per Student Savings]]*DA104</f>
        <v>0</v>
      </c>
      <c r="DC104" s="21">
        <f>IF(Table1[[#This Row],[Check 4 Status]]="Continued", Table1[[#This Row],[Check 4 Students Spring]], 0)</f>
        <v>0</v>
      </c>
      <c r="DD104" s="58">
        <f>Table1[[#This Row],[Check 4 Per Student Savings]]*DC104</f>
        <v>0</v>
      </c>
      <c r="DE104" s="58">
        <f t="shared" si="86"/>
        <v>0</v>
      </c>
      <c r="DF104" s="58">
        <f t="shared" si="87"/>
        <v>0</v>
      </c>
      <c r="DG10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1300</v>
      </c>
      <c r="DH10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224367</v>
      </c>
      <c r="DI104" s="58">
        <f>Table1[[#This Row],[Grand Total Savings]]/Table1[[#This Row],[Total Award]]</f>
        <v>20.774722222222223</v>
      </c>
      <c r="DJ104" s="17"/>
      <c r="DK104" s="17"/>
      <c r="DL104" s="17"/>
      <c r="DM104" s="17"/>
      <c r="EC104" s="17"/>
      <c r="ED104" s="17"/>
      <c r="EE104" s="17"/>
      <c r="EF104" s="17"/>
    </row>
    <row r="105" spans="1:136" x14ac:dyDescent="0.25">
      <c r="A105" s="159">
        <v>210</v>
      </c>
      <c r="B105" s="17" t="s">
        <v>2011</v>
      </c>
      <c r="D105" s="97">
        <v>510778</v>
      </c>
      <c r="E105" s="158">
        <v>42487</v>
      </c>
      <c r="F105" s="158">
        <v>42886</v>
      </c>
      <c r="G105" s="159" t="s">
        <v>621</v>
      </c>
      <c r="H105" s="95" t="s">
        <v>9</v>
      </c>
      <c r="I105" s="226" t="s">
        <v>118</v>
      </c>
      <c r="J105" s="17" t="s">
        <v>210</v>
      </c>
      <c r="K105" s="107">
        <v>10800</v>
      </c>
      <c r="L105" s="107"/>
      <c r="M105" s="101" t="s">
        <v>642</v>
      </c>
      <c r="N105" s="17" t="s">
        <v>643</v>
      </c>
      <c r="O105" s="101" t="s">
        <v>644</v>
      </c>
      <c r="P105" s="101" t="s">
        <v>645</v>
      </c>
      <c r="Q105" s="101" t="s">
        <v>148</v>
      </c>
      <c r="R105" s="101" t="s">
        <v>646</v>
      </c>
      <c r="S105" s="101" t="s">
        <v>129</v>
      </c>
      <c r="T105" s="17" t="s">
        <v>129</v>
      </c>
      <c r="U105" s="160" t="s">
        <v>647</v>
      </c>
      <c r="V105" s="17" t="s">
        <v>150</v>
      </c>
      <c r="W105" s="17" t="s">
        <v>150</v>
      </c>
      <c r="X105" s="17" t="s">
        <v>150</v>
      </c>
      <c r="Y105" s="58">
        <v>123987.5</v>
      </c>
      <c r="Z105" s="17">
        <v>545</v>
      </c>
      <c r="AA105" s="58">
        <f t="shared" si="90"/>
        <v>227.5</v>
      </c>
      <c r="AB105" s="21">
        <f t="shared" si="100"/>
        <v>181.66666666666666</v>
      </c>
      <c r="AC105" s="21">
        <f t="shared" si="101"/>
        <v>181.66666666666666</v>
      </c>
      <c r="AD105" s="21">
        <f t="shared" si="102"/>
        <v>181.66666666666666</v>
      </c>
      <c r="AE105" s="17" t="s">
        <v>635</v>
      </c>
      <c r="AF105" s="17" t="s">
        <v>129</v>
      </c>
      <c r="AG105" s="17"/>
      <c r="AI105" s="17" t="s">
        <v>130</v>
      </c>
      <c r="AJ105" s="21">
        <v>0</v>
      </c>
      <c r="AK105" s="58">
        <v>0</v>
      </c>
      <c r="AL105" s="21">
        <v>0</v>
      </c>
      <c r="AM105" s="58">
        <f t="shared" si="105"/>
        <v>0</v>
      </c>
      <c r="AN105" s="21">
        <v>0</v>
      </c>
      <c r="AO105" s="58">
        <f t="shared" si="107"/>
        <v>0</v>
      </c>
      <c r="AP105" s="21">
        <v>0</v>
      </c>
      <c r="AQ105" s="58">
        <f t="shared" si="108"/>
        <v>0</v>
      </c>
      <c r="AR105" s="21">
        <v>0</v>
      </c>
      <c r="AS105" s="58">
        <f t="shared" si="109"/>
        <v>0</v>
      </c>
      <c r="AT105" s="21">
        <v>0</v>
      </c>
      <c r="AU105" s="58">
        <f t="shared" si="89"/>
        <v>0</v>
      </c>
      <c r="AV105" s="21">
        <v>0</v>
      </c>
      <c r="AW105" s="58">
        <v>0</v>
      </c>
      <c r="AX105" s="31">
        <v>0</v>
      </c>
      <c r="AY105" s="58">
        <v>0</v>
      </c>
      <c r="AZ105" s="31">
        <f>Table1[[#This Row],[Students Per Spring]]</f>
        <v>181.66666666666666</v>
      </c>
      <c r="BA105" s="58">
        <f t="shared" si="92"/>
        <v>41329.166666666664</v>
      </c>
      <c r="BB105" s="31">
        <f t="shared" si="93"/>
        <v>181.66666666666666</v>
      </c>
      <c r="BC105" s="58">
        <f t="shared" si="94"/>
        <v>41329.166666666664</v>
      </c>
      <c r="BD105" s="31">
        <f>IF(Table1[[#This Row],[Sustainability Check 1 (2017-2018) Status]]="Continued", Table1[[#This Row],[Students Per Summer]], 0)</f>
        <v>181.66666666666666</v>
      </c>
      <c r="BE105" s="58">
        <f t="shared" si="95"/>
        <v>41329.166666666664</v>
      </c>
      <c r="BF105" s="31">
        <f>IF(Table1[[#This Row],[Sustainability Check 1 (2017-2018) Status]]="Continued", Table1[[#This Row],[Students Per Fall]], 0)</f>
        <v>181.66666666666666</v>
      </c>
      <c r="BG105" s="58">
        <f t="shared" si="103"/>
        <v>41329.166666666664</v>
      </c>
      <c r="BH105" s="31">
        <f>IF(Table1[[#This Row],[Sustainability Check 1 (2017-2018) Status]]="Continued", Table1[[#This Row],[Students Per Spring]], 0)</f>
        <v>181.66666666666666</v>
      </c>
      <c r="BI105" s="58">
        <f t="shared" si="104"/>
        <v>41329.166666666664</v>
      </c>
      <c r="BJ105" s="31">
        <f t="shared" si="98"/>
        <v>545</v>
      </c>
      <c r="BK105" s="58">
        <f t="shared" si="99"/>
        <v>123987.5</v>
      </c>
      <c r="BL105" s="58" t="s">
        <v>130</v>
      </c>
      <c r="BM105" s="31">
        <v>60</v>
      </c>
      <c r="BN105" s="31">
        <v>120</v>
      </c>
      <c r="BO105" s="31">
        <v>240</v>
      </c>
      <c r="BP105" s="31">
        <f t="shared" si="106"/>
        <v>420</v>
      </c>
      <c r="BQ105" s="96">
        <v>211.4</v>
      </c>
      <c r="BR105" s="58">
        <f>Table1[[#This Row],[Check 2 Students Total]]*Table1[[#This Row],[Summer 2018 Price Check]]</f>
        <v>88788</v>
      </c>
      <c r="BS105" s="31">
        <f>IF(Table1[[#This Row],[Sustainability Check 2 (2018-2019) Status]]="Continued", Table1[[#This Row],[Check 2 Students Summer]], 0)</f>
        <v>60</v>
      </c>
      <c r="BT105" s="58">
        <f>Table1[[#This Row],[Summer 2018 Price Check]]*BS105</f>
        <v>12684</v>
      </c>
      <c r="BU105" s="31">
        <f>IF(Table1[[#This Row],[Sustainability Check 2 (2018-2019) Status]]="Continued", Table1[[#This Row],[Check 2 Students Fall]], 0)</f>
        <v>120</v>
      </c>
      <c r="BV105" s="58">
        <f>Table1[[#This Row],[Summer 2018 Price Check]]*BU105</f>
        <v>25368</v>
      </c>
      <c r="BW105" s="21">
        <f>IF(Table1[[#This Row],[Sustainability Check 2 (2018-2019) Status]]="Continued", Table1[Check 2 Students Spring], 0)</f>
        <v>240</v>
      </c>
      <c r="BX105" s="58">
        <f>Table1[[#This Row],[Summer 2018 Price Check]]*Table1[[#This Row],[Spring 2019 Students]]</f>
        <v>50736</v>
      </c>
      <c r="BY105" s="31">
        <f t="shared" si="79"/>
        <v>420</v>
      </c>
      <c r="BZ105" s="58">
        <f t="shared" si="80"/>
        <v>88788</v>
      </c>
      <c r="CA105" s="58" t="s">
        <v>130</v>
      </c>
      <c r="CB105" s="21">
        <v>40</v>
      </c>
      <c r="CC105" s="21">
        <v>240</v>
      </c>
      <c r="CD105" s="21">
        <v>160</v>
      </c>
      <c r="CE105" s="21">
        <f t="shared" si="110"/>
        <v>440</v>
      </c>
      <c r="CF105" s="58">
        <v>227.99</v>
      </c>
      <c r="CG105" s="58">
        <f t="shared" si="81"/>
        <v>100315.6</v>
      </c>
      <c r="CH105" s="17" t="s">
        <v>635</v>
      </c>
      <c r="CI105" s="21">
        <f>IF(Table1[[#This Row],[Check 3 Status]]="Continued", Table1[[#This Row],[Check 3 Students Summer]], 0)</f>
        <v>40</v>
      </c>
      <c r="CJ105" s="58">
        <f>Table1[[#This Row],[Check 3 Per Student Savings]]*CI105</f>
        <v>9119.6</v>
      </c>
      <c r="CK105" s="21">
        <f>IF(Table1[[#This Row],[Check 3 Status]]="Continued", Table1[[#This Row],[Check 3 Students Fall]], 0)</f>
        <v>240</v>
      </c>
      <c r="CL105" s="58">
        <f>Table1[[#This Row],[Check 3 Per Student Savings]]*CK105</f>
        <v>54717.600000000006</v>
      </c>
      <c r="CM105" s="21">
        <f>IF(Table1[[#This Row],[Check 3 Status]]="Continued", Table1[[#This Row],[Check 3 Students Spring]], 0)</f>
        <v>160</v>
      </c>
      <c r="CN105" s="58">
        <f>Table1[[#This Row],[Check 3 Per Student Savings]]*CM105</f>
        <v>36478.400000000001</v>
      </c>
      <c r="CO105" s="21">
        <f t="shared" si="82"/>
        <v>440</v>
      </c>
      <c r="CP105" s="58">
        <f t="shared" si="83"/>
        <v>100315.6</v>
      </c>
      <c r="CQ105" s="58" t="s">
        <v>130</v>
      </c>
      <c r="CR105" s="21">
        <v>40</v>
      </c>
      <c r="CS105" s="21">
        <v>240</v>
      </c>
      <c r="CT105" s="21">
        <v>160</v>
      </c>
      <c r="CU105" s="21">
        <f t="shared" si="84"/>
        <v>440</v>
      </c>
      <c r="CV105" s="58">
        <v>227.99</v>
      </c>
      <c r="CW105" s="58">
        <f t="shared" si="85"/>
        <v>100315.6</v>
      </c>
      <c r="CX105" s="58"/>
      <c r="CY105" s="21">
        <f>IF(Table1[[#This Row],[Check 4 Status]]="Continued", Table1[[#This Row],[Check 4 Students Summer]], 0)</f>
        <v>40</v>
      </c>
      <c r="CZ105" s="58">
        <f>Table1[[#This Row],[Check 4 Per Student Savings]]*CY105</f>
        <v>9119.6</v>
      </c>
      <c r="DA105" s="21">
        <f>IF(Table1[[#This Row],[Check 4 Status]]="Continued", Table1[[#This Row],[Check 4 Students Fall]], 0)</f>
        <v>240</v>
      </c>
      <c r="DB105" s="58">
        <f>Table1[[#This Row],[Check 4 Per Student Savings]]*DA105</f>
        <v>54717.600000000006</v>
      </c>
      <c r="DC105" s="21">
        <f>IF(Table1[[#This Row],[Check 4 Status]]="Continued", Table1[[#This Row],[Check 4 Students Spring]], 0)</f>
        <v>160</v>
      </c>
      <c r="DD105" s="58">
        <f>Table1[[#This Row],[Check 4 Per Student Savings]]*DC105</f>
        <v>36478.400000000001</v>
      </c>
      <c r="DE105" s="58">
        <f t="shared" si="86"/>
        <v>440</v>
      </c>
      <c r="DF105" s="58">
        <f t="shared" si="87"/>
        <v>100315.6</v>
      </c>
      <c r="DG10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2026.6666666666665</v>
      </c>
      <c r="DH10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454735.8666666667</v>
      </c>
      <c r="DI105" s="58">
        <f>Table1[[#This Row],[Grand Total Savings]]/Table1[[#This Row],[Total Award]]</f>
        <v>42.105172839506174</v>
      </c>
      <c r="DJ105" s="17"/>
      <c r="DK105" s="17"/>
      <c r="DL105" s="17"/>
      <c r="DM105" s="17"/>
      <c r="EC105" s="17"/>
      <c r="ED105" s="17"/>
      <c r="EE105" s="17"/>
      <c r="EF105" s="17"/>
    </row>
    <row r="106" spans="1:136" x14ac:dyDescent="0.25">
      <c r="A106" s="159">
        <v>213</v>
      </c>
      <c r="B106" s="17" t="s">
        <v>2011</v>
      </c>
      <c r="D106" s="97">
        <v>510775</v>
      </c>
      <c r="E106" s="158">
        <v>42488</v>
      </c>
      <c r="F106" s="158">
        <v>42886</v>
      </c>
      <c r="G106" s="159" t="s">
        <v>621</v>
      </c>
      <c r="H106" s="95" t="s">
        <v>9</v>
      </c>
      <c r="I106" s="226" t="s">
        <v>118</v>
      </c>
      <c r="J106" s="17" t="s">
        <v>388</v>
      </c>
      <c r="K106" s="107">
        <v>27900</v>
      </c>
      <c r="L106" s="107"/>
      <c r="M106" s="101" t="s">
        <v>648</v>
      </c>
      <c r="N106" s="101" t="s">
        <v>649</v>
      </c>
      <c r="O106" s="101" t="s">
        <v>650</v>
      </c>
      <c r="P106" s="101" t="s">
        <v>651</v>
      </c>
      <c r="Q106" s="101" t="s">
        <v>148</v>
      </c>
      <c r="R106" s="101" t="s">
        <v>652</v>
      </c>
      <c r="S106" s="101" t="s">
        <v>129</v>
      </c>
      <c r="T106" s="17" t="s">
        <v>125</v>
      </c>
      <c r="U106" s="160" t="s">
        <v>653</v>
      </c>
      <c r="V106" s="17" t="s">
        <v>150</v>
      </c>
      <c r="W106" s="17" t="s">
        <v>127</v>
      </c>
      <c r="X106" s="17" t="s">
        <v>150</v>
      </c>
      <c r="Y106" s="58">
        <v>160351.56</v>
      </c>
      <c r="Z106" s="17">
        <v>844</v>
      </c>
      <c r="AA106" s="58">
        <f t="shared" si="90"/>
        <v>189.99</v>
      </c>
      <c r="AB106" s="21">
        <f t="shared" si="100"/>
        <v>281.33333333333331</v>
      </c>
      <c r="AC106" s="21">
        <f t="shared" si="101"/>
        <v>281.33333333333331</v>
      </c>
      <c r="AD106" s="21">
        <f t="shared" si="102"/>
        <v>281.33333333333331</v>
      </c>
      <c r="AE106" s="17" t="s">
        <v>468</v>
      </c>
      <c r="AF106" s="17" t="s">
        <v>129</v>
      </c>
      <c r="AG106" s="17"/>
      <c r="AI106" s="17" t="s">
        <v>130</v>
      </c>
      <c r="AJ106" s="21">
        <v>0</v>
      </c>
      <c r="AK106" s="58">
        <v>0</v>
      </c>
      <c r="AL106" s="21">
        <v>0</v>
      </c>
      <c r="AM106" s="58">
        <f t="shared" si="105"/>
        <v>0</v>
      </c>
      <c r="AN106" s="21">
        <v>0</v>
      </c>
      <c r="AO106" s="58">
        <f t="shared" si="107"/>
        <v>0</v>
      </c>
      <c r="AP106" s="21">
        <v>0</v>
      </c>
      <c r="AQ106" s="58">
        <f t="shared" si="108"/>
        <v>0</v>
      </c>
      <c r="AR106" s="21">
        <v>0</v>
      </c>
      <c r="AS106" s="58">
        <f t="shared" si="109"/>
        <v>0</v>
      </c>
      <c r="AT106" s="21">
        <v>0</v>
      </c>
      <c r="AU106" s="58">
        <f t="shared" ref="AU106:AU111" si="111">AO106+AQ106+AS106</f>
        <v>0</v>
      </c>
      <c r="AV106" s="21">
        <f>IF(Table1[[#This Row],[Sustainability Check 1 (2017-2018) Status]]="Continued", Table1[[#This Row],[Students Per Summer]], 0)</f>
        <v>281.33333333333331</v>
      </c>
      <c r="AW106" s="58">
        <f>$AA106*AV106</f>
        <v>53450.52</v>
      </c>
      <c r="AX106" s="31">
        <f>IF(Table1[[#This Row],[Sustainability Check 1 (2017-2018) Status]]="Continued", Table1[[#This Row],[Students Per Fall]], 0)</f>
        <v>281.33333333333331</v>
      </c>
      <c r="AY106" s="58">
        <f t="shared" ref="AY106:AY111" si="112">$AA106*AX106</f>
        <v>53450.52</v>
      </c>
      <c r="AZ106" s="31">
        <f>IF(Table1[[#This Row],[Sustainability Check 1 (2017-2018) Status]]="Continued", Table1[[#This Row],[Students Per Spring]], 0)</f>
        <v>281.33333333333331</v>
      </c>
      <c r="BA106" s="58">
        <f t="shared" si="92"/>
        <v>53450.52</v>
      </c>
      <c r="BB106" s="31">
        <f t="shared" si="93"/>
        <v>844</v>
      </c>
      <c r="BC106" s="58">
        <f t="shared" si="94"/>
        <v>160351.56</v>
      </c>
      <c r="BD106" s="31">
        <f>IF(Table1[[#This Row],[Sustainability Check 1 (2017-2018) Status]]="Continued", Table1[[#This Row],[Students Per Summer]], 0)</f>
        <v>281.33333333333331</v>
      </c>
      <c r="BE106" s="58">
        <f t="shared" si="95"/>
        <v>53450.52</v>
      </c>
      <c r="BF106" s="31">
        <f>IF(Table1[[#This Row],[Sustainability Check 1 (2017-2018) Status]]="Continued", Table1[[#This Row],[Students Per Fall]], 0)</f>
        <v>281.33333333333331</v>
      </c>
      <c r="BG106" s="58">
        <f t="shared" si="103"/>
        <v>53450.52</v>
      </c>
      <c r="BH106" s="31">
        <f>IF(Table1[[#This Row],[Sustainability Check 1 (2017-2018) Status]]="Continued", Table1[[#This Row],[Students Per Spring]], 0)</f>
        <v>281.33333333333331</v>
      </c>
      <c r="BI106" s="58">
        <f t="shared" si="104"/>
        <v>53450.52</v>
      </c>
      <c r="BJ106" s="31">
        <f t="shared" si="98"/>
        <v>844</v>
      </c>
      <c r="BK106" s="58">
        <f t="shared" si="99"/>
        <v>160351.56</v>
      </c>
      <c r="BL106" s="58" t="s">
        <v>142</v>
      </c>
      <c r="BM106" s="31">
        <v>0</v>
      </c>
      <c r="BN106" s="31">
        <v>0</v>
      </c>
      <c r="BO106" s="31">
        <v>0</v>
      </c>
      <c r="BP106" s="31">
        <f t="shared" si="106"/>
        <v>0</v>
      </c>
      <c r="BQ106" s="96">
        <v>257.8</v>
      </c>
      <c r="BR106" s="58">
        <f>Table1[[#This Row],[Check 2 Students Total]]*Table1[[#This Row],[Summer 2018 Price Check]]</f>
        <v>0</v>
      </c>
      <c r="BS106" s="31">
        <f>IF(Table1[[#This Row],[Sustainability Check 2 (2018-2019) Status]]="Continued", Table1[[#This Row],[Check 2 Students Summer]], 0)</f>
        <v>0</v>
      </c>
      <c r="BT106" s="58">
        <f>Table1[[#This Row],[Summer 2018 Price Check]]*BS106</f>
        <v>0</v>
      </c>
      <c r="BU106" s="31">
        <f>IF(Table1[[#This Row],[Sustainability Check 2 (2018-2019) Status]]="Continued", Table1[[#This Row],[Check 2 Students Fall]], 0)</f>
        <v>0</v>
      </c>
      <c r="BV106" s="58">
        <f>Table1[[#This Row],[Summer 2018 Price Check]]*BU106</f>
        <v>0</v>
      </c>
      <c r="BW106" s="21">
        <f>IF(Table1[[#This Row],[Sustainability Check 2 (2018-2019) Status]]="Continued", Table1[Check 2 Students Spring], 0)</f>
        <v>0</v>
      </c>
      <c r="BX106" s="58">
        <f>Table1[[#This Row],[Summer 2018 Price Check]]*Table1[[#This Row],[Spring 2019 Students]]</f>
        <v>0</v>
      </c>
      <c r="BY106" s="31">
        <f t="shared" si="79"/>
        <v>0</v>
      </c>
      <c r="BZ106" s="58">
        <f t="shared" si="80"/>
        <v>0</v>
      </c>
      <c r="CA106" s="58" t="s">
        <v>142</v>
      </c>
      <c r="CB106" s="21">
        <v>0</v>
      </c>
      <c r="CC106" s="21">
        <v>0</v>
      </c>
      <c r="CD106" s="21">
        <v>0</v>
      </c>
      <c r="CE106" s="21">
        <f t="shared" si="110"/>
        <v>0</v>
      </c>
      <c r="CF106" s="58">
        <v>0</v>
      </c>
      <c r="CG106" s="58">
        <f t="shared" si="81"/>
        <v>0</v>
      </c>
      <c r="CH106" s="17" t="s">
        <v>468</v>
      </c>
      <c r="CI106" s="21">
        <f>IF(Table1[[#This Row],[Check 3 Status]]="Continued", Table1[[#This Row],[Check 3 Students Summer]], 0)</f>
        <v>0</v>
      </c>
      <c r="CJ106" s="58">
        <f>Table1[[#This Row],[Check 3 Per Student Savings]]*CI106</f>
        <v>0</v>
      </c>
      <c r="CK106" s="21">
        <f>IF(Table1[[#This Row],[Check 3 Status]]="Continued", Table1[[#This Row],[Check 3 Students Fall]], 0)</f>
        <v>0</v>
      </c>
      <c r="CL106" s="58">
        <f>Table1[[#This Row],[Check 3 Per Student Savings]]*CK106</f>
        <v>0</v>
      </c>
      <c r="CM106" s="21">
        <f>IF(Table1[[#This Row],[Check 3 Status]]="Continued", Table1[[#This Row],[Check 3 Students Spring]], 0)</f>
        <v>0</v>
      </c>
      <c r="CN106" s="58">
        <f>Table1[[#This Row],[Check 3 Per Student Savings]]*CM106</f>
        <v>0</v>
      </c>
      <c r="CO106" s="21">
        <f t="shared" si="82"/>
        <v>0</v>
      </c>
      <c r="CP106" s="58">
        <f t="shared" si="83"/>
        <v>0</v>
      </c>
      <c r="CQ106" s="58" t="s">
        <v>142</v>
      </c>
      <c r="CR106" s="21">
        <v>0</v>
      </c>
      <c r="CS106" s="21">
        <v>0</v>
      </c>
      <c r="CT106" s="21">
        <v>0</v>
      </c>
      <c r="CU106" s="21">
        <f t="shared" si="84"/>
        <v>0</v>
      </c>
      <c r="CV106" s="58">
        <v>0</v>
      </c>
      <c r="CW106" s="58">
        <f t="shared" si="85"/>
        <v>0</v>
      </c>
      <c r="CX106" s="58"/>
      <c r="CY106" s="21">
        <f>IF(Table1[[#This Row],[Check 4 Status]]="Continued", Table1[[#This Row],[Check 4 Students Summer]], 0)</f>
        <v>0</v>
      </c>
      <c r="CZ106" s="58">
        <f>Table1[[#This Row],[Check 4 Per Student Savings]]*CY106</f>
        <v>0</v>
      </c>
      <c r="DA106" s="21">
        <f>IF(Table1[[#This Row],[Check 4 Status]]="Continued", Table1[[#This Row],[Check 4 Students Fall]], 0)</f>
        <v>0</v>
      </c>
      <c r="DB106" s="58">
        <f>Table1[[#This Row],[Check 4 Per Student Savings]]*DA106</f>
        <v>0</v>
      </c>
      <c r="DC106" s="21">
        <f>IF(Table1[[#This Row],[Check 4 Status]]="Continued", Table1[[#This Row],[Check 4 Students Spring]], 0)</f>
        <v>0</v>
      </c>
      <c r="DD106" s="58">
        <f>Table1[[#This Row],[Check 4 Per Student Savings]]*DC106</f>
        <v>0</v>
      </c>
      <c r="DE106" s="58">
        <f t="shared" si="86"/>
        <v>0</v>
      </c>
      <c r="DF106" s="58">
        <f t="shared" si="87"/>
        <v>0</v>
      </c>
      <c r="DG10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1688</v>
      </c>
      <c r="DH10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320703.12</v>
      </c>
      <c r="DI106" s="58">
        <f>Table1[[#This Row],[Grand Total Savings]]/Table1[[#This Row],[Total Award]]</f>
        <v>11.494735483870967</v>
      </c>
      <c r="DJ106" s="17"/>
      <c r="DK106" s="17"/>
      <c r="DL106" s="17"/>
      <c r="DM106" s="17"/>
      <c r="EC106" s="17"/>
      <c r="ED106" s="17"/>
      <c r="EE106" s="17"/>
      <c r="EF106" s="17"/>
    </row>
    <row r="107" spans="1:136" x14ac:dyDescent="0.25">
      <c r="A107" s="159">
        <v>218</v>
      </c>
      <c r="B107" s="17" t="s">
        <v>2011</v>
      </c>
      <c r="D107" s="97">
        <v>510774</v>
      </c>
      <c r="E107" s="158">
        <v>43216</v>
      </c>
      <c r="F107" s="158">
        <v>42887</v>
      </c>
      <c r="G107" s="159" t="s">
        <v>621</v>
      </c>
      <c r="H107" s="95" t="s">
        <v>9</v>
      </c>
      <c r="I107" s="226" t="s">
        <v>118</v>
      </c>
      <c r="J107" s="17" t="s">
        <v>166</v>
      </c>
      <c r="K107" s="107">
        <v>10800</v>
      </c>
      <c r="L107" s="107"/>
      <c r="M107" s="101" t="s">
        <v>654</v>
      </c>
      <c r="N107" s="101" t="s">
        <v>655</v>
      </c>
      <c r="O107" s="101" t="s">
        <v>122</v>
      </c>
      <c r="P107" s="101" t="s">
        <v>123</v>
      </c>
      <c r="Q107" s="101" t="s">
        <v>124</v>
      </c>
      <c r="R107" s="101" t="s">
        <v>122</v>
      </c>
      <c r="S107" s="101" t="s">
        <v>129</v>
      </c>
      <c r="T107" s="17" t="s">
        <v>125</v>
      </c>
      <c r="U107" s="160" t="s">
        <v>126</v>
      </c>
      <c r="V107" s="17" t="s">
        <v>150</v>
      </c>
      <c r="W107" s="17" t="s">
        <v>150</v>
      </c>
      <c r="X107" s="17" t="s">
        <v>127</v>
      </c>
      <c r="Y107" s="58">
        <v>59000.37</v>
      </c>
      <c r="Z107" s="17">
        <v>663</v>
      </c>
      <c r="AA107" s="58">
        <f t="shared" si="90"/>
        <v>88.990000000000009</v>
      </c>
      <c r="AB107" s="21">
        <f t="shared" si="100"/>
        <v>221</v>
      </c>
      <c r="AC107" s="21">
        <f t="shared" si="101"/>
        <v>221</v>
      </c>
      <c r="AD107" s="21">
        <f t="shared" si="102"/>
        <v>221</v>
      </c>
      <c r="AE107" s="17" t="s">
        <v>537</v>
      </c>
      <c r="AF107" s="17" t="s">
        <v>129</v>
      </c>
      <c r="AG107" s="17"/>
      <c r="AI107" s="17" t="s">
        <v>130</v>
      </c>
      <c r="AJ107" s="21">
        <v>0</v>
      </c>
      <c r="AK107" s="58">
        <v>0</v>
      </c>
      <c r="AL107" s="21">
        <v>0</v>
      </c>
      <c r="AM107" s="58">
        <f t="shared" si="105"/>
        <v>0</v>
      </c>
      <c r="AN107" s="21">
        <v>0</v>
      </c>
      <c r="AO107" s="58">
        <f t="shared" si="107"/>
        <v>0</v>
      </c>
      <c r="AP107" s="21">
        <v>0</v>
      </c>
      <c r="AQ107" s="58">
        <f t="shared" si="108"/>
        <v>0</v>
      </c>
      <c r="AR107" s="21">
        <v>0</v>
      </c>
      <c r="AS107" s="58">
        <f t="shared" si="109"/>
        <v>0</v>
      </c>
      <c r="AT107" s="21">
        <v>0</v>
      </c>
      <c r="AU107" s="58">
        <f t="shared" si="111"/>
        <v>0</v>
      </c>
      <c r="AV107" s="21">
        <v>0</v>
      </c>
      <c r="AW107" s="58">
        <v>0</v>
      </c>
      <c r="AX107" s="31">
        <f>Table1[[#This Row],[Students Per Fall]]</f>
        <v>221</v>
      </c>
      <c r="AY107" s="58">
        <f t="shared" si="112"/>
        <v>19666.79</v>
      </c>
      <c r="AZ107" s="31">
        <f>IF(Table1[[#This Row],[Sustainability Check 1 (2017-2018) Status]]="Continued", Table1[[#This Row],[Students Per Spring]], 0)</f>
        <v>221</v>
      </c>
      <c r="BA107" s="58">
        <f t="shared" si="92"/>
        <v>19666.79</v>
      </c>
      <c r="BB107" s="31">
        <f t="shared" si="93"/>
        <v>442</v>
      </c>
      <c r="BC107" s="58">
        <f t="shared" si="94"/>
        <v>39333.58</v>
      </c>
      <c r="BD107" s="31">
        <f>IF(Table1[[#This Row],[Sustainability Check 1 (2017-2018) Status]]="Continued", Table1[[#This Row],[Students Per Summer]], 0)</f>
        <v>221</v>
      </c>
      <c r="BE107" s="58">
        <f t="shared" si="95"/>
        <v>19666.79</v>
      </c>
      <c r="BF107" s="31">
        <f>IF(Table1[[#This Row],[Sustainability Check 1 (2017-2018) Status]]="Continued", Table1[[#This Row],[Students Per Fall]], 0)</f>
        <v>221</v>
      </c>
      <c r="BG107" s="58">
        <f t="shared" si="103"/>
        <v>19666.79</v>
      </c>
      <c r="BH107" s="31">
        <f>IF(Table1[[#This Row],[Sustainability Check 1 (2017-2018) Status]]="Continued", Table1[[#This Row],[Students Per Spring]], 0)</f>
        <v>221</v>
      </c>
      <c r="BI107" s="58">
        <f t="shared" si="104"/>
        <v>19666.79</v>
      </c>
      <c r="BJ107" s="31">
        <f t="shared" si="98"/>
        <v>663</v>
      </c>
      <c r="BK107" s="58">
        <f t="shared" si="99"/>
        <v>59000.37</v>
      </c>
      <c r="BL107" s="58" t="s">
        <v>130</v>
      </c>
      <c r="BM107" s="31">
        <v>17</v>
      </c>
      <c r="BN107" s="31">
        <v>180</v>
      </c>
      <c r="BO107" s="31">
        <v>140</v>
      </c>
      <c r="BP107" s="31">
        <f t="shared" si="106"/>
        <v>337</v>
      </c>
      <c r="BQ107" s="58">
        <v>88.99</v>
      </c>
      <c r="BR107" s="58">
        <f>Table1[[#This Row],[Check 2 Students Total]]*Table1[[#This Row],[Summer 2018 Price Check]]</f>
        <v>29989.629999999997</v>
      </c>
      <c r="BS107" s="31">
        <f>IF(Table1[[#This Row],[Sustainability Check 2 (2018-2019) Status]]="Continued", Table1[[#This Row],[Check 2 Students Summer]], 0)</f>
        <v>17</v>
      </c>
      <c r="BT107" s="58">
        <f>Table1[[#This Row],[Summer 2018 Price Check]]*BS107</f>
        <v>1512.83</v>
      </c>
      <c r="BU107" s="31">
        <f>IF(Table1[[#This Row],[Sustainability Check 2 (2018-2019) Status]]="Continued", Table1[[#This Row],[Check 2 Students Fall]], 0)</f>
        <v>180</v>
      </c>
      <c r="BV107" s="58">
        <f>Table1[[#This Row],[Summer 2018 Price Check]]*BU107</f>
        <v>16018.199999999999</v>
      </c>
      <c r="BW107" s="21">
        <f>IF(Table1[[#This Row],[Sustainability Check 2 (2018-2019) Status]]="Continued", Table1[Check 2 Students Spring], 0)</f>
        <v>140</v>
      </c>
      <c r="BX107" s="58">
        <f>Table1[[#This Row],[Summer 2018 Price Check]]*Table1[[#This Row],[Spring 2019 Students]]</f>
        <v>12458.599999999999</v>
      </c>
      <c r="BY107" s="31">
        <f t="shared" si="79"/>
        <v>337</v>
      </c>
      <c r="BZ107" s="58">
        <f t="shared" si="80"/>
        <v>29989.629999999997</v>
      </c>
      <c r="CA107" s="58" t="s">
        <v>141</v>
      </c>
      <c r="CB107" s="21"/>
      <c r="CC107" s="21"/>
      <c r="CD107" s="21"/>
      <c r="CE107" s="21">
        <f t="shared" si="110"/>
        <v>0</v>
      </c>
      <c r="CF107" s="58"/>
      <c r="CG107" s="58">
        <f t="shared" si="81"/>
        <v>0</v>
      </c>
      <c r="CH107" s="17" t="s">
        <v>537</v>
      </c>
      <c r="CI107" s="21">
        <f>IF(Table1[[#This Row],[Check 3 Status]]="Continued", Table1[[#This Row],[Check 3 Students Summer]], 0)</f>
        <v>0</v>
      </c>
      <c r="CJ107" s="58">
        <f>Table1[[#This Row],[Check 3 Per Student Savings]]*CI107</f>
        <v>0</v>
      </c>
      <c r="CK107" s="21">
        <f>IF(Table1[[#This Row],[Check 3 Status]]="Continued", Table1[[#This Row],[Check 3 Students Fall]], 0)</f>
        <v>0</v>
      </c>
      <c r="CL107" s="58">
        <f>Table1[[#This Row],[Check 3 Per Student Savings]]*CK107</f>
        <v>0</v>
      </c>
      <c r="CM107" s="21">
        <f>IF(Table1[[#This Row],[Check 3 Status]]="Continued", Table1[[#This Row],[Check 3 Students Spring]], 0)</f>
        <v>0</v>
      </c>
      <c r="CN107" s="58">
        <f>Table1[[#This Row],[Check 3 Per Student Savings]]*CM107</f>
        <v>0</v>
      </c>
      <c r="CO107" s="21">
        <f t="shared" si="82"/>
        <v>0</v>
      </c>
      <c r="CP107" s="58">
        <f t="shared" si="83"/>
        <v>0</v>
      </c>
      <c r="CQ107" s="58" t="s">
        <v>1777</v>
      </c>
      <c r="CR107" s="21"/>
      <c r="CS107" s="21"/>
      <c r="CT107" s="21"/>
      <c r="CU107" s="21">
        <f t="shared" si="84"/>
        <v>0</v>
      </c>
      <c r="CV107" s="58">
        <v>0</v>
      </c>
      <c r="CW107" s="58">
        <f t="shared" si="85"/>
        <v>0</v>
      </c>
      <c r="CX107" s="58"/>
      <c r="CY107" s="21">
        <f>IF(Table1[[#This Row],[Check 4 Status]]="Continued", Table1[[#This Row],[Check 4 Students Summer]], 0)</f>
        <v>0</v>
      </c>
      <c r="CZ107" s="58">
        <f>Table1[[#This Row],[Check 4 Per Student Savings]]*CY107</f>
        <v>0</v>
      </c>
      <c r="DA107" s="21">
        <f>IF(Table1[[#This Row],[Check 4 Status]]="Continued", Table1[[#This Row],[Check 4 Students Fall]], 0)</f>
        <v>0</v>
      </c>
      <c r="DB107" s="58">
        <f>Table1[[#This Row],[Check 4 Per Student Savings]]*DA107</f>
        <v>0</v>
      </c>
      <c r="DC107" s="21">
        <f>IF(Table1[[#This Row],[Check 4 Status]]="Continued", Table1[[#This Row],[Check 4 Students Spring]], 0)</f>
        <v>0</v>
      </c>
      <c r="DD107" s="58">
        <f>Table1[[#This Row],[Check 4 Per Student Savings]]*DC107</f>
        <v>0</v>
      </c>
      <c r="DE107" s="58">
        <f t="shared" si="86"/>
        <v>0</v>
      </c>
      <c r="DF107" s="58">
        <f t="shared" si="87"/>
        <v>0</v>
      </c>
      <c r="DG10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1442</v>
      </c>
      <c r="DH10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128323.58000000002</v>
      </c>
      <c r="DI107" s="58">
        <f>Table1[[#This Row],[Grand Total Savings]]/Table1[[#This Row],[Total Award]]</f>
        <v>11.881812962962965</v>
      </c>
      <c r="DJ107" s="17"/>
      <c r="DK107" s="17"/>
      <c r="DL107" s="17"/>
      <c r="DM107" s="17"/>
      <c r="EC107" s="17"/>
      <c r="ED107" s="17"/>
      <c r="EE107" s="17"/>
      <c r="EF107" s="17"/>
    </row>
    <row r="108" spans="1:136" x14ac:dyDescent="0.25">
      <c r="A108" s="159">
        <v>219</v>
      </c>
      <c r="B108" s="17" t="s">
        <v>2011</v>
      </c>
      <c r="D108" s="97">
        <v>510714</v>
      </c>
      <c r="E108" s="158">
        <v>42510</v>
      </c>
      <c r="F108" s="158">
        <v>42886</v>
      </c>
      <c r="G108" s="159" t="s">
        <v>621</v>
      </c>
      <c r="H108" s="95" t="s">
        <v>9</v>
      </c>
      <c r="I108" s="226" t="s">
        <v>118</v>
      </c>
      <c r="J108" s="17" t="s">
        <v>276</v>
      </c>
      <c r="K108" s="107">
        <v>30000</v>
      </c>
      <c r="L108" s="107"/>
      <c r="M108" s="101" t="s">
        <v>656</v>
      </c>
      <c r="N108" s="101" t="s">
        <v>657</v>
      </c>
      <c r="O108" s="101" t="s">
        <v>658</v>
      </c>
      <c r="P108" s="101" t="s">
        <v>659</v>
      </c>
      <c r="Q108" s="101" t="s">
        <v>192</v>
      </c>
      <c r="R108" s="101" t="s">
        <v>518</v>
      </c>
      <c r="S108" s="128" t="s">
        <v>36</v>
      </c>
      <c r="T108" s="17" t="s">
        <v>125</v>
      </c>
      <c r="U108" s="160" t="s">
        <v>193</v>
      </c>
      <c r="V108" s="17" t="s">
        <v>150</v>
      </c>
      <c r="W108" s="17" t="s">
        <v>127</v>
      </c>
      <c r="X108" s="17" t="s">
        <v>127</v>
      </c>
      <c r="Y108" s="58">
        <v>259920</v>
      </c>
      <c r="Z108" s="17">
        <v>720</v>
      </c>
      <c r="AA108" s="58">
        <f t="shared" si="90"/>
        <v>361</v>
      </c>
      <c r="AB108" s="21">
        <f t="shared" si="100"/>
        <v>240</v>
      </c>
      <c r="AC108" s="21">
        <f t="shared" si="101"/>
        <v>240</v>
      </c>
      <c r="AD108" s="21">
        <f t="shared" si="102"/>
        <v>240</v>
      </c>
      <c r="AE108" s="17" t="s">
        <v>537</v>
      </c>
      <c r="AF108" s="17" t="s">
        <v>129</v>
      </c>
      <c r="AG108" s="17"/>
      <c r="AI108" s="17" t="s">
        <v>130</v>
      </c>
      <c r="AJ108" s="21">
        <v>0</v>
      </c>
      <c r="AK108" s="58">
        <v>0</v>
      </c>
      <c r="AL108" s="21">
        <v>0</v>
      </c>
      <c r="AM108" s="58">
        <f t="shared" si="105"/>
        <v>0</v>
      </c>
      <c r="AN108" s="21">
        <v>0</v>
      </c>
      <c r="AO108" s="58">
        <f t="shared" si="107"/>
        <v>0</v>
      </c>
      <c r="AP108" s="21">
        <v>0</v>
      </c>
      <c r="AQ108" s="58">
        <f t="shared" si="108"/>
        <v>0</v>
      </c>
      <c r="AR108" s="21">
        <v>0</v>
      </c>
      <c r="AS108" s="58">
        <f t="shared" si="109"/>
        <v>0</v>
      </c>
      <c r="AT108" s="21">
        <v>0</v>
      </c>
      <c r="AU108" s="58">
        <f t="shared" si="111"/>
        <v>0</v>
      </c>
      <c r="AV108" s="21">
        <v>0</v>
      </c>
      <c r="AW108" s="58">
        <v>0</v>
      </c>
      <c r="AX108" s="31">
        <f>Table1[[#This Row],[Students Per Fall]]</f>
        <v>240</v>
      </c>
      <c r="AY108" s="58">
        <f t="shared" si="112"/>
        <v>86640</v>
      </c>
      <c r="AZ108" s="31">
        <f>IF(Table1[[#This Row],[Sustainability Check 1 (2017-2018) Status]]="Continued", Table1[[#This Row],[Students Per Spring]], 0)</f>
        <v>240</v>
      </c>
      <c r="BA108" s="58">
        <f t="shared" si="92"/>
        <v>86640</v>
      </c>
      <c r="BB108" s="31">
        <f t="shared" si="93"/>
        <v>480</v>
      </c>
      <c r="BC108" s="58">
        <f t="shared" si="94"/>
        <v>173280</v>
      </c>
      <c r="BD108" s="31">
        <f>IF(Table1[[#This Row],[Sustainability Check 1 (2017-2018) Status]]="Continued", Table1[[#This Row],[Students Per Summer]], 0)</f>
        <v>240</v>
      </c>
      <c r="BE108" s="58">
        <f t="shared" si="95"/>
        <v>86640</v>
      </c>
      <c r="BF108" s="31">
        <f>IF(Table1[[#This Row],[Sustainability Check 1 (2017-2018) Status]]="Continued", Table1[[#This Row],[Students Per Fall]], 0)</f>
        <v>240</v>
      </c>
      <c r="BG108" s="58">
        <f t="shared" si="103"/>
        <v>86640</v>
      </c>
      <c r="BH108" s="31">
        <f>IF(Table1[[#This Row],[Sustainability Check 1 (2017-2018) Status]]="Continued", Table1[[#This Row],[Students Per Spring]], 0)</f>
        <v>240</v>
      </c>
      <c r="BI108" s="58">
        <f t="shared" si="104"/>
        <v>86640</v>
      </c>
      <c r="BJ108" s="31">
        <f t="shared" si="98"/>
        <v>720</v>
      </c>
      <c r="BK108" s="58">
        <f t="shared" si="99"/>
        <v>259920</v>
      </c>
      <c r="BL108" s="58" t="s">
        <v>130</v>
      </c>
      <c r="BM108" s="31">
        <v>100</v>
      </c>
      <c r="BN108" s="31">
        <v>300</v>
      </c>
      <c r="BO108" s="31">
        <v>300</v>
      </c>
      <c r="BP108" s="31">
        <f t="shared" si="106"/>
        <v>700</v>
      </c>
      <c r="BQ108" s="58">
        <v>418.93</v>
      </c>
      <c r="BR108" s="58">
        <f>Table1[[#This Row],[Check 2 Students Total]]*Table1[[#This Row],[Summer 2018 Price Check]]</f>
        <v>293251</v>
      </c>
      <c r="BS108" s="31">
        <f>IF(Table1[[#This Row],[Sustainability Check 2 (2018-2019) Status]]="Continued", Table1[[#This Row],[Check 2 Students Summer]], 0)</f>
        <v>100</v>
      </c>
      <c r="BT108" s="58">
        <f>Table1[[#This Row],[Summer 2018 Price Check]]*BS108</f>
        <v>41893</v>
      </c>
      <c r="BU108" s="31">
        <f>IF(Table1[[#This Row],[Sustainability Check 2 (2018-2019) Status]]="Continued", Table1[[#This Row],[Check 2 Students Fall]], 0)</f>
        <v>300</v>
      </c>
      <c r="BV108" s="58">
        <f>Table1[[#This Row],[Summer 2018 Price Check]]*BU108</f>
        <v>125679</v>
      </c>
      <c r="BW108" s="21">
        <f>IF(Table1[[#This Row],[Sustainability Check 2 (2018-2019) Status]]="Continued", Table1[Check 2 Students Spring], 0)</f>
        <v>300</v>
      </c>
      <c r="BX108" s="58">
        <f>Table1[[#This Row],[Summer 2018 Price Check]]*Table1[[#This Row],[Spring 2019 Students]]</f>
        <v>125679</v>
      </c>
      <c r="BY108" s="31">
        <f t="shared" si="79"/>
        <v>700</v>
      </c>
      <c r="BZ108" s="58">
        <f t="shared" si="80"/>
        <v>293251</v>
      </c>
      <c r="CA108" s="58" t="s">
        <v>130</v>
      </c>
      <c r="CB108" s="21">
        <v>136</v>
      </c>
      <c r="CC108" s="21">
        <v>475</v>
      </c>
      <c r="CD108" s="21">
        <v>500</v>
      </c>
      <c r="CE108" s="21">
        <f t="shared" si="110"/>
        <v>1111</v>
      </c>
      <c r="CF108" s="58">
        <v>361</v>
      </c>
      <c r="CG108" s="58">
        <f t="shared" si="81"/>
        <v>401071</v>
      </c>
      <c r="CH108" s="17" t="s">
        <v>537</v>
      </c>
      <c r="CI108" s="21">
        <f>IF(Table1[[#This Row],[Check 3 Status]]="Continued", Table1[[#This Row],[Check 3 Students Summer]], 0)</f>
        <v>136</v>
      </c>
      <c r="CJ108" s="58">
        <f>Table1[[#This Row],[Check 3 Per Student Savings]]*CI108</f>
        <v>49096</v>
      </c>
      <c r="CK108" s="21">
        <f>IF(Table1[[#This Row],[Check 3 Status]]="Continued", Table1[[#This Row],[Check 3 Students Fall]], 0)</f>
        <v>475</v>
      </c>
      <c r="CL108" s="58">
        <f>Table1[[#This Row],[Check 3 Per Student Savings]]*CK108</f>
        <v>171475</v>
      </c>
      <c r="CM108" s="21">
        <f>IF(Table1[[#This Row],[Check 3 Status]]="Continued", Table1[[#This Row],[Check 3 Students Spring]], 0)</f>
        <v>500</v>
      </c>
      <c r="CN108" s="58">
        <f>Table1[[#This Row],[Check 3 Per Student Savings]]*CM108</f>
        <v>180500</v>
      </c>
      <c r="CO108" s="21">
        <f t="shared" si="82"/>
        <v>1111</v>
      </c>
      <c r="CP108" s="58">
        <f t="shared" si="83"/>
        <v>401071</v>
      </c>
      <c r="CQ108" s="58" t="s">
        <v>130</v>
      </c>
      <c r="CR108" s="21">
        <v>136</v>
      </c>
      <c r="CS108" s="21">
        <v>475</v>
      </c>
      <c r="CT108" s="21">
        <v>500</v>
      </c>
      <c r="CU108" s="21">
        <f t="shared" si="84"/>
        <v>1111</v>
      </c>
      <c r="CV108" s="58">
        <v>361</v>
      </c>
      <c r="CW108" s="58">
        <f t="shared" si="85"/>
        <v>401071</v>
      </c>
      <c r="CX108" s="58"/>
      <c r="CY108" s="21">
        <f>IF(Table1[[#This Row],[Check 4 Status]]="Continued", Table1[[#This Row],[Check 4 Students Summer]], 0)</f>
        <v>136</v>
      </c>
      <c r="CZ108" s="58">
        <f>Table1[[#This Row],[Check 4 Per Student Savings]]*CY108</f>
        <v>49096</v>
      </c>
      <c r="DA108" s="21">
        <f>IF(Table1[[#This Row],[Check 4 Status]]="Continued", Table1[[#This Row],[Check 4 Students Fall]], 0)</f>
        <v>475</v>
      </c>
      <c r="DB108" s="58">
        <f>Table1[[#This Row],[Check 4 Per Student Savings]]*DA108</f>
        <v>171475</v>
      </c>
      <c r="DC108" s="21">
        <f>IF(Table1[[#This Row],[Check 4 Status]]="Continued", Table1[[#This Row],[Check 4 Students Spring]], 0)</f>
        <v>500</v>
      </c>
      <c r="DD108" s="58">
        <f>Table1[[#This Row],[Check 4 Per Student Savings]]*DC108</f>
        <v>180500</v>
      </c>
      <c r="DE108" s="58">
        <f t="shared" si="86"/>
        <v>1111</v>
      </c>
      <c r="DF108" s="58">
        <f t="shared" si="87"/>
        <v>401071</v>
      </c>
      <c r="DG10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4122</v>
      </c>
      <c r="DH10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1528593</v>
      </c>
      <c r="DI108" s="58">
        <f>Table1[[#This Row],[Grand Total Savings]]/Table1[[#This Row],[Total Award]]</f>
        <v>50.953099999999999</v>
      </c>
      <c r="DJ108" s="17"/>
      <c r="DK108" s="17"/>
      <c r="DL108" s="17"/>
      <c r="DM108" s="17"/>
      <c r="EC108" s="17"/>
      <c r="ED108" s="17"/>
      <c r="EE108" s="17"/>
      <c r="EF108" s="17"/>
    </row>
    <row r="109" spans="1:136" x14ac:dyDescent="0.25">
      <c r="A109" s="159">
        <v>221</v>
      </c>
      <c r="B109" s="17" t="s">
        <v>2011</v>
      </c>
      <c r="D109" s="97">
        <v>510777</v>
      </c>
      <c r="E109" s="158">
        <v>42521</v>
      </c>
      <c r="F109" s="158">
        <v>42886</v>
      </c>
      <c r="G109" s="159" t="s">
        <v>621</v>
      </c>
      <c r="H109" s="95" t="s">
        <v>9</v>
      </c>
      <c r="I109" s="226" t="s">
        <v>118</v>
      </c>
      <c r="J109" s="17" t="s">
        <v>282</v>
      </c>
      <c r="K109" s="107">
        <v>25600</v>
      </c>
      <c r="L109" s="107"/>
      <c r="M109" s="101" t="s">
        <v>660</v>
      </c>
      <c r="N109" s="101" t="s">
        <v>661</v>
      </c>
      <c r="O109" s="101" t="s">
        <v>204</v>
      </c>
      <c r="P109" s="101" t="s">
        <v>205</v>
      </c>
      <c r="Q109" s="101" t="s">
        <v>206</v>
      </c>
      <c r="R109" s="101" t="s">
        <v>204</v>
      </c>
      <c r="S109" s="101" t="s">
        <v>129</v>
      </c>
      <c r="T109" s="17" t="s">
        <v>125</v>
      </c>
      <c r="U109" s="160" t="s">
        <v>367</v>
      </c>
      <c r="V109" s="17" t="s">
        <v>150</v>
      </c>
      <c r="W109" s="17" t="s">
        <v>127</v>
      </c>
      <c r="X109" s="17" t="s">
        <v>139</v>
      </c>
      <c r="Y109" s="58">
        <v>78331.5</v>
      </c>
      <c r="Z109" s="17">
        <v>845</v>
      </c>
      <c r="AA109" s="58">
        <f t="shared" si="90"/>
        <v>92.7</v>
      </c>
      <c r="AB109" s="21">
        <f t="shared" si="100"/>
        <v>281.66666666666669</v>
      </c>
      <c r="AC109" s="21">
        <f t="shared" si="101"/>
        <v>281.66666666666669</v>
      </c>
      <c r="AD109" s="21">
        <f t="shared" si="102"/>
        <v>281.66666666666669</v>
      </c>
      <c r="AE109" s="17" t="s">
        <v>537</v>
      </c>
      <c r="AF109" s="17" t="s">
        <v>129</v>
      </c>
      <c r="AG109" s="17"/>
      <c r="AI109" s="17" t="s">
        <v>130</v>
      </c>
      <c r="AJ109" s="21">
        <v>0</v>
      </c>
      <c r="AK109" s="58">
        <v>0</v>
      </c>
      <c r="AL109" s="21">
        <v>0</v>
      </c>
      <c r="AM109" s="58">
        <f t="shared" si="105"/>
        <v>0</v>
      </c>
      <c r="AN109" s="21">
        <v>0</v>
      </c>
      <c r="AO109" s="58">
        <f t="shared" si="107"/>
        <v>0</v>
      </c>
      <c r="AP109" s="21">
        <v>0</v>
      </c>
      <c r="AQ109" s="58">
        <f t="shared" si="108"/>
        <v>0</v>
      </c>
      <c r="AR109" s="21">
        <v>0</v>
      </c>
      <c r="AS109" s="58">
        <f t="shared" si="109"/>
        <v>0</v>
      </c>
      <c r="AT109" s="21">
        <v>0</v>
      </c>
      <c r="AU109" s="58">
        <f t="shared" si="111"/>
        <v>0</v>
      </c>
      <c r="AV109" s="21">
        <v>0</v>
      </c>
      <c r="AW109" s="58">
        <v>0</v>
      </c>
      <c r="AX109" s="31">
        <f>Table1[[#This Row],[Students Per Fall]]</f>
        <v>281.66666666666669</v>
      </c>
      <c r="AY109" s="58">
        <f t="shared" si="112"/>
        <v>26110.500000000004</v>
      </c>
      <c r="AZ109" s="31">
        <f>IF(Table1[[#This Row],[Sustainability Check 1 (2017-2018) Status]]="Continued", Table1[[#This Row],[Students Per Spring]], 0)</f>
        <v>281.66666666666669</v>
      </c>
      <c r="BA109" s="58">
        <f t="shared" si="92"/>
        <v>26110.500000000004</v>
      </c>
      <c r="BB109" s="31">
        <f t="shared" si="93"/>
        <v>563.33333333333337</v>
      </c>
      <c r="BC109" s="58">
        <f t="shared" si="94"/>
        <v>52221.000000000007</v>
      </c>
      <c r="BD109" s="31">
        <f>IF(Table1[[#This Row],[Sustainability Check 1 (2017-2018) Status]]="Continued", Table1[[#This Row],[Students Per Summer]], 0)</f>
        <v>281.66666666666669</v>
      </c>
      <c r="BE109" s="58">
        <f t="shared" si="95"/>
        <v>26110.500000000004</v>
      </c>
      <c r="BF109" s="31">
        <f>IF(Table1[[#This Row],[Sustainability Check 1 (2017-2018) Status]]="Continued", Table1[[#This Row],[Students Per Fall]], 0)</f>
        <v>281.66666666666669</v>
      </c>
      <c r="BG109" s="58">
        <f t="shared" si="103"/>
        <v>26110.500000000004</v>
      </c>
      <c r="BH109" s="31">
        <f>IF(Table1[[#This Row],[Sustainability Check 1 (2017-2018) Status]]="Continued", Table1[[#This Row],[Students Per Spring]], 0)</f>
        <v>281.66666666666669</v>
      </c>
      <c r="BI109" s="58">
        <f t="shared" si="104"/>
        <v>26110.500000000004</v>
      </c>
      <c r="BJ109" s="31">
        <f t="shared" si="98"/>
        <v>845</v>
      </c>
      <c r="BK109" s="58">
        <f t="shared" si="99"/>
        <v>78331.500000000015</v>
      </c>
      <c r="BL109" s="58" t="s">
        <v>142</v>
      </c>
      <c r="BM109" s="31">
        <v>0</v>
      </c>
      <c r="BN109" s="31">
        <v>0</v>
      </c>
      <c r="BO109" s="31">
        <v>0</v>
      </c>
      <c r="BP109" s="31">
        <f t="shared" si="106"/>
        <v>0</v>
      </c>
      <c r="BQ109" s="96">
        <v>142.97999999999999</v>
      </c>
      <c r="BR109" s="58">
        <f>Table1[[#This Row],[Check 2 Students Total]]*Table1[[#This Row],[Summer 2018 Price Check]]</f>
        <v>0</v>
      </c>
      <c r="BS109" s="31">
        <f>IF(Table1[[#This Row],[Sustainability Check 2 (2018-2019) Status]]="Continued", Table1[[#This Row],[Check 2 Students Summer]], 0)</f>
        <v>0</v>
      </c>
      <c r="BT109" s="58">
        <f>Table1[[#This Row],[Summer 2018 Price Check]]*BS109</f>
        <v>0</v>
      </c>
      <c r="BU109" s="31">
        <f>IF(Table1[[#This Row],[Sustainability Check 2 (2018-2019) Status]]="Continued", Table1[[#This Row],[Check 2 Students Fall]], 0)</f>
        <v>0</v>
      </c>
      <c r="BV109" s="58">
        <f>Table1[[#This Row],[Summer 2018 Price Check]]*BU109</f>
        <v>0</v>
      </c>
      <c r="BW109" s="21">
        <f>IF(Table1[[#This Row],[Sustainability Check 2 (2018-2019) Status]]="Continued", Table1[Check 2 Students Spring], 0)</f>
        <v>0</v>
      </c>
      <c r="BX109" s="58">
        <f>Table1[[#This Row],[Summer 2018 Price Check]]*Table1[[#This Row],[Spring 2019 Students]]</f>
        <v>0</v>
      </c>
      <c r="BY109" s="31">
        <f t="shared" si="79"/>
        <v>0</v>
      </c>
      <c r="BZ109" s="58">
        <f t="shared" si="80"/>
        <v>0</v>
      </c>
      <c r="CA109" s="58" t="s">
        <v>142</v>
      </c>
      <c r="CB109" s="21"/>
      <c r="CC109" s="21"/>
      <c r="CD109" s="21"/>
      <c r="CE109" s="21">
        <f t="shared" si="110"/>
        <v>0</v>
      </c>
      <c r="CF109" s="58"/>
      <c r="CG109" s="58">
        <f t="shared" si="81"/>
        <v>0</v>
      </c>
      <c r="CH109" s="17" t="s">
        <v>537</v>
      </c>
      <c r="CI109" s="21">
        <f>IF(Table1[[#This Row],[Check 3 Status]]="Continued", Table1[[#This Row],[Check 3 Students Summer]], 0)</f>
        <v>0</v>
      </c>
      <c r="CJ109" s="58">
        <f>Table1[[#This Row],[Check 3 Per Student Savings]]*CI109</f>
        <v>0</v>
      </c>
      <c r="CK109" s="21">
        <f>IF(Table1[[#This Row],[Check 3 Status]]="Continued", Table1[[#This Row],[Check 3 Students Fall]], 0)</f>
        <v>0</v>
      </c>
      <c r="CL109" s="58">
        <f>Table1[[#This Row],[Check 3 Per Student Savings]]*CK109</f>
        <v>0</v>
      </c>
      <c r="CM109" s="21">
        <f>IF(Table1[[#This Row],[Check 3 Status]]="Continued", Table1[[#This Row],[Check 3 Students Spring]], 0)</f>
        <v>0</v>
      </c>
      <c r="CN109" s="58">
        <f>Table1[[#This Row],[Check 3 Per Student Savings]]*CM109</f>
        <v>0</v>
      </c>
      <c r="CO109" s="21">
        <f t="shared" si="82"/>
        <v>0</v>
      </c>
      <c r="CP109" s="58">
        <f t="shared" si="83"/>
        <v>0</v>
      </c>
      <c r="CQ109" s="58" t="s">
        <v>142</v>
      </c>
      <c r="CR109" s="21"/>
      <c r="CS109" s="21"/>
      <c r="CT109" s="21"/>
      <c r="CU109" s="21">
        <f t="shared" si="84"/>
        <v>0</v>
      </c>
      <c r="CV109" s="58">
        <v>0</v>
      </c>
      <c r="CW109" s="58">
        <f t="shared" si="85"/>
        <v>0</v>
      </c>
      <c r="CX109" s="58"/>
      <c r="CY109" s="21">
        <f>IF(Table1[[#This Row],[Check 4 Status]]="Continued", Table1[[#This Row],[Check 4 Students Summer]], 0)</f>
        <v>0</v>
      </c>
      <c r="CZ109" s="58">
        <f>Table1[[#This Row],[Check 4 Per Student Savings]]*CY109</f>
        <v>0</v>
      </c>
      <c r="DA109" s="21">
        <f>IF(Table1[[#This Row],[Check 4 Status]]="Continued", Table1[[#This Row],[Check 4 Students Fall]], 0)</f>
        <v>0</v>
      </c>
      <c r="DB109" s="58">
        <f>Table1[[#This Row],[Check 4 Per Student Savings]]*DA109</f>
        <v>0</v>
      </c>
      <c r="DC109" s="21">
        <f>IF(Table1[[#This Row],[Check 4 Status]]="Continued", Table1[[#This Row],[Check 4 Students Spring]], 0)</f>
        <v>0</v>
      </c>
      <c r="DD109" s="58">
        <f>Table1[[#This Row],[Check 4 Per Student Savings]]*DC109</f>
        <v>0</v>
      </c>
      <c r="DE109" s="58">
        <f t="shared" si="86"/>
        <v>0</v>
      </c>
      <c r="DF109" s="58">
        <f t="shared" si="87"/>
        <v>0</v>
      </c>
      <c r="DG10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1408.3333333333335</v>
      </c>
      <c r="DH10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130552.50000000003</v>
      </c>
      <c r="DI109" s="58">
        <f>Table1[[#This Row],[Grand Total Savings]]/Table1[[#This Row],[Total Award]]</f>
        <v>5.0997070312500012</v>
      </c>
      <c r="DJ109" s="17"/>
      <c r="DK109" s="17"/>
      <c r="DL109" s="17"/>
      <c r="DM109" s="17"/>
      <c r="EC109" s="17"/>
      <c r="ED109" s="17"/>
      <c r="EE109" s="17"/>
      <c r="EF109" s="17"/>
    </row>
    <row r="110" spans="1:136" x14ac:dyDescent="0.25">
      <c r="A110" s="159">
        <v>225</v>
      </c>
      <c r="B110" s="17" t="s">
        <v>2011</v>
      </c>
      <c r="D110" s="97">
        <v>510840</v>
      </c>
      <c r="E110" s="158">
        <v>42734</v>
      </c>
      <c r="F110" s="158">
        <v>42886</v>
      </c>
      <c r="G110" s="159" t="s">
        <v>621</v>
      </c>
      <c r="H110" s="95" t="s">
        <v>9</v>
      </c>
      <c r="I110" s="226" t="s">
        <v>118</v>
      </c>
      <c r="J110" s="17" t="s">
        <v>276</v>
      </c>
      <c r="K110" s="107">
        <v>10800</v>
      </c>
      <c r="L110" s="107"/>
      <c r="M110" s="101" t="s">
        <v>662</v>
      </c>
      <c r="N110" s="101" t="s">
        <v>663</v>
      </c>
      <c r="O110" s="101" t="s">
        <v>454</v>
      </c>
      <c r="P110" s="101" t="s">
        <v>455</v>
      </c>
      <c r="Q110" s="101" t="s">
        <v>456</v>
      </c>
      <c r="R110" s="101" t="s">
        <v>454</v>
      </c>
      <c r="S110" s="101" t="s">
        <v>129</v>
      </c>
      <c r="T110" s="17" t="s">
        <v>125</v>
      </c>
      <c r="U110" s="160" t="s">
        <v>457</v>
      </c>
      <c r="V110" s="17" t="s">
        <v>150</v>
      </c>
      <c r="W110" s="17" t="s">
        <v>127</v>
      </c>
      <c r="X110" s="17" t="s">
        <v>139</v>
      </c>
      <c r="Y110" s="58">
        <v>69272</v>
      </c>
      <c r="Z110" s="17">
        <v>280</v>
      </c>
      <c r="AA110" s="58">
        <f t="shared" si="90"/>
        <v>247.4</v>
      </c>
      <c r="AB110" s="21">
        <f t="shared" si="100"/>
        <v>93.333333333333329</v>
      </c>
      <c r="AC110" s="21">
        <f t="shared" si="101"/>
        <v>93.333333333333329</v>
      </c>
      <c r="AD110" s="21">
        <f t="shared" si="102"/>
        <v>93.333333333333329</v>
      </c>
      <c r="AE110" s="17" t="s">
        <v>537</v>
      </c>
      <c r="AF110" s="17" t="s">
        <v>129</v>
      </c>
      <c r="AG110" s="17"/>
      <c r="AI110" s="17" t="s">
        <v>130</v>
      </c>
      <c r="AJ110" s="21">
        <v>0</v>
      </c>
      <c r="AK110" s="58">
        <v>0</v>
      </c>
      <c r="AL110" s="21">
        <v>0</v>
      </c>
      <c r="AM110" s="58">
        <f t="shared" si="105"/>
        <v>0</v>
      </c>
      <c r="AN110" s="21">
        <v>0</v>
      </c>
      <c r="AO110" s="58">
        <f t="shared" si="107"/>
        <v>0</v>
      </c>
      <c r="AP110" s="21">
        <v>0</v>
      </c>
      <c r="AQ110" s="58">
        <f t="shared" si="108"/>
        <v>0</v>
      </c>
      <c r="AR110" s="21">
        <v>0</v>
      </c>
      <c r="AS110" s="58">
        <f t="shared" si="109"/>
        <v>0</v>
      </c>
      <c r="AT110" s="21">
        <v>0</v>
      </c>
      <c r="AU110" s="58">
        <f t="shared" si="111"/>
        <v>0</v>
      </c>
      <c r="AV110" s="21">
        <v>0</v>
      </c>
      <c r="AW110" s="58">
        <v>0</v>
      </c>
      <c r="AX110" s="31">
        <f>Table1[[#This Row],[Students Per Fall]]</f>
        <v>93.333333333333329</v>
      </c>
      <c r="AY110" s="58">
        <f t="shared" si="112"/>
        <v>23090.666666666664</v>
      </c>
      <c r="AZ110" s="31">
        <f>IF(Table1[[#This Row],[Sustainability Check 1 (2017-2018) Status]]="Continued", Table1[[#This Row],[Students Per Spring]], 0)</f>
        <v>93.333333333333329</v>
      </c>
      <c r="BA110" s="58">
        <f t="shared" si="92"/>
        <v>23090.666666666664</v>
      </c>
      <c r="BB110" s="31">
        <f t="shared" si="93"/>
        <v>186.66666666666666</v>
      </c>
      <c r="BC110" s="58">
        <f t="shared" si="94"/>
        <v>46181.333333333328</v>
      </c>
      <c r="BD110" s="31">
        <f>IF(Table1[[#This Row],[Sustainability Check 1 (2017-2018) Status]]="Continued", Table1[[#This Row],[Students Per Summer]], 0)</f>
        <v>93.333333333333329</v>
      </c>
      <c r="BE110" s="58">
        <f t="shared" si="95"/>
        <v>23090.666666666664</v>
      </c>
      <c r="BF110" s="31">
        <f>IF(Table1[[#This Row],[Sustainability Check 1 (2017-2018) Status]]="Continued", Table1[[#This Row],[Students Per Fall]], 0)</f>
        <v>93.333333333333329</v>
      </c>
      <c r="BG110" s="58">
        <f t="shared" si="103"/>
        <v>23090.666666666664</v>
      </c>
      <c r="BH110" s="31">
        <f>IF(Table1[[#This Row],[Sustainability Check 1 (2017-2018) Status]]="Continued", Table1[[#This Row],[Students Per Spring]], 0)</f>
        <v>93.333333333333329</v>
      </c>
      <c r="BI110" s="58">
        <f t="shared" si="104"/>
        <v>23090.666666666664</v>
      </c>
      <c r="BJ110" s="31">
        <f t="shared" si="98"/>
        <v>280</v>
      </c>
      <c r="BK110" s="58">
        <f t="shared" si="99"/>
        <v>69272</v>
      </c>
      <c r="BL110" s="58" t="s">
        <v>130</v>
      </c>
      <c r="BM110" s="31">
        <v>60</v>
      </c>
      <c r="BN110" s="31">
        <v>200</v>
      </c>
      <c r="BO110" s="31">
        <v>200</v>
      </c>
      <c r="BP110" s="31">
        <f t="shared" si="106"/>
        <v>460</v>
      </c>
      <c r="BQ110" s="96">
        <v>208.67</v>
      </c>
      <c r="BR110" s="58">
        <f>Table1[[#This Row],[Check 2 Students Total]]*Table1[[#This Row],[Summer 2018 Price Check]]</f>
        <v>95988.2</v>
      </c>
      <c r="BS110" s="31">
        <f>IF(Table1[[#This Row],[Sustainability Check 2 (2018-2019) Status]]="Continued", Table1[[#This Row],[Check 2 Students Summer]], 0)</f>
        <v>60</v>
      </c>
      <c r="BT110" s="58">
        <f>Table1[[#This Row],[Summer 2018 Price Check]]*BS110</f>
        <v>12520.199999999999</v>
      </c>
      <c r="BU110" s="31">
        <f>IF(Table1[[#This Row],[Sustainability Check 2 (2018-2019) Status]]="Continued", Table1[[#This Row],[Check 2 Students Fall]], 0)</f>
        <v>200</v>
      </c>
      <c r="BV110" s="58">
        <f>Table1[[#This Row],[Summer 2018 Price Check]]*BU110</f>
        <v>41734</v>
      </c>
      <c r="BW110" s="21">
        <f>IF(Table1[[#This Row],[Sustainability Check 2 (2018-2019) Status]]="Continued", Table1[Check 2 Students Spring], 0)</f>
        <v>200</v>
      </c>
      <c r="BX110" s="58">
        <f>Table1[[#This Row],[Summer 2018 Price Check]]*Table1[[#This Row],[Spring 2019 Students]]</f>
        <v>41734</v>
      </c>
      <c r="BY110" s="31">
        <f t="shared" si="79"/>
        <v>460</v>
      </c>
      <c r="BZ110" s="58">
        <f t="shared" si="80"/>
        <v>95988.2</v>
      </c>
      <c r="CA110" s="58" t="s">
        <v>130</v>
      </c>
      <c r="CB110" s="21">
        <v>60</v>
      </c>
      <c r="CC110" s="21">
        <v>200</v>
      </c>
      <c r="CD110" s="21">
        <v>200</v>
      </c>
      <c r="CE110" s="21">
        <f t="shared" si="110"/>
        <v>460</v>
      </c>
      <c r="CF110" s="58">
        <v>247.5</v>
      </c>
      <c r="CG110" s="58">
        <f t="shared" si="81"/>
        <v>113850</v>
      </c>
      <c r="CH110" s="17" t="s">
        <v>537</v>
      </c>
      <c r="CI110" s="21">
        <f>IF(Table1[[#This Row],[Check 3 Status]]="Continued", Table1[[#This Row],[Check 3 Students Summer]], 0)</f>
        <v>60</v>
      </c>
      <c r="CJ110" s="58">
        <f>Table1[[#This Row],[Check 3 Per Student Savings]]*CI110</f>
        <v>14850</v>
      </c>
      <c r="CK110" s="21">
        <f>IF(Table1[[#This Row],[Check 3 Status]]="Continued", Table1[[#This Row],[Check 3 Students Fall]], 0)</f>
        <v>200</v>
      </c>
      <c r="CL110" s="58">
        <f>Table1[[#This Row],[Check 3 Per Student Savings]]*CK110</f>
        <v>49500</v>
      </c>
      <c r="CM110" s="21">
        <f>IF(Table1[[#This Row],[Check 3 Status]]="Continued", Table1[[#This Row],[Check 3 Students Spring]], 0)</f>
        <v>200</v>
      </c>
      <c r="CN110" s="58">
        <f>Table1[[#This Row],[Check 3 Per Student Savings]]*CM110</f>
        <v>49500</v>
      </c>
      <c r="CO110" s="21">
        <f t="shared" si="82"/>
        <v>460</v>
      </c>
      <c r="CP110" s="58">
        <f t="shared" si="83"/>
        <v>113850</v>
      </c>
      <c r="CQ110" s="58" t="s">
        <v>130</v>
      </c>
      <c r="CR110" s="21">
        <v>60</v>
      </c>
      <c r="CS110" s="21">
        <v>200</v>
      </c>
      <c r="CT110" s="21">
        <v>200</v>
      </c>
      <c r="CU110" s="21">
        <f t="shared" si="84"/>
        <v>460</v>
      </c>
      <c r="CV110" s="58">
        <v>247.5</v>
      </c>
      <c r="CW110" s="58">
        <f t="shared" si="85"/>
        <v>113850</v>
      </c>
      <c r="CX110" s="58"/>
      <c r="CY110" s="21">
        <f>IF(Table1[[#This Row],[Check 4 Status]]="Continued", Table1[[#This Row],[Check 4 Students Summer]], 0)</f>
        <v>60</v>
      </c>
      <c r="CZ110" s="58">
        <f>Table1[[#This Row],[Check 4 Per Student Savings]]*CY110</f>
        <v>14850</v>
      </c>
      <c r="DA110" s="21">
        <f>IF(Table1[[#This Row],[Check 4 Status]]="Continued", Table1[[#This Row],[Check 4 Students Fall]], 0)</f>
        <v>200</v>
      </c>
      <c r="DB110" s="58">
        <f>Table1[[#This Row],[Check 4 Per Student Savings]]*DA110</f>
        <v>49500</v>
      </c>
      <c r="DC110" s="21">
        <f>IF(Table1[[#This Row],[Check 4 Status]]="Continued", Table1[[#This Row],[Check 4 Students Spring]], 0)</f>
        <v>200</v>
      </c>
      <c r="DD110" s="58">
        <f>Table1[[#This Row],[Check 4 Per Student Savings]]*DC110</f>
        <v>49500</v>
      </c>
      <c r="DE110" s="58">
        <f t="shared" si="86"/>
        <v>460</v>
      </c>
      <c r="DF110" s="58">
        <f t="shared" si="87"/>
        <v>113850</v>
      </c>
      <c r="DG11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1846.6666666666665</v>
      </c>
      <c r="DH11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439141.53333333333</v>
      </c>
      <c r="DI110" s="58">
        <f>Table1[[#This Row],[Grand Total Savings]]/Table1[[#This Row],[Total Award]]</f>
        <v>40.661253086419755</v>
      </c>
      <c r="DJ110" s="17"/>
      <c r="DK110" s="17"/>
      <c r="DL110" s="17"/>
      <c r="DM110" s="17"/>
      <c r="EC110" s="17"/>
      <c r="ED110" s="17"/>
      <c r="EE110" s="17"/>
      <c r="EF110" s="17"/>
    </row>
    <row r="111" spans="1:136" x14ac:dyDescent="0.25">
      <c r="A111" s="159">
        <v>229</v>
      </c>
      <c r="B111" s="17" t="s">
        <v>2011</v>
      </c>
      <c r="D111" s="97">
        <v>510713</v>
      </c>
      <c r="E111" s="158">
        <v>42875</v>
      </c>
      <c r="F111" s="165">
        <v>43244</v>
      </c>
      <c r="G111" s="159" t="s">
        <v>621</v>
      </c>
      <c r="H111" s="95" t="s">
        <v>9</v>
      </c>
      <c r="I111" s="226" t="s">
        <v>118</v>
      </c>
      <c r="J111" s="17" t="s">
        <v>132</v>
      </c>
      <c r="K111" s="107">
        <v>10800</v>
      </c>
      <c r="L111" s="107"/>
      <c r="M111" s="101" t="s">
        <v>664</v>
      </c>
      <c r="N111" s="101" t="s">
        <v>665</v>
      </c>
      <c r="O111" s="101" t="s">
        <v>666</v>
      </c>
      <c r="P111" s="101" t="s">
        <v>667</v>
      </c>
      <c r="Q111" s="101" t="s">
        <v>177</v>
      </c>
      <c r="R111" s="101" t="s">
        <v>129</v>
      </c>
      <c r="S111" s="160" t="s">
        <v>36</v>
      </c>
      <c r="T111" s="17" t="s">
        <v>129</v>
      </c>
      <c r="U111" s="160" t="s">
        <v>666</v>
      </c>
      <c r="V111" s="17" t="s">
        <v>150</v>
      </c>
      <c r="W111" s="17" t="s">
        <v>127</v>
      </c>
      <c r="X111" s="17" t="s">
        <v>127</v>
      </c>
      <c r="Y111" s="58">
        <v>23936</v>
      </c>
      <c r="Z111" s="17">
        <v>160</v>
      </c>
      <c r="AA111" s="58">
        <f t="shared" si="90"/>
        <v>149.6</v>
      </c>
      <c r="AB111" s="21">
        <f t="shared" si="100"/>
        <v>53.333333333333336</v>
      </c>
      <c r="AC111" s="21">
        <f t="shared" si="101"/>
        <v>53.333333333333336</v>
      </c>
      <c r="AD111" s="21">
        <f t="shared" si="102"/>
        <v>53.333333333333336</v>
      </c>
      <c r="AE111" s="17" t="s">
        <v>537</v>
      </c>
      <c r="AF111" s="17" t="s">
        <v>129</v>
      </c>
      <c r="AG111" s="17"/>
      <c r="AI111" s="17" t="s">
        <v>130</v>
      </c>
      <c r="AJ111" s="21">
        <v>0</v>
      </c>
      <c r="AK111" s="58">
        <v>0</v>
      </c>
      <c r="AL111" s="21">
        <v>0</v>
      </c>
      <c r="AM111" s="58">
        <f t="shared" si="105"/>
        <v>0</v>
      </c>
      <c r="AN111" s="21">
        <v>0</v>
      </c>
      <c r="AO111" s="58">
        <f t="shared" si="107"/>
        <v>0</v>
      </c>
      <c r="AP111" s="21">
        <v>0</v>
      </c>
      <c r="AQ111" s="58">
        <f t="shared" si="108"/>
        <v>0</v>
      </c>
      <c r="AR111" s="21">
        <v>0</v>
      </c>
      <c r="AS111" s="58">
        <f t="shared" si="109"/>
        <v>0</v>
      </c>
      <c r="AT111" s="21">
        <v>0</v>
      </c>
      <c r="AU111" s="58">
        <f t="shared" si="111"/>
        <v>0</v>
      </c>
      <c r="AV111" s="21">
        <v>0</v>
      </c>
      <c r="AW111" s="58">
        <v>0</v>
      </c>
      <c r="AX111" s="31">
        <f>Table1[[#This Row],[Students Per Fall]]</f>
        <v>53.333333333333336</v>
      </c>
      <c r="AY111" s="58">
        <f t="shared" si="112"/>
        <v>7978.666666666667</v>
      </c>
      <c r="AZ111" s="31">
        <f>IF(Table1[[#This Row],[Sustainability Check 1 (2017-2018) Status]]="Continued", Table1[[#This Row],[Students Per Spring]], 0)</f>
        <v>53.333333333333336</v>
      </c>
      <c r="BA111" s="58">
        <f t="shared" si="92"/>
        <v>7978.666666666667</v>
      </c>
      <c r="BB111" s="31">
        <f t="shared" si="93"/>
        <v>106.66666666666667</v>
      </c>
      <c r="BC111" s="58">
        <f t="shared" si="94"/>
        <v>15957.333333333334</v>
      </c>
      <c r="BD111" s="31">
        <f>IF(Table1[[#This Row],[Sustainability Check 1 (2017-2018) Status]]="Continued", Table1[[#This Row],[Students Per Summer]], 0)</f>
        <v>53.333333333333336</v>
      </c>
      <c r="BE111" s="58">
        <f t="shared" si="95"/>
        <v>7978.666666666667</v>
      </c>
      <c r="BF111" s="31">
        <f>IF(Table1[[#This Row],[Sustainability Check 1 (2017-2018) Status]]="Continued", Table1[[#This Row],[Students Per Fall]], 0)</f>
        <v>53.333333333333336</v>
      </c>
      <c r="BG111" s="58">
        <f t="shared" si="103"/>
        <v>7978.666666666667</v>
      </c>
      <c r="BH111" s="31">
        <f>IF(Table1[[#This Row],[Sustainability Check 1 (2017-2018) Status]]="Continued", Table1[[#This Row],[Students Per Spring]], 0)</f>
        <v>53.333333333333336</v>
      </c>
      <c r="BI111" s="58">
        <f t="shared" si="104"/>
        <v>7978.666666666667</v>
      </c>
      <c r="BJ111" s="31">
        <f t="shared" si="98"/>
        <v>160</v>
      </c>
      <c r="BK111" s="58">
        <f t="shared" si="99"/>
        <v>23936</v>
      </c>
      <c r="BL111" s="58" t="s">
        <v>130</v>
      </c>
      <c r="BM111" s="31">
        <v>30</v>
      </c>
      <c r="BN111" s="31">
        <v>65</v>
      </c>
      <c r="BO111" s="31">
        <v>45</v>
      </c>
      <c r="BP111" s="31">
        <f t="shared" si="106"/>
        <v>140</v>
      </c>
      <c r="BQ111" s="96">
        <v>145.5</v>
      </c>
      <c r="BR111" s="58">
        <f>Table1[[#This Row],[Check 2 Students Total]]*Table1[[#This Row],[Summer 2018 Price Check]]</f>
        <v>20370</v>
      </c>
      <c r="BS111" s="31">
        <f>IF(Table1[[#This Row],[Sustainability Check 2 (2018-2019) Status]]="Continued", Table1[[#This Row],[Check 2 Students Summer]], 0)</f>
        <v>30</v>
      </c>
      <c r="BT111" s="58">
        <f>Table1[[#This Row],[Summer 2018 Price Check]]*BS111</f>
        <v>4365</v>
      </c>
      <c r="BU111" s="31">
        <f>IF(Table1[[#This Row],[Sustainability Check 2 (2018-2019) Status]]="Continued", Table1[[#This Row],[Check 2 Students Fall]], 0)</f>
        <v>65</v>
      </c>
      <c r="BV111" s="58">
        <f>Table1[[#This Row],[Summer 2018 Price Check]]*BU111</f>
        <v>9457.5</v>
      </c>
      <c r="BW111" s="21">
        <f>IF(Table1[[#This Row],[Sustainability Check 2 (2018-2019) Status]]="Continued", Table1[Check 2 Students Spring], 0)</f>
        <v>45</v>
      </c>
      <c r="BX111" s="58">
        <f>Table1[[#This Row],[Summer 2018 Price Check]]*Table1[[#This Row],[Spring 2019 Students]]</f>
        <v>6547.5</v>
      </c>
      <c r="BY111" s="31">
        <f t="shared" si="79"/>
        <v>140</v>
      </c>
      <c r="BZ111" s="58">
        <f t="shared" si="80"/>
        <v>20370</v>
      </c>
      <c r="CA111" s="58" t="s">
        <v>130</v>
      </c>
      <c r="CB111" s="21">
        <v>30</v>
      </c>
      <c r="CC111" s="21">
        <v>65</v>
      </c>
      <c r="CD111" s="21">
        <v>45</v>
      </c>
      <c r="CE111" s="21">
        <f t="shared" si="110"/>
        <v>140</v>
      </c>
      <c r="CF111" s="58">
        <v>149.6</v>
      </c>
      <c r="CG111" s="58">
        <f t="shared" si="81"/>
        <v>20944</v>
      </c>
      <c r="CH111" s="17" t="s">
        <v>537</v>
      </c>
      <c r="CI111" s="21">
        <f>IF(Table1[[#This Row],[Check 3 Status]]="Continued", Table1[[#This Row],[Check 3 Students Summer]], 0)</f>
        <v>30</v>
      </c>
      <c r="CJ111" s="58">
        <f>Table1[[#This Row],[Check 3 Per Student Savings]]*CI111</f>
        <v>4488</v>
      </c>
      <c r="CK111" s="21">
        <f>IF(Table1[[#This Row],[Check 3 Status]]="Continued", Table1[[#This Row],[Check 3 Students Fall]], 0)</f>
        <v>65</v>
      </c>
      <c r="CL111" s="58">
        <f>Table1[[#This Row],[Check 3 Per Student Savings]]*CK111</f>
        <v>9724</v>
      </c>
      <c r="CM111" s="21">
        <f>IF(Table1[[#This Row],[Check 3 Status]]="Continued", Table1[[#This Row],[Check 3 Students Spring]], 0)</f>
        <v>45</v>
      </c>
      <c r="CN111" s="58">
        <f>Table1[[#This Row],[Check 3 Per Student Savings]]*CM111</f>
        <v>6732</v>
      </c>
      <c r="CO111" s="21">
        <f t="shared" si="82"/>
        <v>140</v>
      </c>
      <c r="CP111" s="58">
        <f t="shared" si="83"/>
        <v>20944</v>
      </c>
      <c r="CQ111" s="58" t="s">
        <v>130</v>
      </c>
      <c r="CR111" s="21">
        <v>30</v>
      </c>
      <c r="CS111" s="21">
        <v>65</v>
      </c>
      <c r="CT111" s="21">
        <v>45</v>
      </c>
      <c r="CU111" s="21">
        <f t="shared" si="84"/>
        <v>140</v>
      </c>
      <c r="CV111" s="58">
        <v>149.6</v>
      </c>
      <c r="CW111" s="58">
        <f t="shared" si="85"/>
        <v>20944</v>
      </c>
      <c r="CX111" s="58"/>
      <c r="CY111" s="21">
        <f>IF(Table1[[#This Row],[Check 4 Status]]="Continued", Table1[[#This Row],[Check 4 Students Summer]], 0)</f>
        <v>30</v>
      </c>
      <c r="CZ111" s="58">
        <f>Table1[[#This Row],[Check 4 Per Student Savings]]*CY111</f>
        <v>4488</v>
      </c>
      <c r="DA111" s="21">
        <f>IF(Table1[[#This Row],[Check 4 Status]]="Continued", Table1[[#This Row],[Check 4 Students Fall]], 0)</f>
        <v>65</v>
      </c>
      <c r="DB111" s="58">
        <f>Table1[[#This Row],[Check 4 Per Student Savings]]*DA111</f>
        <v>9724</v>
      </c>
      <c r="DC111" s="21">
        <f>IF(Table1[[#This Row],[Check 4 Status]]="Continued", Table1[[#This Row],[Check 4 Students Spring]], 0)</f>
        <v>45</v>
      </c>
      <c r="DD111" s="58">
        <f>Table1[[#This Row],[Check 4 Per Student Savings]]*DC111</f>
        <v>6732</v>
      </c>
      <c r="DE111" s="58">
        <f t="shared" si="86"/>
        <v>140</v>
      </c>
      <c r="DF111" s="58">
        <f t="shared" si="87"/>
        <v>20944</v>
      </c>
      <c r="DG11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686.66666666666674</v>
      </c>
      <c r="DH11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102151.33333333334</v>
      </c>
      <c r="DI111" s="58">
        <f>Table1[[#This Row],[Grand Total Savings]]/Table1[[#This Row],[Total Award]]</f>
        <v>9.4584567901234582</v>
      </c>
      <c r="DJ111" s="17"/>
      <c r="DK111" s="17"/>
      <c r="DL111" s="17"/>
      <c r="DM111" s="17"/>
      <c r="EC111" s="17"/>
      <c r="ED111" s="17"/>
      <c r="EE111" s="17"/>
      <c r="EF111" s="17"/>
    </row>
    <row r="112" spans="1:136" x14ac:dyDescent="0.25">
      <c r="A112" s="157" t="s">
        <v>668</v>
      </c>
      <c r="B112" s="17" t="s">
        <v>2011</v>
      </c>
      <c r="D112" s="97">
        <v>511235</v>
      </c>
      <c r="E112" s="158">
        <v>42704</v>
      </c>
      <c r="F112" s="158">
        <v>42886</v>
      </c>
      <c r="G112" s="159" t="s">
        <v>669</v>
      </c>
      <c r="H112" s="95" t="s">
        <v>8</v>
      </c>
      <c r="I112" s="226" t="s">
        <v>118</v>
      </c>
      <c r="J112" s="17" t="s">
        <v>426</v>
      </c>
      <c r="K112" s="107">
        <v>8800</v>
      </c>
      <c r="L112" s="107"/>
      <c r="M112" s="101" t="s">
        <v>427</v>
      </c>
      <c r="N112" s="17" t="s">
        <v>428</v>
      </c>
      <c r="O112" s="101">
        <v>0</v>
      </c>
      <c r="P112" s="101">
        <v>0</v>
      </c>
      <c r="Q112" s="101" t="s">
        <v>148</v>
      </c>
      <c r="R112" s="101" t="s">
        <v>129</v>
      </c>
      <c r="S112" s="101" t="s">
        <v>129</v>
      </c>
      <c r="T112" s="17" t="s">
        <v>129</v>
      </c>
      <c r="U112" s="101">
        <v>0</v>
      </c>
      <c r="V112" s="101" t="s">
        <v>140</v>
      </c>
      <c r="W112" s="101" t="s">
        <v>140</v>
      </c>
      <c r="X112" s="101" t="s">
        <v>140</v>
      </c>
      <c r="Y112" s="58">
        <v>0</v>
      </c>
      <c r="Z112" s="17">
        <v>0</v>
      </c>
      <c r="AA112" s="58">
        <v>0</v>
      </c>
      <c r="AB112" s="21">
        <f t="shared" si="100"/>
        <v>0</v>
      </c>
      <c r="AC112" s="21">
        <f t="shared" si="101"/>
        <v>0</v>
      </c>
      <c r="AD112" s="21">
        <f t="shared" si="102"/>
        <v>0</v>
      </c>
      <c r="AE112" s="17" t="s">
        <v>537</v>
      </c>
      <c r="AF112" s="17" t="s">
        <v>129</v>
      </c>
      <c r="AG112" s="17"/>
      <c r="AI112" s="17" t="s">
        <v>130</v>
      </c>
      <c r="AJ112" s="21">
        <v>0</v>
      </c>
      <c r="AK112" s="31">
        <v>0</v>
      </c>
      <c r="AL112" s="21">
        <v>0</v>
      </c>
      <c r="AM112" s="31">
        <v>0</v>
      </c>
      <c r="AN112" s="21">
        <v>0</v>
      </c>
      <c r="AO112" s="31">
        <v>0</v>
      </c>
      <c r="AP112" s="21">
        <v>0</v>
      </c>
      <c r="AQ112" s="31">
        <v>0</v>
      </c>
      <c r="AR112" s="21">
        <v>0</v>
      </c>
      <c r="AS112" s="31">
        <v>0</v>
      </c>
      <c r="AT112" s="21">
        <v>0</v>
      </c>
      <c r="AU112" s="31">
        <v>0</v>
      </c>
      <c r="AV112" s="21">
        <v>0</v>
      </c>
      <c r="AW112" s="31">
        <v>0</v>
      </c>
      <c r="AX112" s="31">
        <v>0</v>
      </c>
      <c r="AY112" s="31">
        <v>0</v>
      </c>
      <c r="AZ112" s="31">
        <v>0</v>
      </c>
      <c r="BA112" s="31">
        <v>0</v>
      </c>
      <c r="BB112" s="31">
        <v>0</v>
      </c>
      <c r="BC112" s="31">
        <v>0</v>
      </c>
      <c r="BD112" s="31">
        <v>0</v>
      </c>
      <c r="BE112" s="31">
        <v>0</v>
      </c>
      <c r="BF112" s="31">
        <v>0</v>
      </c>
      <c r="BG112" s="31">
        <v>0</v>
      </c>
      <c r="BH112" s="31">
        <v>0</v>
      </c>
      <c r="BI112" s="31">
        <v>0</v>
      </c>
      <c r="BJ112" s="31">
        <v>0</v>
      </c>
      <c r="BK112" s="31">
        <v>0</v>
      </c>
      <c r="BL112" s="17" t="s">
        <v>130</v>
      </c>
      <c r="BM112" s="31">
        <v>0</v>
      </c>
      <c r="BN112" s="31">
        <v>0</v>
      </c>
      <c r="BO112" s="31">
        <v>0</v>
      </c>
      <c r="BP112" s="31">
        <v>0</v>
      </c>
      <c r="BQ112" s="58">
        <v>0</v>
      </c>
      <c r="BR112" s="58">
        <v>0</v>
      </c>
      <c r="BS112" s="31">
        <v>0</v>
      </c>
      <c r="BT112" s="58">
        <v>0</v>
      </c>
      <c r="BU112" s="31">
        <v>0</v>
      </c>
      <c r="BV112" s="58">
        <v>0</v>
      </c>
      <c r="BW112" s="21">
        <f>IF(Table1[[#This Row],[Sustainability Check 2 (2018-2019) Status]]="Continued", Table1[Check 2 Students Spring], 0)</f>
        <v>0</v>
      </c>
      <c r="BX112" s="58">
        <f>Table1[[#This Row],[Summer 2018 Price Check]]*Table1[[#This Row],[Spring 2019 Students]]</f>
        <v>0</v>
      </c>
      <c r="BY112" s="31">
        <f t="shared" si="79"/>
        <v>0</v>
      </c>
      <c r="BZ112" s="58">
        <f t="shared" si="80"/>
        <v>0</v>
      </c>
      <c r="CA112" s="17" t="s">
        <v>130</v>
      </c>
      <c r="CB112" s="21">
        <v>0</v>
      </c>
      <c r="CC112" s="21">
        <v>0</v>
      </c>
      <c r="CD112" s="21">
        <v>0</v>
      </c>
      <c r="CE112" s="21">
        <f t="shared" si="110"/>
        <v>0</v>
      </c>
      <c r="CF112" s="58">
        <v>0</v>
      </c>
      <c r="CG112" s="58">
        <f t="shared" si="81"/>
        <v>0</v>
      </c>
      <c r="CH112" s="17" t="s">
        <v>537</v>
      </c>
      <c r="CI112" s="21">
        <f>IF(Table1[[#This Row],[Check 3 Status]]="Continued", Table1[[#This Row],[Check 3 Students Summer]], 0)</f>
        <v>0</v>
      </c>
      <c r="CJ112" s="58">
        <f>Table1[[#This Row],[Check 3 Per Student Savings]]*CI112</f>
        <v>0</v>
      </c>
      <c r="CK112" s="21">
        <f>IF(Table1[[#This Row],[Check 3 Status]]="Continued", Table1[[#This Row],[Check 3 Students Fall]], 0)</f>
        <v>0</v>
      </c>
      <c r="CL112" s="58">
        <f>Table1[[#This Row],[Check 3 Per Student Savings]]*CK112</f>
        <v>0</v>
      </c>
      <c r="CM112" s="21">
        <f>IF(Table1[[#This Row],[Check 3 Status]]="Continued", Table1[[#This Row],[Check 3 Students Spring]], 0)</f>
        <v>0</v>
      </c>
      <c r="CN112" s="58">
        <f>Table1[[#This Row],[Check 3 Per Student Savings]]*CM112</f>
        <v>0</v>
      </c>
      <c r="CO112" s="21">
        <f t="shared" si="82"/>
        <v>0</v>
      </c>
      <c r="CP112" s="58">
        <f t="shared" si="83"/>
        <v>0</v>
      </c>
      <c r="CQ112" s="58" t="s">
        <v>130</v>
      </c>
      <c r="CR112" s="21">
        <v>0</v>
      </c>
      <c r="CS112" s="21">
        <v>0</v>
      </c>
      <c r="CT112" s="21">
        <v>0</v>
      </c>
      <c r="CU112" s="21">
        <f t="shared" si="84"/>
        <v>0</v>
      </c>
      <c r="CV112" s="58">
        <v>0</v>
      </c>
      <c r="CW112" s="58">
        <f t="shared" si="85"/>
        <v>0</v>
      </c>
      <c r="CX112" s="58"/>
      <c r="CY112" s="21">
        <f>IF(Table1[[#This Row],[Check 4 Status]]="Continued", Table1[[#This Row],[Check 4 Students Summer]], 0)</f>
        <v>0</v>
      </c>
      <c r="CZ112" s="58">
        <f>Table1[[#This Row],[Check 4 Per Student Savings]]*CY112</f>
        <v>0</v>
      </c>
      <c r="DA112" s="21">
        <f>IF(Table1[[#This Row],[Check 4 Status]]="Continued", Table1[[#This Row],[Check 4 Students Fall]], 0)</f>
        <v>0</v>
      </c>
      <c r="DB112" s="58">
        <f>Table1[[#This Row],[Check 4 Per Student Savings]]*DA112</f>
        <v>0</v>
      </c>
      <c r="DC112" s="21">
        <f>IF(Table1[[#This Row],[Check 4 Status]]="Continued", Table1[[#This Row],[Check 4 Students Spring]], 0)</f>
        <v>0</v>
      </c>
      <c r="DD112" s="58">
        <f>Table1[[#This Row],[Check 4 Per Student Savings]]*DC112</f>
        <v>0</v>
      </c>
      <c r="DE112" s="58">
        <f t="shared" si="86"/>
        <v>0</v>
      </c>
      <c r="DF112" s="58">
        <f t="shared" si="87"/>
        <v>0</v>
      </c>
      <c r="DG11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11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112" s="58">
        <f>Table1[[#This Row],[Grand Total Savings]]/Table1[[#This Row],[Total Award]]</f>
        <v>0</v>
      </c>
      <c r="DJ112" s="17"/>
      <c r="DK112" s="17"/>
      <c r="DL112" s="17"/>
      <c r="DM112" s="17"/>
      <c r="EC112" s="17"/>
      <c r="ED112" s="17"/>
      <c r="EE112" s="17"/>
      <c r="EF112" s="17"/>
    </row>
    <row r="113" spans="1:136" x14ac:dyDescent="0.25">
      <c r="A113" s="157" t="s">
        <v>670</v>
      </c>
      <c r="B113" s="17" t="s">
        <v>2011</v>
      </c>
      <c r="D113" s="97">
        <v>511239</v>
      </c>
      <c r="E113" s="158">
        <v>42641</v>
      </c>
      <c r="F113" s="158">
        <v>42886</v>
      </c>
      <c r="G113" s="159" t="s">
        <v>669</v>
      </c>
      <c r="H113" s="95" t="s">
        <v>8</v>
      </c>
      <c r="I113" s="226" t="s">
        <v>118</v>
      </c>
      <c r="J113" s="17" t="s">
        <v>671</v>
      </c>
      <c r="K113" s="107">
        <v>4800</v>
      </c>
      <c r="L113" s="107"/>
      <c r="M113" s="101" t="s">
        <v>672</v>
      </c>
      <c r="N113" s="17" t="s">
        <v>673</v>
      </c>
      <c r="O113" s="101" t="s">
        <v>309</v>
      </c>
      <c r="P113" s="101" t="s">
        <v>310</v>
      </c>
      <c r="Q113" s="101" t="s">
        <v>148</v>
      </c>
      <c r="R113" s="101" t="s">
        <v>309</v>
      </c>
      <c r="S113" s="101" t="s">
        <v>129</v>
      </c>
      <c r="T113" s="17" t="s">
        <v>125</v>
      </c>
      <c r="U113" s="160" t="s">
        <v>674</v>
      </c>
      <c r="V113" s="101" t="s">
        <v>140</v>
      </c>
      <c r="W113" s="101" t="s">
        <v>140</v>
      </c>
      <c r="X113" s="101" t="s">
        <v>140</v>
      </c>
      <c r="Y113" s="58">
        <v>184660</v>
      </c>
      <c r="Z113" s="17">
        <v>1320</v>
      </c>
      <c r="AA113" s="58">
        <f t="shared" ref="AA113:AA124" si="113">Y113/Z113</f>
        <v>139.89393939393941</v>
      </c>
      <c r="AB113" s="21">
        <f t="shared" si="100"/>
        <v>440</v>
      </c>
      <c r="AC113" s="21">
        <f t="shared" si="101"/>
        <v>440</v>
      </c>
      <c r="AD113" s="21">
        <f t="shared" si="102"/>
        <v>440</v>
      </c>
      <c r="AE113" s="17" t="s">
        <v>537</v>
      </c>
      <c r="AF113" s="17" t="s">
        <v>125</v>
      </c>
      <c r="AG113" s="17">
        <v>344</v>
      </c>
      <c r="AH113" s="17" t="s">
        <v>675</v>
      </c>
      <c r="AI113" s="17" t="s">
        <v>130</v>
      </c>
      <c r="AJ113" s="21">
        <v>0</v>
      </c>
      <c r="AK113" s="58">
        <v>0</v>
      </c>
      <c r="AL113" s="21">
        <v>0</v>
      </c>
      <c r="AM113" s="58">
        <f t="shared" ref="AM113:AM144" si="114">AK113</f>
        <v>0</v>
      </c>
      <c r="AN113" s="21">
        <v>0</v>
      </c>
      <c r="AO113" s="58">
        <f t="shared" ref="AO113:AO144" si="115">$AA113*AN113</f>
        <v>0</v>
      </c>
      <c r="AP113" s="21">
        <v>0</v>
      </c>
      <c r="AQ113" s="58">
        <f t="shared" ref="AQ113:AQ144" si="116">$AA113*AP113</f>
        <v>0</v>
      </c>
      <c r="AR113" s="21">
        <v>0</v>
      </c>
      <c r="AS113" s="58">
        <f t="shared" ref="AS113:AS144" si="117">$AA113*AR113</f>
        <v>0</v>
      </c>
      <c r="AT113" s="21">
        <v>0</v>
      </c>
      <c r="AU113" s="58">
        <f t="shared" ref="AU113:AU144" si="118">AO113+AQ113+AS113</f>
        <v>0</v>
      </c>
      <c r="AV113" s="21">
        <v>0</v>
      </c>
      <c r="AW113" s="58">
        <v>0</v>
      </c>
      <c r="AX113" s="31">
        <f>Table1[[#This Row],[Students Per Fall]]</f>
        <v>440</v>
      </c>
      <c r="AY113" s="58">
        <f>$AA113*AX113</f>
        <v>61553.333333333336</v>
      </c>
      <c r="AZ113" s="31">
        <f>IF(Table1[[#This Row],[Sustainability Check 1 (2017-2018) Status]]="Continued", Table1[[#This Row],[Students Per Spring]], 0)</f>
        <v>440</v>
      </c>
      <c r="BA113" s="58">
        <f>$AA113*AZ113</f>
        <v>61553.333333333336</v>
      </c>
      <c r="BB113" s="31">
        <f t="shared" ref="BB113:BC117" si="119">AV113+AX113+AZ113</f>
        <v>880</v>
      </c>
      <c r="BC113" s="58">
        <f t="shared" si="119"/>
        <v>123106.66666666667</v>
      </c>
      <c r="BD113" s="31">
        <f>IF(Table1[[#This Row],[Sustainability Check 1 (2017-2018) Status]]="Continued", Table1[[#This Row],[Students Per Summer]], 0)</f>
        <v>440</v>
      </c>
      <c r="BE113" s="58">
        <f>$AA113*BD113</f>
        <v>61553.333333333336</v>
      </c>
      <c r="BF113" s="31">
        <f>IF(Table1[[#This Row],[Sustainability Check 1 (2017-2018) Status]]="Continued", Table1[[#This Row],[Students Per Fall]], 0)</f>
        <v>440</v>
      </c>
      <c r="BG113" s="58">
        <f t="shared" ref="BG113:BG154" si="120">$AA113*BF113</f>
        <v>61553.333333333336</v>
      </c>
      <c r="BH113" s="31">
        <f>IF(Table1[[#This Row],[Sustainability Check 1 (2017-2018) Status]]="Continued", Table1[[#This Row],[Students Per Spring]], 0)</f>
        <v>440</v>
      </c>
      <c r="BI113" s="58">
        <f t="shared" ref="BI113:BI144" si="121">$AA113*BH113</f>
        <v>61553.333333333336</v>
      </c>
      <c r="BJ113" s="31">
        <f t="shared" ref="BJ113:BJ144" si="122">BD113+BF113+BH113</f>
        <v>1320</v>
      </c>
      <c r="BK113" s="58">
        <f t="shared" ref="BK113:BK144" si="123">BE113+BG113+BI113</f>
        <v>184660</v>
      </c>
      <c r="BL113" s="17" t="s">
        <v>130</v>
      </c>
      <c r="BM113" s="31">
        <v>440</v>
      </c>
      <c r="BN113" s="31">
        <v>440</v>
      </c>
      <c r="BO113" s="31">
        <v>440</v>
      </c>
      <c r="BP113" s="31">
        <f>SUM(Table1[[#This Row],[Check 2 Students Summer]:[Check 2 Students Spring]])</f>
        <v>1320</v>
      </c>
      <c r="BQ113" s="58">
        <v>188</v>
      </c>
      <c r="BR113" s="58">
        <f>Table1[[#This Row],[Check 2 Students Total]]*Table1[[#This Row],[Summer 2018 Price Check]]</f>
        <v>248160</v>
      </c>
      <c r="BS113" s="31">
        <f>IF(Table1[[#This Row],[Sustainability Check 2 (2018-2019) Status]]="Continued", Table1[[#This Row],[Check 2 Students Summer]], 0)</f>
        <v>440</v>
      </c>
      <c r="BT113" s="58">
        <f>$BQ113*BS113</f>
        <v>82720</v>
      </c>
      <c r="BU113" s="98">
        <v>0</v>
      </c>
      <c r="BV113" s="99">
        <v>0</v>
      </c>
      <c r="BW113" s="100">
        <v>0</v>
      </c>
      <c r="BX113" s="99">
        <f>Table1[[#This Row],[Summer 2018 Price Check]]*Table1[[#This Row],[Spring 2019 Students]]</f>
        <v>0</v>
      </c>
      <c r="BY113" s="31">
        <f t="shared" si="79"/>
        <v>440</v>
      </c>
      <c r="BZ113" s="58">
        <f t="shared" si="80"/>
        <v>82720</v>
      </c>
      <c r="CA113" s="169" t="s">
        <v>1783</v>
      </c>
      <c r="CB113" s="21">
        <v>0</v>
      </c>
      <c r="CC113" s="21">
        <v>0</v>
      </c>
      <c r="CD113" s="21">
        <v>0</v>
      </c>
      <c r="CE113" s="21">
        <f t="shared" si="110"/>
        <v>0</v>
      </c>
      <c r="CF113" s="58">
        <v>0</v>
      </c>
      <c r="CG113" s="99">
        <f t="shared" si="81"/>
        <v>0</v>
      </c>
      <c r="CH113" s="17" t="s">
        <v>537</v>
      </c>
      <c r="CI113" s="100">
        <f>IF(Table1[[#This Row],[Check 3 Status]]="Continued", Table1[[#This Row],[Check 3 Students Summer]], 0)</f>
        <v>0</v>
      </c>
      <c r="CJ113" s="99">
        <f>Table1[[#This Row],[Check 3 Per Student Savings]]*CI113</f>
        <v>0</v>
      </c>
      <c r="CK113" s="100">
        <f>IF(Table1[[#This Row],[Check 3 Status]]="Continued", Table1[[#This Row],[Check 3 Students Fall]], 0)</f>
        <v>0</v>
      </c>
      <c r="CL113" s="99">
        <f>Table1[[#This Row],[Check 3 Per Student Savings]]*CK113</f>
        <v>0</v>
      </c>
      <c r="CM113" s="100">
        <f>IF(Table1[[#This Row],[Check 3 Status]]="Continued", Table1[[#This Row],[Check 3 Students Spring]], 0)</f>
        <v>0</v>
      </c>
      <c r="CN113" s="99">
        <f>Table1[[#This Row],[Check 3 Per Student Savings]]*CM113</f>
        <v>0</v>
      </c>
      <c r="CO113" s="100">
        <f t="shared" si="82"/>
        <v>0</v>
      </c>
      <c r="CP113" s="99">
        <f t="shared" si="83"/>
        <v>0</v>
      </c>
      <c r="CQ113" s="99" t="s">
        <v>1783</v>
      </c>
      <c r="CR113" s="100">
        <v>0</v>
      </c>
      <c r="CS113" s="100">
        <v>0</v>
      </c>
      <c r="CT113" s="100">
        <v>0</v>
      </c>
      <c r="CU113" s="100">
        <f t="shared" si="84"/>
        <v>0</v>
      </c>
      <c r="CV113" s="99">
        <v>0</v>
      </c>
      <c r="CW113" s="99">
        <f t="shared" si="85"/>
        <v>0</v>
      </c>
      <c r="CX113" s="99"/>
      <c r="CY113" s="21">
        <f>IF(Table1[[#This Row],[Check 4 Status]]="Continued", Table1[[#This Row],[Check 4 Students Summer]], 0)</f>
        <v>0</v>
      </c>
      <c r="CZ113" s="58">
        <f>Table1[[#This Row],[Check 4 Per Student Savings]]*CY113</f>
        <v>0</v>
      </c>
      <c r="DA113" s="100">
        <f>IF(Table1[[#This Row],[Check 4 Status]]="Continued", Table1[[#This Row],[Check 4 Students Fall]], 0)</f>
        <v>0</v>
      </c>
      <c r="DB113" s="99">
        <f>Table1[[#This Row],[Check 4 Per Student Savings]]*DA113</f>
        <v>0</v>
      </c>
      <c r="DC113" s="21">
        <f>IF(Table1[[#This Row],[Check 4 Status]]="Continued", Table1[[#This Row],[Check 4 Students Spring]], 0)</f>
        <v>0</v>
      </c>
      <c r="DD113" s="58">
        <f>Table1[[#This Row],[Check 4 Per Student Savings]]*DC113</f>
        <v>0</v>
      </c>
      <c r="DE113" s="58">
        <f t="shared" si="86"/>
        <v>0</v>
      </c>
      <c r="DF113" s="58">
        <f t="shared" si="87"/>
        <v>0</v>
      </c>
      <c r="DG11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2640</v>
      </c>
      <c r="DH11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390486.66666666669</v>
      </c>
      <c r="DI113" s="58">
        <f>Table1[[#This Row],[Grand Total Savings]]/Table1[[#This Row],[Total Award]]</f>
        <v>81.351388888888891</v>
      </c>
      <c r="DJ113" s="17"/>
      <c r="DK113" s="17"/>
      <c r="DL113" s="17"/>
      <c r="DM113" s="17"/>
      <c r="EC113" s="17"/>
      <c r="ED113" s="17"/>
      <c r="EE113" s="17"/>
      <c r="EF113" s="17"/>
    </row>
    <row r="114" spans="1:136" x14ac:dyDescent="0.25">
      <c r="A114" s="157" t="s">
        <v>676</v>
      </c>
      <c r="B114" s="17" t="s">
        <v>2011</v>
      </c>
      <c r="D114" s="97">
        <v>511234</v>
      </c>
      <c r="E114" s="158">
        <v>42685</v>
      </c>
      <c r="F114" s="158">
        <v>42886</v>
      </c>
      <c r="G114" s="159" t="s">
        <v>669</v>
      </c>
      <c r="H114" s="95" t="s">
        <v>8</v>
      </c>
      <c r="I114" s="226" t="s">
        <v>118</v>
      </c>
      <c r="J114" s="17" t="s">
        <v>677</v>
      </c>
      <c r="K114" s="107">
        <v>2400</v>
      </c>
      <c r="L114" s="107"/>
      <c r="M114" s="101" t="s">
        <v>678</v>
      </c>
      <c r="N114" s="101" t="s">
        <v>679</v>
      </c>
      <c r="O114" s="101" t="s">
        <v>680</v>
      </c>
      <c r="P114" s="101" t="s">
        <v>681</v>
      </c>
      <c r="Q114" s="101" t="s">
        <v>148</v>
      </c>
      <c r="R114" s="101" t="s">
        <v>129</v>
      </c>
      <c r="S114" s="101" t="s">
        <v>129</v>
      </c>
      <c r="T114" s="17" t="s">
        <v>125</v>
      </c>
      <c r="U114" s="160" t="s">
        <v>138</v>
      </c>
      <c r="V114" s="101" t="s">
        <v>140</v>
      </c>
      <c r="W114" s="101" t="s">
        <v>140</v>
      </c>
      <c r="X114" s="101" t="s">
        <v>140</v>
      </c>
      <c r="Y114" s="58">
        <v>36975</v>
      </c>
      <c r="Z114" s="17">
        <v>150</v>
      </c>
      <c r="AA114" s="58">
        <f t="shared" si="113"/>
        <v>246.5</v>
      </c>
      <c r="AB114" s="21">
        <f t="shared" si="100"/>
        <v>50</v>
      </c>
      <c r="AC114" s="21">
        <f t="shared" si="101"/>
        <v>50</v>
      </c>
      <c r="AD114" s="21">
        <f t="shared" si="102"/>
        <v>50</v>
      </c>
      <c r="AE114" s="17" t="s">
        <v>537</v>
      </c>
      <c r="AF114" s="17" t="s">
        <v>129</v>
      </c>
      <c r="AG114" s="17"/>
      <c r="AI114" s="17" t="s">
        <v>130</v>
      </c>
      <c r="AJ114" s="21">
        <v>0</v>
      </c>
      <c r="AK114" s="58">
        <v>0</v>
      </c>
      <c r="AL114" s="21">
        <v>0</v>
      </c>
      <c r="AM114" s="58">
        <f t="shared" si="114"/>
        <v>0</v>
      </c>
      <c r="AN114" s="21">
        <v>0</v>
      </c>
      <c r="AO114" s="58">
        <f t="shared" si="115"/>
        <v>0</v>
      </c>
      <c r="AP114" s="21">
        <v>0</v>
      </c>
      <c r="AQ114" s="58">
        <f t="shared" si="116"/>
        <v>0</v>
      </c>
      <c r="AR114" s="21">
        <v>0</v>
      </c>
      <c r="AS114" s="58">
        <f t="shared" si="117"/>
        <v>0</v>
      </c>
      <c r="AT114" s="21">
        <v>0</v>
      </c>
      <c r="AU114" s="58">
        <f t="shared" si="118"/>
        <v>0</v>
      </c>
      <c r="AV114" s="21">
        <v>0</v>
      </c>
      <c r="AW114" s="58">
        <v>0</v>
      </c>
      <c r="AX114" s="31">
        <f>Table1[[#This Row],[Students Per Fall]]</f>
        <v>50</v>
      </c>
      <c r="AY114" s="58">
        <f>$AA114*AX114</f>
        <v>12325</v>
      </c>
      <c r="AZ114" s="31">
        <f>IF(Table1[[#This Row],[Sustainability Check 1 (2017-2018) Status]]="Continued", Table1[[#This Row],[Students Per Spring]], 0)</f>
        <v>50</v>
      </c>
      <c r="BA114" s="58">
        <f>$AA114*AZ114</f>
        <v>12325</v>
      </c>
      <c r="BB114" s="31">
        <f t="shared" si="119"/>
        <v>100</v>
      </c>
      <c r="BC114" s="58">
        <f t="shared" si="119"/>
        <v>24650</v>
      </c>
      <c r="BD114" s="31">
        <f>IF(Table1[[#This Row],[Sustainability Check 1 (2017-2018) Status]]="Continued", Table1[[#This Row],[Students Per Summer]], 0)</f>
        <v>50</v>
      </c>
      <c r="BE114" s="58">
        <f>$AA114*BD114</f>
        <v>12325</v>
      </c>
      <c r="BF114" s="31">
        <f>IF(Table1[[#This Row],[Sustainability Check 1 (2017-2018) Status]]="Continued", Table1[[#This Row],[Students Per Fall]], 0)</f>
        <v>50</v>
      </c>
      <c r="BG114" s="58">
        <f t="shared" si="120"/>
        <v>12325</v>
      </c>
      <c r="BH114" s="31">
        <f>IF(Table1[[#This Row],[Sustainability Check 1 (2017-2018) Status]]="Continued", Table1[[#This Row],[Students Per Spring]], 0)</f>
        <v>50</v>
      </c>
      <c r="BI114" s="58">
        <f t="shared" si="121"/>
        <v>12325</v>
      </c>
      <c r="BJ114" s="31">
        <f t="shared" si="122"/>
        <v>150</v>
      </c>
      <c r="BK114" s="58">
        <f t="shared" si="123"/>
        <v>36975</v>
      </c>
      <c r="BL114" s="17" t="s">
        <v>130</v>
      </c>
      <c r="BM114" s="31">
        <v>0</v>
      </c>
      <c r="BN114" s="31">
        <v>90</v>
      </c>
      <c r="BO114" s="31">
        <v>90</v>
      </c>
      <c r="BP114" s="31">
        <f>SUM(BM114:BO114)</f>
        <v>180</v>
      </c>
      <c r="BQ114" s="58">
        <v>188</v>
      </c>
      <c r="BR114" s="58">
        <f>Table1[[#This Row],[Check 2 Students Total]]*Table1[[#This Row],[Summer 2018 Price Check]]</f>
        <v>33840</v>
      </c>
      <c r="BS114" s="31">
        <f>IF(Table1[[#This Row],[Sustainability Check 2 (2018-2019) Status]]="Continued", Table1[[#This Row],[Check 2 Students Summer]], 0)</f>
        <v>0</v>
      </c>
      <c r="BT114" s="58">
        <f>Table1[[#This Row],[Summer 2018 Price Check]]*BS114</f>
        <v>0</v>
      </c>
      <c r="BU114" s="31">
        <f>IF(Table1[[#This Row],[Sustainability Check 2 (2018-2019) Status]]="Continued", Table1[[#This Row],[Check 2 Students Fall]], 0)</f>
        <v>90</v>
      </c>
      <c r="BV114" s="58">
        <f>Table1[[#This Row],[Summer 2018 Price Check]]*BU114</f>
        <v>16920</v>
      </c>
      <c r="BW114" s="21">
        <f>IF(Table1[[#This Row],[Sustainability Check 2 (2018-2019) Status]]="Continued", Table1[Check 2 Students Spring], 0)</f>
        <v>90</v>
      </c>
      <c r="BX114" s="58">
        <f>Table1[[#This Row],[Summer 2018 Price Check]]*Table1[[#This Row],[Spring 2019 Students]]</f>
        <v>16920</v>
      </c>
      <c r="BY114" s="31">
        <f t="shared" si="79"/>
        <v>180</v>
      </c>
      <c r="BZ114" s="58">
        <f t="shared" si="80"/>
        <v>33840</v>
      </c>
      <c r="CA114" s="17" t="s">
        <v>142</v>
      </c>
      <c r="CB114" s="21">
        <v>0</v>
      </c>
      <c r="CC114" s="21">
        <v>0</v>
      </c>
      <c r="CD114" s="21">
        <v>0</v>
      </c>
      <c r="CE114" s="21">
        <f t="shared" si="110"/>
        <v>0</v>
      </c>
      <c r="CF114" s="58">
        <v>0</v>
      </c>
      <c r="CG114" s="58">
        <f t="shared" si="81"/>
        <v>0</v>
      </c>
      <c r="CH114" s="17" t="s">
        <v>537</v>
      </c>
      <c r="CI114" s="21">
        <f>IF(Table1[[#This Row],[Check 3 Status]]="Continued", Table1[[#This Row],[Check 3 Students Summer]], 0)</f>
        <v>0</v>
      </c>
      <c r="CJ114" s="58">
        <f>Table1[[#This Row],[Check 3 Per Student Savings]]*CI114</f>
        <v>0</v>
      </c>
      <c r="CK114" s="21">
        <f>IF(Table1[[#This Row],[Check 3 Status]]="Continued", Table1[[#This Row],[Check 3 Students Fall]], 0)</f>
        <v>0</v>
      </c>
      <c r="CL114" s="58">
        <f>Table1[[#This Row],[Check 3 Per Student Savings]]*CK114</f>
        <v>0</v>
      </c>
      <c r="CM114" s="21">
        <f>IF(Table1[[#This Row],[Check 3 Status]]="Continued", Table1[[#This Row],[Check 3 Students Spring]], 0)</f>
        <v>0</v>
      </c>
      <c r="CN114" s="58">
        <f>Table1[[#This Row],[Check 3 Per Student Savings]]*CM114</f>
        <v>0</v>
      </c>
      <c r="CO114" s="21">
        <f t="shared" si="82"/>
        <v>0</v>
      </c>
      <c r="CP114" s="58">
        <f t="shared" si="83"/>
        <v>0</v>
      </c>
      <c r="CQ114" s="58" t="s">
        <v>142</v>
      </c>
      <c r="CR114" s="21">
        <v>0</v>
      </c>
      <c r="CS114" s="21">
        <v>0</v>
      </c>
      <c r="CT114" s="21">
        <v>0</v>
      </c>
      <c r="CU114" s="21">
        <f t="shared" si="84"/>
        <v>0</v>
      </c>
      <c r="CV114" s="58">
        <v>0</v>
      </c>
      <c r="CW114" s="58">
        <f t="shared" si="85"/>
        <v>0</v>
      </c>
      <c r="CX114" s="58"/>
      <c r="CY114" s="21">
        <f>IF(Table1[[#This Row],[Check 4 Status]]="Continued", Table1[[#This Row],[Check 4 Students Summer]], 0)</f>
        <v>0</v>
      </c>
      <c r="CZ114" s="58">
        <f>Table1[[#This Row],[Check 4 Per Student Savings]]*CY114</f>
        <v>0</v>
      </c>
      <c r="DA114" s="21">
        <f>IF(Table1[[#This Row],[Check 4 Status]]="Continued", Table1[[#This Row],[Check 4 Students Fall]], 0)</f>
        <v>0</v>
      </c>
      <c r="DB114" s="58">
        <f>Table1[[#This Row],[Check 4 Per Student Savings]]*DA114</f>
        <v>0</v>
      </c>
      <c r="DC114" s="21">
        <f>IF(Table1[[#This Row],[Check 4 Status]]="Continued", Table1[[#This Row],[Check 4 Students Spring]], 0)</f>
        <v>0</v>
      </c>
      <c r="DD114" s="58">
        <f>Table1[[#This Row],[Check 4 Per Student Savings]]*DC114</f>
        <v>0</v>
      </c>
      <c r="DE114" s="58">
        <f t="shared" si="86"/>
        <v>0</v>
      </c>
      <c r="DF114" s="58">
        <f t="shared" si="87"/>
        <v>0</v>
      </c>
      <c r="DG11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430</v>
      </c>
      <c r="DH11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95465</v>
      </c>
      <c r="DI114" s="58">
        <f>Table1[[#This Row],[Grand Total Savings]]/Table1[[#This Row],[Total Award]]</f>
        <v>39.77708333333333</v>
      </c>
      <c r="DJ114" s="17"/>
      <c r="DK114" s="17"/>
      <c r="DL114" s="17"/>
      <c r="DM114" s="17"/>
      <c r="EC114" s="17"/>
      <c r="ED114" s="17"/>
      <c r="EE114" s="17"/>
      <c r="EF114" s="17"/>
    </row>
    <row r="115" spans="1:136" x14ac:dyDescent="0.25">
      <c r="A115" s="157" t="s">
        <v>682</v>
      </c>
      <c r="B115" s="17" t="s">
        <v>2011</v>
      </c>
      <c r="D115" s="97">
        <v>511236</v>
      </c>
      <c r="E115" s="158">
        <v>42626</v>
      </c>
      <c r="F115" s="158">
        <v>42886</v>
      </c>
      <c r="G115" s="159" t="s">
        <v>669</v>
      </c>
      <c r="H115" s="95" t="s">
        <v>8</v>
      </c>
      <c r="I115" s="226" t="s">
        <v>118</v>
      </c>
      <c r="J115" s="17" t="s">
        <v>225</v>
      </c>
      <c r="K115" s="107">
        <v>4800</v>
      </c>
      <c r="L115" s="107"/>
      <c r="M115" s="101" t="s">
        <v>683</v>
      </c>
      <c r="N115" s="17" t="s">
        <v>684</v>
      </c>
      <c r="O115" s="101" t="s">
        <v>685</v>
      </c>
      <c r="P115" s="101" t="s">
        <v>686</v>
      </c>
      <c r="Q115" s="101" t="s">
        <v>148</v>
      </c>
      <c r="R115" s="101" t="s">
        <v>309</v>
      </c>
      <c r="S115" s="160" t="s">
        <v>36</v>
      </c>
      <c r="T115" s="17" t="s">
        <v>125</v>
      </c>
      <c r="U115" s="160" t="s">
        <v>674</v>
      </c>
      <c r="V115" s="101" t="s">
        <v>140</v>
      </c>
      <c r="W115" s="101" t="s">
        <v>140</v>
      </c>
      <c r="X115" s="101" t="s">
        <v>140</v>
      </c>
      <c r="Y115" s="58">
        <v>34752.5</v>
      </c>
      <c r="Z115" s="17">
        <v>290</v>
      </c>
      <c r="AA115" s="58">
        <f t="shared" si="113"/>
        <v>119.83620689655173</v>
      </c>
      <c r="AB115" s="21">
        <f t="shared" si="100"/>
        <v>96.666666666666671</v>
      </c>
      <c r="AC115" s="21">
        <f t="shared" si="101"/>
        <v>96.666666666666671</v>
      </c>
      <c r="AD115" s="21">
        <f t="shared" si="102"/>
        <v>96.666666666666671</v>
      </c>
      <c r="AE115" s="17" t="s">
        <v>537</v>
      </c>
      <c r="AF115" s="17" t="s">
        <v>129</v>
      </c>
      <c r="AG115" s="17"/>
      <c r="AI115" s="17" t="s">
        <v>130</v>
      </c>
      <c r="AJ115" s="21">
        <v>0</v>
      </c>
      <c r="AK115" s="58">
        <v>0</v>
      </c>
      <c r="AL115" s="21">
        <v>0</v>
      </c>
      <c r="AM115" s="58">
        <f t="shared" si="114"/>
        <v>0</v>
      </c>
      <c r="AN115" s="21">
        <v>0</v>
      </c>
      <c r="AO115" s="58">
        <f t="shared" si="115"/>
        <v>0</v>
      </c>
      <c r="AP115" s="21">
        <v>0</v>
      </c>
      <c r="AQ115" s="58">
        <f t="shared" si="116"/>
        <v>0</v>
      </c>
      <c r="AR115" s="21">
        <v>0</v>
      </c>
      <c r="AS115" s="58">
        <f t="shared" si="117"/>
        <v>0</v>
      </c>
      <c r="AT115" s="21">
        <v>0</v>
      </c>
      <c r="AU115" s="58">
        <f t="shared" si="118"/>
        <v>0</v>
      </c>
      <c r="AV115" s="21">
        <v>0</v>
      </c>
      <c r="AW115" s="58">
        <v>0</v>
      </c>
      <c r="AX115" s="31">
        <f>Table1[[#This Row],[Students Per Fall]]</f>
        <v>96.666666666666671</v>
      </c>
      <c r="AY115" s="58">
        <f>$AA115*AX115</f>
        <v>11584.166666666668</v>
      </c>
      <c r="AZ115" s="31">
        <f>IF(Table1[[#This Row],[Sustainability Check 1 (2017-2018) Status]]="Continued", Table1[[#This Row],[Students Per Spring]], 0)</f>
        <v>96.666666666666671</v>
      </c>
      <c r="BA115" s="58">
        <f>$AA115*AZ115</f>
        <v>11584.166666666668</v>
      </c>
      <c r="BB115" s="31">
        <f t="shared" si="119"/>
        <v>193.33333333333334</v>
      </c>
      <c r="BC115" s="58">
        <f t="shared" si="119"/>
        <v>23168.333333333336</v>
      </c>
      <c r="BD115" s="31">
        <f>IF(Table1[[#This Row],[Sustainability Check 1 (2017-2018) Status]]="Continued", Table1[[#This Row],[Students Per Summer]], 0)</f>
        <v>96.666666666666671</v>
      </c>
      <c r="BE115" s="58">
        <f>$AA115*BD115</f>
        <v>11584.166666666668</v>
      </c>
      <c r="BF115" s="31">
        <f>IF(Table1[[#This Row],[Sustainability Check 1 (2017-2018) Status]]="Continued", Table1[[#This Row],[Students Per Fall]], 0)</f>
        <v>96.666666666666671</v>
      </c>
      <c r="BG115" s="58">
        <f t="shared" si="120"/>
        <v>11584.166666666668</v>
      </c>
      <c r="BH115" s="31">
        <f>IF(Table1[[#This Row],[Sustainability Check 1 (2017-2018) Status]]="Continued", Table1[[#This Row],[Students Per Spring]], 0)</f>
        <v>96.666666666666671</v>
      </c>
      <c r="BI115" s="58">
        <f t="shared" si="121"/>
        <v>11584.166666666668</v>
      </c>
      <c r="BJ115" s="31">
        <f t="shared" si="122"/>
        <v>290</v>
      </c>
      <c r="BK115" s="58">
        <f t="shared" si="123"/>
        <v>34752.5</v>
      </c>
      <c r="BL115" s="17" t="s">
        <v>142</v>
      </c>
      <c r="BM115" s="31">
        <v>0</v>
      </c>
      <c r="BN115" s="31">
        <v>0</v>
      </c>
      <c r="BO115" s="31">
        <v>0</v>
      </c>
      <c r="BP115" s="31">
        <f>SUM(BM115:BO115)</f>
        <v>0</v>
      </c>
      <c r="BQ115" s="58">
        <v>188</v>
      </c>
      <c r="BR115" s="58">
        <f>Table1[[#This Row],[Check 2 Students Total]]*Table1[[#This Row],[Summer 2018 Price Check]]</f>
        <v>0</v>
      </c>
      <c r="BS115" s="31">
        <f>IF(Table1[[#This Row],[Sustainability Check 2 (2018-2019) Status]]="Continued", Table1[[#This Row],[Check 2 Students Summer]], 0)</f>
        <v>0</v>
      </c>
      <c r="BT115" s="58">
        <f>Table1[[#This Row],[Summer 2018 Price Check]]*BS115</f>
        <v>0</v>
      </c>
      <c r="BU115" s="31">
        <f>IF(Table1[[#This Row],[Sustainability Check 2 (2018-2019) Status]]="Continued", Table1[[#This Row],[Check 2 Students Fall]], 0)</f>
        <v>0</v>
      </c>
      <c r="BV115" s="58">
        <f>Table1[[#This Row],[Summer 2018 Price Check]]*BU115</f>
        <v>0</v>
      </c>
      <c r="BW115" s="21">
        <f>IF(Table1[[#This Row],[Sustainability Check 2 (2018-2019) Status]]="Continued", Table1[Check 2 Students Spring], 0)</f>
        <v>0</v>
      </c>
      <c r="BX115" s="58">
        <f>Table1[[#This Row],[Summer 2018 Price Check]]*Table1[[#This Row],[Spring 2019 Students]]</f>
        <v>0</v>
      </c>
      <c r="BY115" s="31">
        <f t="shared" si="79"/>
        <v>0</v>
      </c>
      <c r="BZ115" s="58">
        <f t="shared" si="80"/>
        <v>0</v>
      </c>
      <c r="CA115" s="17" t="s">
        <v>142</v>
      </c>
      <c r="CB115" s="21">
        <v>0</v>
      </c>
      <c r="CC115" s="21">
        <v>0</v>
      </c>
      <c r="CD115" s="21">
        <v>0</v>
      </c>
      <c r="CE115" s="21">
        <f t="shared" si="110"/>
        <v>0</v>
      </c>
      <c r="CF115" s="58">
        <v>0</v>
      </c>
      <c r="CG115" s="58">
        <f t="shared" si="81"/>
        <v>0</v>
      </c>
      <c r="CH115" s="17" t="s">
        <v>537</v>
      </c>
      <c r="CI115" s="21">
        <f>IF(Table1[[#This Row],[Check 3 Status]]="Continued", Table1[[#This Row],[Check 3 Students Summer]], 0)</f>
        <v>0</v>
      </c>
      <c r="CJ115" s="58">
        <f>Table1[[#This Row],[Check 3 Per Student Savings]]*CI115</f>
        <v>0</v>
      </c>
      <c r="CK115" s="21">
        <f>IF(Table1[[#This Row],[Check 3 Status]]="Continued", Table1[[#This Row],[Check 3 Students Fall]], 0)</f>
        <v>0</v>
      </c>
      <c r="CL115" s="58">
        <f>Table1[[#This Row],[Check 3 Per Student Savings]]*CK115</f>
        <v>0</v>
      </c>
      <c r="CM115" s="21">
        <f>IF(Table1[[#This Row],[Check 3 Status]]="Continued", Table1[[#This Row],[Check 3 Students Spring]], 0)</f>
        <v>0</v>
      </c>
      <c r="CN115" s="58">
        <f>Table1[[#This Row],[Check 3 Per Student Savings]]*CM115</f>
        <v>0</v>
      </c>
      <c r="CO115" s="21">
        <f t="shared" si="82"/>
        <v>0</v>
      </c>
      <c r="CP115" s="58">
        <f t="shared" si="83"/>
        <v>0</v>
      </c>
      <c r="CQ115" s="58" t="s">
        <v>142</v>
      </c>
      <c r="CR115" s="21">
        <v>0</v>
      </c>
      <c r="CS115" s="21">
        <v>0</v>
      </c>
      <c r="CT115" s="21">
        <v>0</v>
      </c>
      <c r="CU115" s="21">
        <f t="shared" si="84"/>
        <v>0</v>
      </c>
      <c r="CV115" s="58">
        <v>0</v>
      </c>
      <c r="CW115" s="58">
        <f t="shared" si="85"/>
        <v>0</v>
      </c>
      <c r="CX115" s="58"/>
      <c r="CY115" s="21">
        <f>IF(Table1[[#This Row],[Check 4 Status]]="Continued", Table1[[#This Row],[Check 4 Students Summer]], 0)</f>
        <v>0</v>
      </c>
      <c r="CZ115" s="58">
        <f>Table1[[#This Row],[Check 4 Per Student Savings]]*CY115</f>
        <v>0</v>
      </c>
      <c r="DA115" s="21">
        <f>IF(Table1[[#This Row],[Check 4 Status]]="Continued", Table1[[#This Row],[Check 4 Students Fall]], 0)</f>
        <v>0</v>
      </c>
      <c r="DB115" s="58">
        <f>Table1[[#This Row],[Check 4 Per Student Savings]]*DA115</f>
        <v>0</v>
      </c>
      <c r="DC115" s="21">
        <f>IF(Table1[[#This Row],[Check 4 Status]]="Continued", Table1[[#This Row],[Check 4 Students Spring]], 0)</f>
        <v>0</v>
      </c>
      <c r="DD115" s="58">
        <f>Table1[[#This Row],[Check 4 Per Student Savings]]*DC115</f>
        <v>0</v>
      </c>
      <c r="DE115" s="58">
        <f t="shared" si="86"/>
        <v>0</v>
      </c>
      <c r="DF115" s="58">
        <f t="shared" si="87"/>
        <v>0</v>
      </c>
      <c r="DG11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483.33333333333337</v>
      </c>
      <c r="DH11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57920.833333333336</v>
      </c>
      <c r="DI115" s="58">
        <f>Table1[[#This Row],[Grand Total Savings]]/Table1[[#This Row],[Total Award]]</f>
        <v>12.066840277777779</v>
      </c>
      <c r="DJ115" s="17"/>
      <c r="DK115" s="17"/>
      <c r="DL115" s="17"/>
      <c r="DM115" s="17"/>
      <c r="EC115" s="17"/>
      <c r="ED115" s="17"/>
      <c r="EE115" s="17"/>
      <c r="EF115" s="17"/>
    </row>
    <row r="116" spans="1:136" x14ac:dyDescent="0.25">
      <c r="A116" s="157" t="s">
        <v>687</v>
      </c>
      <c r="B116" s="17" t="s">
        <v>2011</v>
      </c>
      <c r="D116" s="97">
        <v>511237</v>
      </c>
      <c r="E116" s="158">
        <v>42619</v>
      </c>
      <c r="F116" s="158">
        <v>42886</v>
      </c>
      <c r="G116" s="159" t="s">
        <v>669</v>
      </c>
      <c r="H116" s="95" t="s">
        <v>8</v>
      </c>
      <c r="I116" s="226" t="s">
        <v>118</v>
      </c>
      <c r="J116" s="17" t="s">
        <v>499</v>
      </c>
      <c r="K116" s="107">
        <v>2400</v>
      </c>
      <c r="L116" s="107"/>
      <c r="M116" s="101" t="s">
        <v>688</v>
      </c>
      <c r="N116" s="101" t="s">
        <v>689</v>
      </c>
      <c r="O116" s="101" t="s">
        <v>309</v>
      </c>
      <c r="P116" s="101" t="s">
        <v>310</v>
      </c>
      <c r="Q116" s="101" t="s">
        <v>148</v>
      </c>
      <c r="R116" s="101" t="s">
        <v>309</v>
      </c>
      <c r="S116" s="101" t="s">
        <v>129</v>
      </c>
      <c r="T116" s="17" t="s">
        <v>125</v>
      </c>
      <c r="U116" s="160" t="s">
        <v>674</v>
      </c>
      <c r="V116" s="101" t="s">
        <v>140</v>
      </c>
      <c r="W116" s="101" t="s">
        <v>140</v>
      </c>
      <c r="X116" s="101" t="s">
        <v>140</v>
      </c>
      <c r="Y116" s="58">
        <v>4400</v>
      </c>
      <c r="Z116" s="17">
        <v>44</v>
      </c>
      <c r="AA116" s="58">
        <f t="shared" si="113"/>
        <v>100</v>
      </c>
      <c r="AB116" s="21">
        <f t="shared" si="100"/>
        <v>14.666666666666666</v>
      </c>
      <c r="AC116" s="21">
        <f t="shared" si="101"/>
        <v>14.666666666666666</v>
      </c>
      <c r="AD116" s="21">
        <f t="shared" si="102"/>
        <v>14.666666666666666</v>
      </c>
      <c r="AE116" s="17" t="s">
        <v>537</v>
      </c>
      <c r="AF116" s="17" t="s">
        <v>129</v>
      </c>
      <c r="AG116" s="17"/>
      <c r="AI116" s="17" t="s">
        <v>130</v>
      </c>
      <c r="AJ116" s="21">
        <v>0</v>
      </c>
      <c r="AK116" s="58">
        <v>0</v>
      </c>
      <c r="AL116" s="21">
        <v>0</v>
      </c>
      <c r="AM116" s="58">
        <f t="shared" si="114"/>
        <v>0</v>
      </c>
      <c r="AN116" s="21">
        <v>0</v>
      </c>
      <c r="AO116" s="58">
        <f t="shared" si="115"/>
        <v>0</v>
      </c>
      <c r="AP116" s="21">
        <v>0</v>
      </c>
      <c r="AQ116" s="58">
        <f t="shared" si="116"/>
        <v>0</v>
      </c>
      <c r="AR116" s="21">
        <v>0</v>
      </c>
      <c r="AS116" s="58">
        <f t="shared" si="117"/>
        <v>0</v>
      </c>
      <c r="AT116" s="21">
        <v>0</v>
      </c>
      <c r="AU116" s="58">
        <f t="shared" si="118"/>
        <v>0</v>
      </c>
      <c r="AV116" s="21">
        <v>0</v>
      </c>
      <c r="AW116" s="58">
        <v>0</v>
      </c>
      <c r="AX116" s="31">
        <f>Table1[[#This Row],[Students Per Fall]]</f>
        <v>14.666666666666666</v>
      </c>
      <c r="AY116" s="58">
        <f>$AA116*AX116</f>
        <v>1466.6666666666665</v>
      </c>
      <c r="AZ116" s="31">
        <f>IF(Table1[[#This Row],[Sustainability Check 1 (2017-2018) Status]]="Continued", Table1[[#This Row],[Students Per Spring]], 0)</f>
        <v>14.666666666666666</v>
      </c>
      <c r="BA116" s="58">
        <f>$AA116*AZ116</f>
        <v>1466.6666666666665</v>
      </c>
      <c r="BB116" s="31">
        <f t="shared" si="119"/>
        <v>29.333333333333332</v>
      </c>
      <c r="BC116" s="58">
        <f t="shared" si="119"/>
        <v>2933.333333333333</v>
      </c>
      <c r="BD116" s="31">
        <f>IF(Table1[[#This Row],[Sustainability Check 1 (2017-2018) Status]]="Continued", Table1[[#This Row],[Students Per Summer]], 0)</f>
        <v>14.666666666666666</v>
      </c>
      <c r="BE116" s="58">
        <f>$AA116*BD116</f>
        <v>1466.6666666666665</v>
      </c>
      <c r="BF116" s="31">
        <f>IF(Table1[[#This Row],[Sustainability Check 1 (2017-2018) Status]]="Continued", Table1[[#This Row],[Students Per Fall]], 0)</f>
        <v>14.666666666666666</v>
      </c>
      <c r="BG116" s="58">
        <f t="shared" si="120"/>
        <v>1466.6666666666665</v>
      </c>
      <c r="BH116" s="31">
        <f>IF(Table1[[#This Row],[Sustainability Check 1 (2017-2018) Status]]="Continued", Table1[[#This Row],[Students Per Spring]], 0)</f>
        <v>14.666666666666666</v>
      </c>
      <c r="BI116" s="58">
        <f t="shared" si="121"/>
        <v>1466.6666666666665</v>
      </c>
      <c r="BJ116" s="31">
        <f t="shared" si="122"/>
        <v>44</v>
      </c>
      <c r="BK116" s="58">
        <f t="shared" si="123"/>
        <v>4400</v>
      </c>
      <c r="BL116" s="17" t="s">
        <v>142</v>
      </c>
      <c r="BM116" s="31">
        <v>0</v>
      </c>
      <c r="BN116" s="31">
        <v>0</v>
      </c>
      <c r="BO116" s="31">
        <v>0</v>
      </c>
      <c r="BP116" s="31">
        <v>0</v>
      </c>
      <c r="BQ116" s="58">
        <v>188</v>
      </c>
      <c r="BR116" s="58">
        <f>Table1[[#This Row],[Check 2 Students Total]]*Table1[[#This Row],[Summer 2018 Price Check]]</f>
        <v>0</v>
      </c>
      <c r="BS116" s="31">
        <f>IF(Table1[[#This Row],[Sustainability Check 2 (2018-2019) Status]]="Continued", Table1[[#This Row],[Check 2 Students Summer]], 0)</f>
        <v>0</v>
      </c>
      <c r="BT116" s="58">
        <f>Table1[[#This Row],[Summer 2018 Price Check]]*BS116</f>
        <v>0</v>
      </c>
      <c r="BU116" s="31">
        <f>IF(Table1[[#This Row],[Sustainability Check 2 (2018-2019) Status]]="Continued", Table1[[#This Row],[Check 2 Students Fall]], 0)</f>
        <v>0</v>
      </c>
      <c r="BV116" s="58">
        <f>Table1[[#This Row],[Summer 2018 Price Check]]*BU116</f>
        <v>0</v>
      </c>
      <c r="BW116" s="21">
        <f>IF(Table1[[#This Row],[Sustainability Check 2 (2018-2019) Status]]="Continued", Table1[Check 2 Students Spring], 0)</f>
        <v>0</v>
      </c>
      <c r="BX116" s="58">
        <f>Table1[[#This Row],[Summer 2018 Price Check]]*Table1[[#This Row],[Spring 2019 Students]]</f>
        <v>0</v>
      </c>
      <c r="BY116" s="31">
        <f t="shared" si="79"/>
        <v>0</v>
      </c>
      <c r="BZ116" s="58">
        <f t="shared" si="80"/>
        <v>0</v>
      </c>
      <c r="CA116" s="17" t="s">
        <v>142</v>
      </c>
      <c r="CB116" s="21">
        <v>0</v>
      </c>
      <c r="CC116" s="21">
        <v>0</v>
      </c>
      <c r="CD116" s="21">
        <v>0</v>
      </c>
      <c r="CE116" s="21">
        <f t="shared" si="110"/>
        <v>0</v>
      </c>
      <c r="CF116" s="58">
        <v>0</v>
      </c>
      <c r="CG116" s="58">
        <f t="shared" si="81"/>
        <v>0</v>
      </c>
      <c r="CH116" s="17" t="s">
        <v>537</v>
      </c>
      <c r="CI116" s="21">
        <f>IF(Table1[[#This Row],[Check 3 Status]]="Continued", Table1[[#This Row],[Check 3 Students Summer]], 0)</f>
        <v>0</v>
      </c>
      <c r="CJ116" s="58">
        <f>Table1[[#This Row],[Check 3 Per Student Savings]]*CI116</f>
        <v>0</v>
      </c>
      <c r="CK116" s="21">
        <f>IF(Table1[[#This Row],[Check 3 Status]]="Continued", Table1[[#This Row],[Check 3 Students Fall]], 0)</f>
        <v>0</v>
      </c>
      <c r="CL116" s="58">
        <f>Table1[[#This Row],[Check 3 Per Student Savings]]*CK116</f>
        <v>0</v>
      </c>
      <c r="CM116" s="21">
        <f>IF(Table1[[#This Row],[Check 3 Status]]="Continued", Table1[[#This Row],[Check 3 Students Spring]], 0)</f>
        <v>0</v>
      </c>
      <c r="CN116" s="58">
        <f>Table1[[#This Row],[Check 3 Per Student Savings]]*CM116</f>
        <v>0</v>
      </c>
      <c r="CO116" s="21">
        <f t="shared" si="82"/>
        <v>0</v>
      </c>
      <c r="CP116" s="58">
        <f t="shared" si="83"/>
        <v>0</v>
      </c>
      <c r="CQ116" s="58" t="s">
        <v>142</v>
      </c>
      <c r="CR116" s="21">
        <v>0</v>
      </c>
      <c r="CS116" s="21">
        <v>0</v>
      </c>
      <c r="CT116" s="21">
        <v>0</v>
      </c>
      <c r="CU116" s="21">
        <f t="shared" si="84"/>
        <v>0</v>
      </c>
      <c r="CV116" s="58">
        <v>0</v>
      </c>
      <c r="CW116" s="58">
        <f t="shared" si="85"/>
        <v>0</v>
      </c>
      <c r="CX116" s="58"/>
      <c r="CY116" s="21">
        <f>IF(Table1[[#This Row],[Check 4 Status]]="Continued", Table1[[#This Row],[Check 4 Students Summer]], 0)</f>
        <v>0</v>
      </c>
      <c r="CZ116" s="58">
        <f>Table1[[#This Row],[Check 4 Per Student Savings]]*CY116</f>
        <v>0</v>
      </c>
      <c r="DA116" s="21">
        <f>IF(Table1[[#This Row],[Check 4 Status]]="Continued", Table1[[#This Row],[Check 4 Students Fall]], 0)</f>
        <v>0</v>
      </c>
      <c r="DB116" s="58">
        <f>Table1[[#This Row],[Check 4 Per Student Savings]]*DA116</f>
        <v>0</v>
      </c>
      <c r="DC116" s="21">
        <f>IF(Table1[[#This Row],[Check 4 Status]]="Continued", Table1[[#This Row],[Check 4 Students Spring]], 0)</f>
        <v>0</v>
      </c>
      <c r="DD116" s="58">
        <f>Table1[[#This Row],[Check 4 Per Student Savings]]*DC116</f>
        <v>0</v>
      </c>
      <c r="DE116" s="58">
        <f t="shared" si="86"/>
        <v>0</v>
      </c>
      <c r="DF116" s="58">
        <f t="shared" si="87"/>
        <v>0</v>
      </c>
      <c r="DG11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73.333333333333329</v>
      </c>
      <c r="DH11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7333.333333333333</v>
      </c>
      <c r="DI116" s="58">
        <f>Table1[[#This Row],[Grand Total Savings]]/Table1[[#This Row],[Total Award]]</f>
        <v>3.0555555555555554</v>
      </c>
      <c r="DJ116" s="17"/>
      <c r="DK116" s="17"/>
      <c r="DL116" s="17"/>
      <c r="DM116" s="17"/>
      <c r="EC116" s="17"/>
      <c r="ED116" s="17"/>
      <c r="EE116" s="17"/>
      <c r="EF116" s="17"/>
    </row>
    <row r="117" spans="1:136" x14ac:dyDescent="0.25">
      <c r="A117" s="157" t="s">
        <v>690</v>
      </c>
      <c r="B117" s="17" t="s">
        <v>2011</v>
      </c>
      <c r="D117" s="97">
        <v>511238</v>
      </c>
      <c r="E117" s="158">
        <v>42612</v>
      </c>
      <c r="F117" s="158">
        <v>42886</v>
      </c>
      <c r="G117" s="159" t="s">
        <v>669</v>
      </c>
      <c r="H117" s="95" t="s">
        <v>8</v>
      </c>
      <c r="I117" s="226" t="s">
        <v>118</v>
      </c>
      <c r="J117" s="17" t="s">
        <v>276</v>
      </c>
      <c r="K117" s="107">
        <v>7200</v>
      </c>
      <c r="L117" s="107"/>
      <c r="M117" s="101" t="s">
        <v>691</v>
      </c>
      <c r="N117" s="128" t="s">
        <v>692</v>
      </c>
      <c r="O117" s="101" t="s">
        <v>693</v>
      </c>
      <c r="P117" s="101" t="s">
        <v>694</v>
      </c>
      <c r="Q117" s="101" t="s">
        <v>148</v>
      </c>
      <c r="R117" s="101" t="s">
        <v>422</v>
      </c>
      <c r="S117" s="160" t="s">
        <v>36</v>
      </c>
      <c r="T117" s="17" t="s">
        <v>125</v>
      </c>
      <c r="U117" s="160" t="s">
        <v>674</v>
      </c>
      <c r="V117" s="101" t="s">
        <v>140</v>
      </c>
      <c r="W117" s="101" t="s">
        <v>140</v>
      </c>
      <c r="X117" s="101" t="s">
        <v>140</v>
      </c>
      <c r="Y117" s="58">
        <v>1169666</v>
      </c>
      <c r="Z117" s="17">
        <v>3017</v>
      </c>
      <c r="AA117" s="58">
        <f t="shared" si="113"/>
        <v>387.6917467683129</v>
      </c>
      <c r="AB117" s="21">
        <f t="shared" si="100"/>
        <v>1005.6666666666666</v>
      </c>
      <c r="AC117" s="21">
        <f t="shared" si="101"/>
        <v>1005.6666666666666</v>
      </c>
      <c r="AD117" s="21">
        <f t="shared" si="102"/>
        <v>1005.6666666666666</v>
      </c>
      <c r="AE117" s="17" t="s">
        <v>537</v>
      </c>
      <c r="AF117" s="17" t="s">
        <v>129</v>
      </c>
      <c r="AG117" s="17"/>
      <c r="AI117" s="17" t="s">
        <v>130</v>
      </c>
      <c r="AJ117" s="21">
        <v>0</v>
      </c>
      <c r="AK117" s="58">
        <v>0</v>
      </c>
      <c r="AL117" s="21">
        <v>0</v>
      </c>
      <c r="AM117" s="58">
        <f t="shared" si="114"/>
        <v>0</v>
      </c>
      <c r="AN117" s="21">
        <v>0</v>
      </c>
      <c r="AO117" s="58">
        <f t="shared" si="115"/>
        <v>0</v>
      </c>
      <c r="AP117" s="21">
        <v>0</v>
      </c>
      <c r="AQ117" s="58">
        <f t="shared" si="116"/>
        <v>0</v>
      </c>
      <c r="AR117" s="21">
        <v>0</v>
      </c>
      <c r="AS117" s="58">
        <f t="shared" si="117"/>
        <v>0</v>
      </c>
      <c r="AT117" s="21">
        <v>0</v>
      </c>
      <c r="AU117" s="58">
        <f t="shared" si="118"/>
        <v>0</v>
      </c>
      <c r="AV117" s="21">
        <v>0</v>
      </c>
      <c r="AW117" s="58">
        <v>0</v>
      </c>
      <c r="AX117" s="31">
        <f>Table1[[#This Row],[Students Per Fall]]</f>
        <v>1005.6666666666666</v>
      </c>
      <c r="AY117" s="58">
        <f>$AA117*AX117</f>
        <v>389888.66666666663</v>
      </c>
      <c r="AZ117" s="31">
        <f>IF(Table1[[#This Row],[Sustainability Check 1 (2017-2018) Status]]="Continued", Table1[[#This Row],[Students Per Spring]], 0)</f>
        <v>1005.6666666666666</v>
      </c>
      <c r="BA117" s="58">
        <f>$AA117*AZ117</f>
        <v>389888.66666666663</v>
      </c>
      <c r="BB117" s="31">
        <f t="shared" si="119"/>
        <v>2011.3333333333333</v>
      </c>
      <c r="BC117" s="58">
        <f t="shared" si="119"/>
        <v>779777.33333333326</v>
      </c>
      <c r="BD117" s="31">
        <f>IF(Table1[[#This Row],[Sustainability Check 1 (2017-2018) Status]]="Continued", Table1[[#This Row],[Students Per Summer]], 0)</f>
        <v>1005.6666666666666</v>
      </c>
      <c r="BE117" s="58">
        <f>$AA117*BD117</f>
        <v>389888.66666666663</v>
      </c>
      <c r="BF117" s="31">
        <f>IF(Table1[[#This Row],[Sustainability Check 1 (2017-2018) Status]]="Continued", Table1[[#This Row],[Students Per Fall]], 0)</f>
        <v>1005.6666666666666</v>
      </c>
      <c r="BG117" s="58">
        <f t="shared" si="120"/>
        <v>389888.66666666663</v>
      </c>
      <c r="BH117" s="31">
        <f>IF(Table1[[#This Row],[Sustainability Check 1 (2017-2018) Status]]="Continued", Table1[[#This Row],[Students Per Spring]], 0)</f>
        <v>1005.6666666666666</v>
      </c>
      <c r="BI117" s="58">
        <f t="shared" si="121"/>
        <v>389888.66666666663</v>
      </c>
      <c r="BJ117" s="31">
        <f t="shared" si="122"/>
        <v>3017</v>
      </c>
      <c r="BK117" s="58">
        <f t="shared" si="123"/>
        <v>1169666</v>
      </c>
      <c r="BL117" s="170" t="s">
        <v>130</v>
      </c>
      <c r="BM117" s="31">
        <v>990</v>
      </c>
      <c r="BN117" s="31">
        <v>200</v>
      </c>
      <c r="BO117" s="31">
        <v>1261</v>
      </c>
      <c r="BP117" s="31">
        <f t="shared" ref="BP117:BP148" si="124">SUM(BM117:BO117)</f>
        <v>2451</v>
      </c>
      <c r="BQ117" s="58">
        <v>188</v>
      </c>
      <c r="BR117" s="58">
        <f>Table1[[#This Row],[Check 2 Students Total]]*Table1[[#This Row],[Summer 2018 Price Check]]</f>
        <v>460788</v>
      </c>
      <c r="BS117" s="31">
        <f>IF(Table1[[#This Row],[Sustainability Check 2 (2018-2019) Status]]="Continued", Table1[[#This Row],[Check 2 Students Summer]], 0)</f>
        <v>990</v>
      </c>
      <c r="BT117" s="58">
        <f>Table1[[#This Row],[Summer 2018 Price Check]]*BS117</f>
        <v>186120</v>
      </c>
      <c r="BU117" s="31">
        <f>IF(Table1[[#This Row],[Sustainability Check 2 (2018-2019) Status]]="Continued", Table1[[#This Row],[Check 2 Students Fall]], 0)</f>
        <v>200</v>
      </c>
      <c r="BV117" s="58">
        <f>Table1[[#This Row],[Summer 2018 Price Check]]*BU117</f>
        <v>37600</v>
      </c>
      <c r="BW117" s="21">
        <f>IF(Table1[[#This Row],[Sustainability Check 2 (2018-2019) Status]]="Continued", Table1[Check 2 Students Spring], 0)</f>
        <v>1261</v>
      </c>
      <c r="BX117" s="58">
        <f>Table1[[#This Row],[Summer 2018 Price Check]]*Table1[[#This Row],[Spring 2019 Students]]</f>
        <v>237068</v>
      </c>
      <c r="BY117" s="31">
        <f t="shared" si="79"/>
        <v>2451</v>
      </c>
      <c r="BZ117" s="58">
        <f t="shared" si="80"/>
        <v>460788</v>
      </c>
      <c r="CA117" s="170" t="s">
        <v>130</v>
      </c>
      <c r="CB117" s="21">
        <v>272</v>
      </c>
      <c r="CC117" s="21">
        <v>1574</v>
      </c>
      <c r="CD117" s="21">
        <v>824</v>
      </c>
      <c r="CE117" s="21">
        <f t="shared" si="110"/>
        <v>2670</v>
      </c>
      <c r="CF117" s="58">
        <v>387.69</v>
      </c>
      <c r="CG117" s="58">
        <f t="shared" si="81"/>
        <v>1035132.3</v>
      </c>
      <c r="CH117" s="17" t="s">
        <v>537</v>
      </c>
      <c r="CI117" s="21">
        <f>IF(Table1[[#This Row],[Check 3 Status]]="Continued", Table1[[#This Row],[Check 3 Students Summer]], 0)</f>
        <v>272</v>
      </c>
      <c r="CJ117" s="58">
        <f>Table1[[#This Row],[Check 3 Per Student Savings]]*CI117</f>
        <v>105451.68</v>
      </c>
      <c r="CK117" s="21">
        <f>IF(Table1[[#This Row],[Check 3 Status]]="Continued", Table1[[#This Row],[Check 3 Students Fall]], 0)</f>
        <v>1574</v>
      </c>
      <c r="CL117" s="58">
        <f>Table1[[#This Row],[Check 3 Per Student Savings]]*CK117</f>
        <v>610224.05999999994</v>
      </c>
      <c r="CM117" s="21">
        <f>IF(Table1[[#This Row],[Check 3 Status]]="Continued", Table1[[#This Row],[Check 3 Students Spring]], 0)</f>
        <v>824</v>
      </c>
      <c r="CN117" s="58">
        <f>Table1[[#This Row],[Check 3 Per Student Savings]]*CM117</f>
        <v>319456.56</v>
      </c>
      <c r="CO117" s="21">
        <f t="shared" si="82"/>
        <v>2670</v>
      </c>
      <c r="CP117" s="58">
        <f t="shared" si="83"/>
        <v>1035132.3</v>
      </c>
      <c r="CQ117" s="58" t="s">
        <v>130</v>
      </c>
      <c r="CR117" s="21">
        <v>272</v>
      </c>
      <c r="CS117" s="21">
        <v>1574</v>
      </c>
      <c r="CT117" s="21">
        <v>824</v>
      </c>
      <c r="CU117" s="21">
        <f t="shared" si="84"/>
        <v>2670</v>
      </c>
      <c r="CV117" s="58">
        <v>387.69</v>
      </c>
      <c r="CW117" s="58">
        <f t="shared" si="85"/>
        <v>1035132.3</v>
      </c>
      <c r="CX117" s="58"/>
      <c r="CY117" s="21">
        <f>IF(Table1[[#This Row],[Check 4 Status]]="Continued", Table1[[#This Row],[Check 4 Students Summer]], 0)</f>
        <v>272</v>
      </c>
      <c r="CZ117" s="58">
        <f>Table1[[#This Row],[Check 4 Per Student Savings]]*CY117</f>
        <v>105451.68</v>
      </c>
      <c r="DA117" s="21">
        <f>IF(Table1[[#This Row],[Check 4 Status]]="Continued", Table1[[#This Row],[Check 4 Students Fall]], 0)</f>
        <v>1574</v>
      </c>
      <c r="DB117" s="58">
        <f>Table1[[#This Row],[Check 4 Per Student Savings]]*DA117</f>
        <v>610224.05999999994</v>
      </c>
      <c r="DC117" s="21">
        <f>IF(Table1[[#This Row],[Check 4 Status]]="Continued", Table1[[#This Row],[Check 4 Students Spring]], 0)</f>
        <v>824</v>
      </c>
      <c r="DD117" s="58">
        <f>Table1[[#This Row],[Check 4 Per Student Savings]]*DC117</f>
        <v>319456.56</v>
      </c>
      <c r="DE117" s="58">
        <f t="shared" si="86"/>
        <v>2670</v>
      </c>
      <c r="DF117" s="58">
        <f t="shared" si="87"/>
        <v>1035132.3</v>
      </c>
      <c r="DG11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12819.333333333332</v>
      </c>
      <c r="DH11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4480495.9333333327</v>
      </c>
      <c r="DI117" s="58">
        <f>Table1[[#This Row],[Grand Total Savings]]/Table1[[#This Row],[Total Award]]</f>
        <v>622.29110185185175</v>
      </c>
      <c r="DJ117" s="17"/>
      <c r="DK117" s="17"/>
      <c r="DL117" s="17"/>
      <c r="DM117" s="17"/>
      <c r="EC117" s="17"/>
      <c r="ED117" s="17"/>
      <c r="EE117" s="17"/>
      <c r="EF117" s="17"/>
    </row>
    <row r="118" spans="1:136" x14ac:dyDescent="0.25">
      <c r="A118" s="159">
        <v>232</v>
      </c>
      <c r="B118" s="17" t="s">
        <v>2011</v>
      </c>
      <c r="D118" s="97">
        <v>511578</v>
      </c>
      <c r="E118" s="158">
        <v>42685</v>
      </c>
      <c r="F118" s="165">
        <v>43109</v>
      </c>
      <c r="G118" s="159" t="s">
        <v>695</v>
      </c>
      <c r="H118" s="95" t="s">
        <v>8</v>
      </c>
      <c r="I118" s="226" t="s">
        <v>118</v>
      </c>
      <c r="J118" s="17" t="s">
        <v>388</v>
      </c>
      <c r="K118" s="107">
        <v>10800</v>
      </c>
      <c r="L118" s="107"/>
      <c r="M118" s="101" t="s">
        <v>696</v>
      </c>
      <c r="N118" s="101" t="s">
        <v>697</v>
      </c>
      <c r="O118" s="101" t="s">
        <v>698</v>
      </c>
      <c r="P118" s="101" t="s">
        <v>699</v>
      </c>
      <c r="Q118" s="101" t="s">
        <v>317</v>
      </c>
      <c r="R118" s="101" t="s">
        <v>315</v>
      </c>
      <c r="S118" s="101" t="s">
        <v>129</v>
      </c>
      <c r="T118" s="17" t="s">
        <v>129</v>
      </c>
      <c r="U118" s="160" t="s">
        <v>700</v>
      </c>
      <c r="V118" s="17" t="s">
        <v>150</v>
      </c>
      <c r="W118" s="17" t="s">
        <v>150</v>
      </c>
      <c r="X118" s="17" t="s">
        <v>150</v>
      </c>
      <c r="Y118" s="58">
        <v>30446.3</v>
      </c>
      <c r="Z118" s="17">
        <v>359</v>
      </c>
      <c r="AA118" s="58">
        <f t="shared" si="113"/>
        <v>84.808635097493038</v>
      </c>
      <c r="AB118" s="21">
        <f t="shared" si="100"/>
        <v>119.66666666666667</v>
      </c>
      <c r="AC118" s="21">
        <f t="shared" si="101"/>
        <v>119.66666666666667</v>
      </c>
      <c r="AD118" s="21">
        <f t="shared" si="102"/>
        <v>119.66666666666667</v>
      </c>
      <c r="AE118" s="17" t="s">
        <v>588</v>
      </c>
      <c r="AF118" s="17" t="s">
        <v>129</v>
      </c>
      <c r="AG118" s="17"/>
      <c r="AI118" s="17" t="s">
        <v>130</v>
      </c>
      <c r="AJ118" s="21">
        <v>0</v>
      </c>
      <c r="AK118" s="58">
        <v>0</v>
      </c>
      <c r="AL118" s="21">
        <v>0</v>
      </c>
      <c r="AM118" s="58">
        <f t="shared" si="114"/>
        <v>0</v>
      </c>
      <c r="AN118" s="21">
        <v>0</v>
      </c>
      <c r="AO118" s="58">
        <f t="shared" si="115"/>
        <v>0</v>
      </c>
      <c r="AP118" s="21">
        <v>0</v>
      </c>
      <c r="AQ118" s="58">
        <f t="shared" si="116"/>
        <v>0</v>
      </c>
      <c r="AR118" s="21">
        <v>0</v>
      </c>
      <c r="AS118" s="58">
        <f t="shared" si="117"/>
        <v>0</v>
      </c>
      <c r="AT118" s="21">
        <v>0</v>
      </c>
      <c r="AU118" s="58">
        <f t="shared" si="118"/>
        <v>0</v>
      </c>
      <c r="AV118" s="21">
        <v>0</v>
      </c>
      <c r="AW118" s="58">
        <v>0</v>
      </c>
      <c r="AX118" s="31">
        <v>0</v>
      </c>
      <c r="AY118" s="58">
        <v>0</v>
      </c>
      <c r="AZ118" s="31">
        <v>0</v>
      </c>
      <c r="BA118" s="58">
        <v>0</v>
      </c>
      <c r="BB118" s="31">
        <v>0</v>
      </c>
      <c r="BC118" s="58">
        <v>0</v>
      </c>
      <c r="BD118" s="31">
        <v>0</v>
      </c>
      <c r="BE118" s="58">
        <v>0</v>
      </c>
      <c r="BF118" s="31">
        <f>Table1[[#This Row],[Students Per Fall]]</f>
        <v>119.66666666666667</v>
      </c>
      <c r="BG118" s="58">
        <f t="shared" si="120"/>
        <v>10148.766666666666</v>
      </c>
      <c r="BH118" s="31">
        <f>IF(Table1[[#This Row],[Sustainability Check 1 (2017-2018) Status]]="Continued", Table1[[#This Row],[Students Per Spring]], 0)</f>
        <v>119.66666666666667</v>
      </c>
      <c r="BI118" s="58">
        <f t="shared" si="121"/>
        <v>10148.766666666666</v>
      </c>
      <c r="BJ118" s="31">
        <f t="shared" si="122"/>
        <v>239.33333333333334</v>
      </c>
      <c r="BK118" s="58">
        <f t="shared" si="123"/>
        <v>20297.533333333333</v>
      </c>
      <c r="BL118" s="58" t="s">
        <v>130</v>
      </c>
      <c r="BM118" s="31">
        <v>61</v>
      </c>
      <c r="BN118" s="31">
        <v>120</v>
      </c>
      <c r="BO118" s="31">
        <v>112</v>
      </c>
      <c r="BP118" s="31">
        <f t="shared" si="124"/>
        <v>293</v>
      </c>
      <c r="BQ118" s="58">
        <v>155.97</v>
      </c>
      <c r="BR118" s="58">
        <f>Table1[[#This Row],[Check 2 Students Total]]*Table1[[#This Row],[Summer 2018 Price Check]]</f>
        <v>45699.21</v>
      </c>
      <c r="BS118" s="31">
        <f>IF(Table1[[#This Row],[Sustainability Check 2 (2018-2019) Status]]="Continued", Table1[[#This Row],[Check 2 Students Summer]], 0)</f>
        <v>61</v>
      </c>
      <c r="BT118" s="58">
        <f>Table1[[#This Row],[Summer 2018 Price Check]]*BS118</f>
        <v>9514.17</v>
      </c>
      <c r="BU118" s="31">
        <f>IF(Table1[[#This Row],[Sustainability Check 2 (2018-2019) Status]]="Continued", Table1[[#This Row],[Check 2 Students Fall]], 0)</f>
        <v>120</v>
      </c>
      <c r="BV118" s="58">
        <f>Table1[[#This Row],[Summer 2018 Price Check]]*BU118</f>
        <v>18716.400000000001</v>
      </c>
      <c r="BW118" s="21">
        <f>IF(Table1[[#This Row],[Sustainability Check 2 (2018-2019) Status]]="Continued", Table1[Check 2 Students Spring], 0)</f>
        <v>112</v>
      </c>
      <c r="BX118" s="58">
        <f>Table1[[#This Row],[Summer 2018 Price Check]]*Table1[[#This Row],[Spring 2019 Students]]</f>
        <v>17468.64</v>
      </c>
      <c r="BY118" s="31">
        <f t="shared" si="79"/>
        <v>293</v>
      </c>
      <c r="BZ118" s="58">
        <f t="shared" si="80"/>
        <v>45699.21</v>
      </c>
      <c r="CA118" s="58" t="s">
        <v>130</v>
      </c>
      <c r="CB118" s="21">
        <v>0</v>
      </c>
      <c r="CC118" s="21">
        <v>46</v>
      </c>
      <c r="CD118" s="21">
        <v>46</v>
      </c>
      <c r="CE118" s="21">
        <f t="shared" si="110"/>
        <v>92</v>
      </c>
      <c r="CF118" s="58">
        <v>104.49</v>
      </c>
      <c r="CG118" s="58">
        <f t="shared" si="81"/>
        <v>9613.08</v>
      </c>
      <c r="CH118" s="17" t="s">
        <v>588</v>
      </c>
      <c r="CI118" s="21">
        <f>IF(Table1[[#This Row],[Check 3 Status]]="Continued", Table1[[#This Row],[Check 3 Students Summer]], 0)</f>
        <v>0</v>
      </c>
      <c r="CJ118" s="58">
        <f>Table1[[#This Row],[Check 3 Per Student Savings]]*CI118</f>
        <v>0</v>
      </c>
      <c r="CK118" s="21">
        <f>IF(Table1[[#This Row],[Check 3 Status]]="Continued", Table1[[#This Row],[Check 3 Students Fall]], 0)</f>
        <v>46</v>
      </c>
      <c r="CL118" s="58">
        <f>Table1[[#This Row],[Check 3 Per Student Savings]]*CK118</f>
        <v>4806.54</v>
      </c>
      <c r="CM118" s="21">
        <f>IF(Table1[[#This Row],[Check 3 Status]]="Continued", Table1[[#This Row],[Check 3 Students Spring]], 0)</f>
        <v>46</v>
      </c>
      <c r="CN118" s="58">
        <f>Table1[[#This Row],[Check 3 Per Student Savings]]*CM118</f>
        <v>4806.54</v>
      </c>
      <c r="CO118" s="21">
        <f t="shared" si="82"/>
        <v>92</v>
      </c>
      <c r="CP118" s="58">
        <f t="shared" si="83"/>
        <v>9613.08</v>
      </c>
      <c r="CQ118" s="58" t="s">
        <v>130</v>
      </c>
      <c r="CR118" s="21">
        <v>0</v>
      </c>
      <c r="CS118" s="21">
        <v>46</v>
      </c>
      <c r="CT118" s="21">
        <v>46</v>
      </c>
      <c r="CU118" s="21">
        <f t="shared" si="84"/>
        <v>92</v>
      </c>
      <c r="CV118" s="58">
        <v>104.49</v>
      </c>
      <c r="CW118" s="58">
        <f t="shared" si="85"/>
        <v>9613.08</v>
      </c>
      <c r="CX118" s="58"/>
      <c r="CY118" s="21">
        <f>IF(Table1[[#This Row],[Check 4 Status]]="Continued", Table1[[#This Row],[Check 4 Students Summer]], 0)</f>
        <v>0</v>
      </c>
      <c r="CZ118" s="58">
        <f>Table1[[#This Row],[Check 4 Per Student Savings]]*CY118</f>
        <v>0</v>
      </c>
      <c r="DA118" s="21">
        <f>IF(Table1[[#This Row],[Check 4 Status]]="Continued", Table1[[#This Row],[Check 4 Students Fall]], 0)</f>
        <v>46</v>
      </c>
      <c r="DB118" s="58">
        <f>Table1[[#This Row],[Check 4 Per Student Savings]]*DA118</f>
        <v>4806.54</v>
      </c>
      <c r="DC118" s="21">
        <f>IF(Table1[[#This Row],[Check 4 Status]]="Continued", Table1[[#This Row],[Check 4 Students Spring]], 0)</f>
        <v>46</v>
      </c>
      <c r="DD118" s="58">
        <f>Table1[[#This Row],[Check 4 Per Student Savings]]*DC118</f>
        <v>4806.54</v>
      </c>
      <c r="DE118" s="58">
        <f t="shared" si="86"/>
        <v>92</v>
      </c>
      <c r="DF118" s="58">
        <f t="shared" si="87"/>
        <v>9613.08</v>
      </c>
      <c r="DG11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716.33333333333337</v>
      </c>
      <c r="DH11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85222.903333333335</v>
      </c>
      <c r="DI118" s="58">
        <f>Table1[[#This Row],[Grand Total Savings]]/Table1[[#This Row],[Total Award]]</f>
        <v>7.8910095679012349</v>
      </c>
      <c r="DJ118" s="17"/>
      <c r="DK118" s="17"/>
      <c r="DL118" s="17"/>
      <c r="DM118" s="17"/>
      <c r="EC118" s="17"/>
      <c r="ED118" s="17"/>
      <c r="EE118" s="17"/>
      <c r="EF118" s="17"/>
    </row>
    <row r="119" spans="1:136" ht="15.75" thickBot="1" x14ac:dyDescent="0.3">
      <c r="A119" s="159">
        <v>234</v>
      </c>
      <c r="B119" s="17" t="s">
        <v>2011</v>
      </c>
      <c r="D119" s="97">
        <v>512205</v>
      </c>
      <c r="E119" s="158">
        <v>42814</v>
      </c>
      <c r="F119" s="165">
        <v>43109</v>
      </c>
      <c r="G119" s="157" t="s">
        <v>695</v>
      </c>
      <c r="H119" s="95" t="s">
        <v>8</v>
      </c>
      <c r="I119" s="226" t="s">
        <v>118</v>
      </c>
      <c r="J119" s="17" t="s">
        <v>236</v>
      </c>
      <c r="K119" s="107">
        <v>30000</v>
      </c>
      <c r="L119" s="107"/>
      <c r="M119" s="101" t="s">
        <v>701</v>
      </c>
      <c r="N119" s="101" t="s">
        <v>702</v>
      </c>
      <c r="O119" s="101" t="s">
        <v>703</v>
      </c>
      <c r="P119" s="101" t="s">
        <v>704</v>
      </c>
      <c r="Q119" s="101" t="s">
        <v>530</v>
      </c>
      <c r="R119" s="101" t="s">
        <v>705</v>
      </c>
      <c r="S119" s="160" t="s">
        <v>36</v>
      </c>
      <c r="T119" s="17" t="s">
        <v>129</v>
      </c>
      <c r="U119" s="101" t="s">
        <v>287</v>
      </c>
      <c r="V119" s="17" t="s">
        <v>150</v>
      </c>
      <c r="W119" s="17" t="s">
        <v>150</v>
      </c>
      <c r="X119" s="17" t="s">
        <v>150</v>
      </c>
      <c r="Y119" s="58">
        <v>781830</v>
      </c>
      <c r="Z119" s="31">
        <v>3066</v>
      </c>
      <c r="AA119" s="58">
        <f t="shared" si="113"/>
        <v>255</v>
      </c>
      <c r="AB119" s="21">
        <f t="shared" si="100"/>
        <v>1022</v>
      </c>
      <c r="AC119" s="21">
        <f t="shared" si="101"/>
        <v>1022</v>
      </c>
      <c r="AD119" s="21">
        <f t="shared" si="102"/>
        <v>1022</v>
      </c>
      <c r="AE119" s="17" t="s">
        <v>635</v>
      </c>
      <c r="AF119" s="17" t="s">
        <v>129</v>
      </c>
      <c r="AG119" s="17"/>
      <c r="AI119" s="17" t="s">
        <v>130</v>
      </c>
      <c r="AJ119" s="21">
        <v>0</v>
      </c>
      <c r="AK119" s="58">
        <v>0</v>
      </c>
      <c r="AL119" s="21">
        <v>0</v>
      </c>
      <c r="AM119" s="58">
        <f t="shared" si="114"/>
        <v>0</v>
      </c>
      <c r="AN119" s="21">
        <v>0</v>
      </c>
      <c r="AO119" s="58">
        <f t="shared" si="115"/>
        <v>0</v>
      </c>
      <c r="AP119" s="21">
        <v>0</v>
      </c>
      <c r="AQ119" s="58">
        <f t="shared" si="116"/>
        <v>0</v>
      </c>
      <c r="AR119" s="21">
        <v>0</v>
      </c>
      <c r="AS119" s="58">
        <f t="shared" si="117"/>
        <v>0</v>
      </c>
      <c r="AT119" s="21">
        <v>0</v>
      </c>
      <c r="AU119" s="58">
        <f t="shared" si="118"/>
        <v>0</v>
      </c>
      <c r="AV119" s="21">
        <v>0</v>
      </c>
      <c r="AW119" s="58">
        <v>0</v>
      </c>
      <c r="AX119" s="31">
        <v>0</v>
      </c>
      <c r="AY119" s="58">
        <v>0</v>
      </c>
      <c r="AZ119" s="31">
        <f>Table1[[#This Row],[Students Per Spring]]</f>
        <v>1022</v>
      </c>
      <c r="BA119" s="58">
        <f>$AA119*AZ119</f>
        <v>260610</v>
      </c>
      <c r="BB119" s="31">
        <f>AV119+AX119+AZ119</f>
        <v>1022</v>
      </c>
      <c r="BC119" s="58">
        <f>AW119+AY119+BA119</f>
        <v>260610</v>
      </c>
      <c r="BD119" s="31">
        <f>IF(Table1[[#This Row],[Sustainability Check 1 (2017-2018) Status]]="Continued", Table1[[#This Row],[Students Per Summer]], 0)</f>
        <v>1022</v>
      </c>
      <c r="BE119" s="58">
        <f>$AA119*BD119</f>
        <v>260610</v>
      </c>
      <c r="BF119" s="31">
        <f>IF(Table1[[#This Row],[Sustainability Check 1 (2017-2018) Status]]="Continued", Table1[[#This Row],[Students Per Fall]], 0)</f>
        <v>1022</v>
      </c>
      <c r="BG119" s="58">
        <f t="shared" si="120"/>
        <v>260610</v>
      </c>
      <c r="BH119" s="31">
        <f>IF(Table1[[#This Row],[Sustainability Check 1 (2017-2018) Status]]="Continued", Table1[[#This Row],[Students Per Spring]], 0)</f>
        <v>1022</v>
      </c>
      <c r="BI119" s="58">
        <f t="shared" si="121"/>
        <v>260610</v>
      </c>
      <c r="BJ119" s="31">
        <f t="shared" si="122"/>
        <v>3066</v>
      </c>
      <c r="BK119" s="58">
        <f t="shared" si="123"/>
        <v>781830</v>
      </c>
      <c r="BL119" s="58" t="s">
        <v>130</v>
      </c>
      <c r="BM119" s="31">
        <v>600</v>
      </c>
      <c r="BN119" s="31">
        <v>1800</v>
      </c>
      <c r="BO119" s="31">
        <v>1800</v>
      </c>
      <c r="BP119" s="31">
        <f t="shared" si="124"/>
        <v>4200</v>
      </c>
      <c r="BQ119" s="96">
        <v>100</v>
      </c>
      <c r="BR119" s="58">
        <f>Table1[[#This Row],[Check 2 Students Total]]*Table1[[#This Row],[Summer 2018 Price Check]]</f>
        <v>420000</v>
      </c>
      <c r="BS119" s="31">
        <f>IF(Table1[[#This Row],[Sustainability Check 2 (2018-2019) Status]]="Continued", Table1[[#This Row],[Check 2 Students Summer]], 0)</f>
        <v>600</v>
      </c>
      <c r="BT119" s="58">
        <f>Table1[[#This Row],[Summer 2018 Price Check]]*BS119</f>
        <v>60000</v>
      </c>
      <c r="BU119" s="31">
        <f>IF(Table1[[#This Row],[Sustainability Check 2 (2018-2019) Status]]="Continued", Table1[[#This Row],[Check 2 Students Fall]], 0)</f>
        <v>1800</v>
      </c>
      <c r="BV119" s="58">
        <f>Table1[[#This Row],[Summer 2018 Price Check]]*BU119</f>
        <v>180000</v>
      </c>
      <c r="BW119" s="21">
        <f>IF(Table1[[#This Row],[Sustainability Check 2 (2018-2019) Status]]="Continued", Table1[Check 2 Students Spring], 0)</f>
        <v>1800</v>
      </c>
      <c r="BX119" s="58">
        <f>Table1[[#This Row],[Summer 2018 Price Check]]*Table1[[#This Row],[Spring 2019 Students]]</f>
        <v>180000</v>
      </c>
      <c r="BY119" s="31">
        <f t="shared" si="79"/>
        <v>4200</v>
      </c>
      <c r="BZ119" s="58">
        <f t="shared" si="80"/>
        <v>420000</v>
      </c>
      <c r="CA119" s="58" t="s">
        <v>142</v>
      </c>
      <c r="CB119" s="21">
        <v>0</v>
      </c>
      <c r="CC119" s="21">
        <v>0</v>
      </c>
      <c r="CD119" s="21">
        <v>0</v>
      </c>
      <c r="CE119" s="21">
        <f t="shared" si="110"/>
        <v>0</v>
      </c>
      <c r="CF119" s="58"/>
      <c r="CG119" s="58">
        <f t="shared" si="81"/>
        <v>0</v>
      </c>
      <c r="CH119" s="17" t="s">
        <v>635</v>
      </c>
      <c r="CI119" s="21">
        <f>IF(Table1[[#This Row],[Check 3 Status]]="Continued", Table1[[#This Row],[Check 3 Students Summer]], 0)</f>
        <v>0</v>
      </c>
      <c r="CJ119" s="58">
        <f>Table1[[#This Row],[Check 3 Per Student Savings]]*CI119</f>
        <v>0</v>
      </c>
      <c r="CK119" s="21">
        <f>IF(Table1[[#This Row],[Check 3 Status]]="Continued", Table1[[#This Row],[Check 3 Students Fall]], 0)</f>
        <v>0</v>
      </c>
      <c r="CL119" s="58">
        <f>Table1[[#This Row],[Check 3 Per Student Savings]]*CK119</f>
        <v>0</v>
      </c>
      <c r="CM119" s="21">
        <f>IF(Table1[[#This Row],[Check 3 Status]]="Continued", Table1[[#This Row],[Check 3 Students Spring]], 0)</f>
        <v>0</v>
      </c>
      <c r="CN119" s="58">
        <f>Table1[[#This Row],[Check 3 Per Student Savings]]*CM119</f>
        <v>0</v>
      </c>
      <c r="CO119" s="21">
        <f t="shared" si="82"/>
        <v>0</v>
      </c>
      <c r="CP119" s="58">
        <f t="shared" si="83"/>
        <v>0</v>
      </c>
      <c r="CQ119" s="58" t="s">
        <v>142</v>
      </c>
      <c r="CR119" s="21">
        <v>0</v>
      </c>
      <c r="CS119" s="21">
        <v>0</v>
      </c>
      <c r="CT119" s="21">
        <v>0</v>
      </c>
      <c r="CU119" s="21">
        <f t="shared" si="84"/>
        <v>0</v>
      </c>
      <c r="CV119" s="58"/>
      <c r="CW119" s="58">
        <f t="shared" si="85"/>
        <v>0</v>
      </c>
      <c r="CX119" s="58"/>
      <c r="CY119" s="21">
        <f>IF(Table1[[#This Row],[Check 4 Status]]="Continued", Table1[[#This Row],[Check 4 Students Summer]], 0)</f>
        <v>0</v>
      </c>
      <c r="CZ119" s="58">
        <f>Table1[[#This Row],[Check 4 Per Student Savings]]*CY119</f>
        <v>0</v>
      </c>
      <c r="DA119" s="21">
        <f>IF(Table1[[#This Row],[Check 4 Status]]="Continued", Table1[[#This Row],[Check 4 Students Fall]], 0)</f>
        <v>0</v>
      </c>
      <c r="DB119" s="58">
        <f>Table1[[#This Row],[Check 4 Per Student Savings]]*DA119</f>
        <v>0</v>
      </c>
      <c r="DC119" s="21">
        <f>IF(Table1[[#This Row],[Check 4 Status]]="Continued", Table1[[#This Row],[Check 4 Students Spring]], 0)</f>
        <v>0</v>
      </c>
      <c r="DD119" s="58">
        <f>Table1[[#This Row],[Check 4 Per Student Savings]]*DC119</f>
        <v>0</v>
      </c>
      <c r="DE119" s="58">
        <f t="shared" si="86"/>
        <v>0</v>
      </c>
      <c r="DF119" s="58">
        <f t="shared" si="87"/>
        <v>0</v>
      </c>
      <c r="DG11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8288</v>
      </c>
      <c r="DH11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1462440</v>
      </c>
      <c r="DI119" s="58">
        <f>Table1[[#This Row],[Grand Total Savings]]/Table1[[#This Row],[Total Award]]</f>
        <v>48.747999999999998</v>
      </c>
      <c r="DJ119" s="17"/>
      <c r="DK119" s="17"/>
      <c r="DL119" s="17"/>
      <c r="DM119" s="17"/>
      <c r="EC119" s="17"/>
      <c r="ED119" s="17"/>
      <c r="EE119" s="17"/>
      <c r="EF119" s="17"/>
    </row>
    <row r="120" spans="1:136" ht="15.75" thickBot="1" x14ac:dyDescent="0.3">
      <c r="A120" s="171">
        <v>235</v>
      </c>
      <c r="B120" s="17" t="s">
        <v>2011</v>
      </c>
      <c r="D120" s="97">
        <v>511663</v>
      </c>
      <c r="E120" s="158">
        <v>42710</v>
      </c>
      <c r="F120" s="165">
        <v>43109</v>
      </c>
      <c r="G120" s="159" t="s">
        <v>695</v>
      </c>
      <c r="H120" s="95" t="s">
        <v>8</v>
      </c>
      <c r="I120" s="226" t="s">
        <v>118</v>
      </c>
      <c r="J120" s="17" t="s">
        <v>218</v>
      </c>
      <c r="K120" s="107">
        <v>25800</v>
      </c>
      <c r="L120" s="107"/>
      <c r="M120" s="101" t="s">
        <v>706</v>
      </c>
      <c r="N120" s="101" t="s">
        <v>707</v>
      </c>
      <c r="O120" s="101" t="s">
        <v>708</v>
      </c>
      <c r="P120" s="101" t="s">
        <v>709</v>
      </c>
      <c r="Q120" s="101" t="s">
        <v>192</v>
      </c>
      <c r="R120" s="101" t="s">
        <v>129</v>
      </c>
      <c r="S120" s="160" t="s">
        <v>36</v>
      </c>
      <c r="T120" s="17" t="s">
        <v>125</v>
      </c>
      <c r="U120" s="160" t="s">
        <v>348</v>
      </c>
      <c r="V120" s="17" t="s">
        <v>150</v>
      </c>
      <c r="W120" s="17" t="s">
        <v>127</v>
      </c>
      <c r="X120" s="17" t="s">
        <v>127</v>
      </c>
      <c r="Y120" s="58">
        <v>97080</v>
      </c>
      <c r="Z120" s="17">
        <v>400</v>
      </c>
      <c r="AA120" s="58">
        <f t="shared" si="113"/>
        <v>242.7</v>
      </c>
      <c r="AB120" s="21">
        <f t="shared" ref="AB120:AB151" si="125">Z120/3</f>
        <v>133.33333333333334</v>
      </c>
      <c r="AC120" s="21">
        <f t="shared" ref="AC120:AC151" si="126">Z120/3</f>
        <v>133.33333333333334</v>
      </c>
      <c r="AD120" s="21">
        <f t="shared" ref="AD120:AD151" si="127">Z120/3</f>
        <v>133.33333333333334</v>
      </c>
      <c r="AE120" s="17" t="s">
        <v>588</v>
      </c>
      <c r="AF120" s="17" t="s">
        <v>129</v>
      </c>
      <c r="AG120" s="17"/>
      <c r="AI120" s="17" t="s">
        <v>130</v>
      </c>
      <c r="AJ120" s="21">
        <v>0</v>
      </c>
      <c r="AK120" s="58">
        <v>0</v>
      </c>
      <c r="AL120" s="21">
        <v>0</v>
      </c>
      <c r="AM120" s="58">
        <f t="shared" si="114"/>
        <v>0</v>
      </c>
      <c r="AN120" s="21">
        <v>0</v>
      </c>
      <c r="AO120" s="58">
        <f t="shared" si="115"/>
        <v>0</v>
      </c>
      <c r="AP120" s="21">
        <v>0</v>
      </c>
      <c r="AQ120" s="58">
        <f t="shared" si="116"/>
        <v>0</v>
      </c>
      <c r="AR120" s="21">
        <v>0</v>
      </c>
      <c r="AS120" s="58">
        <f t="shared" si="117"/>
        <v>0</v>
      </c>
      <c r="AT120" s="21">
        <v>0</v>
      </c>
      <c r="AU120" s="58">
        <f t="shared" si="118"/>
        <v>0</v>
      </c>
      <c r="AV120" s="21">
        <v>0</v>
      </c>
      <c r="AW120" s="58">
        <v>0</v>
      </c>
      <c r="AX120" s="31">
        <v>0</v>
      </c>
      <c r="AY120" s="58">
        <v>0</v>
      </c>
      <c r="AZ120" s="31">
        <v>0</v>
      </c>
      <c r="BA120" s="58">
        <v>0</v>
      </c>
      <c r="BB120" s="31">
        <v>0</v>
      </c>
      <c r="BC120" s="58">
        <v>0</v>
      </c>
      <c r="BD120" s="31">
        <v>0</v>
      </c>
      <c r="BE120" s="58">
        <v>0</v>
      </c>
      <c r="BF120" s="31">
        <f>Table1[[#This Row],[Students Per Fall]]</f>
        <v>133.33333333333334</v>
      </c>
      <c r="BG120" s="58">
        <f t="shared" si="120"/>
        <v>32360</v>
      </c>
      <c r="BH120" s="31">
        <f>IF(Table1[[#This Row],[Sustainability Check 1 (2017-2018) Status]]="Continued", Table1[[#This Row],[Students Per Spring]], 0)</f>
        <v>133.33333333333334</v>
      </c>
      <c r="BI120" s="58">
        <f t="shared" si="121"/>
        <v>32360</v>
      </c>
      <c r="BJ120" s="31">
        <f t="shared" si="122"/>
        <v>266.66666666666669</v>
      </c>
      <c r="BK120" s="58">
        <f t="shared" si="123"/>
        <v>64720</v>
      </c>
      <c r="BL120" s="58" t="s">
        <v>130</v>
      </c>
      <c r="BM120" s="31">
        <v>0</v>
      </c>
      <c r="BN120" s="31">
        <v>120</v>
      </c>
      <c r="BO120" s="31">
        <v>200</v>
      </c>
      <c r="BP120" s="31">
        <f t="shared" si="124"/>
        <v>320</v>
      </c>
      <c r="BQ120" s="96">
        <v>268.93</v>
      </c>
      <c r="BR120" s="58">
        <f>Table1[[#This Row],[Check 2 Students Total]]*Table1[[#This Row],[Summer 2018 Price Check]]</f>
        <v>86057.600000000006</v>
      </c>
      <c r="BS120" s="31">
        <f>IF(Table1[[#This Row],[Sustainability Check 2 (2018-2019) Status]]="Continued", Table1[[#This Row],[Check 2 Students Summer]], 0)</f>
        <v>0</v>
      </c>
      <c r="BT120" s="58">
        <f>Table1[[#This Row],[Summer 2018 Price Check]]*BS120</f>
        <v>0</v>
      </c>
      <c r="BU120" s="31">
        <f>IF(Table1[[#This Row],[Sustainability Check 2 (2018-2019) Status]]="Continued", Table1[[#This Row],[Check 2 Students Fall]], 0)</f>
        <v>120</v>
      </c>
      <c r="BV120" s="58">
        <f>Table1[[#This Row],[Summer 2018 Price Check]]*BU120</f>
        <v>32271.600000000002</v>
      </c>
      <c r="BW120" s="21">
        <f>IF(Table1[[#This Row],[Sustainability Check 2 (2018-2019) Status]]="Continued", Table1[Check 2 Students Spring], 0)</f>
        <v>200</v>
      </c>
      <c r="BX120" s="58">
        <f>Table1[[#This Row],[Summer 2018 Price Check]]*Table1[[#This Row],[Spring 2019 Students]]</f>
        <v>53786</v>
      </c>
      <c r="BY120" s="31">
        <f t="shared" si="79"/>
        <v>320</v>
      </c>
      <c r="BZ120" s="58">
        <f t="shared" si="80"/>
        <v>86057.600000000006</v>
      </c>
      <c r="CA120" s="58" t="s">
        <v>130</v>
      </c>
      <c r="CB120" s="21">
        <v>0</v>
      </c>
      <c r="CC120" s="21">
        <v>110</v>
      </c>
      <c r="CD120" s="21">
        <v>180</v>
      </c>
      <c r="CE120" s="21">
        <f t="shared" si="110"/>
        <v>290</v>
      </c>
      <c r="CF120" s="58">
        <v>245.99</v>
      </c>
      <c r="CG120" s="58">
        <f t="shared" si="81"/>
        <v>71337.100000000006</v>
      </c>
      <c r="CH120" s="17" t="s">
        <v>588</v>
      </c>
      <c r="CI120" s="21">
        <f>IF(Table1[[#This Row],[Check 3 Status]]="Continued", Table1[[#This Row],[Check 3 Students Summer]], 0)</f>
        <v>0</v>
      </c>
      <c r="CJ120" s="58">
        <f>Table1[[#This Row],[Check 3 Per Student Savings]]*CI120</f>
        <v>0</v>
      </c>
      <c r="CK120" s="21">
        <f>IF(Table1[[#This Row],[Check 3 Status]]="Continued", Table1[[#This Row],[Check 3 Students Fall]], 0)</f>
        <v>110</v>
      </c>
      <c r="CL120" s="58">
        <f>Table1[[#This Row],[Check 3 Per Student Savings]]*CK120</f>
        <v>27058.9</v>
      </c>
      <c r="CM120" s="21">
        <f>IF(Table1[[#This Row],[Check 3 Status]]="Continued", Table1[[#This Row],[Check 3 Students Spring]], 0)</f>
        <v>180</v>
      </c>
      <c r="CN120" s="58">
        <f>Table1[[#This Row],[Check 3 Per Student Savings]]*CM120</f>
        <v>44278.200000000004</v>
      </c>
      <c r="CO120" s="21">
        <f t="shared" si="82"/>
        <v>290</v>
      </c>
      <c r="CP120" s="58">
        <f t="shared" si="83"/>
        <v>71337.100000000006</v>
      </c>
      <c r="CQ120" s="58" t="s">
        <v>130</v>
      </c>
      <c r="CR120" s="21">
        <v>0</v>
      </c>
      <c r="CS120" s="21">
        <v>110</v>
      </c>
      <c r="CT120" s="21">
        <v>180</v>
      </c>
      <c r="CU120" s="21">
        <f t="shared" si="84"/>
        <v>290</v>
      </c>
      <c r="CV120" s="58">
        <v>245.99</v>
      </c>
      <c r="CW120" s="58">
        <f t="shared" si="85"/>
        <v>71337.100000000006</v>
      </c>
      <c r="CX120" s="58"/>
      <c r="CY120" s="21">
        <f>IF(Table1[[#This Row],[Check 4 Status]]="Continued", Table1[[#This Row],[Check 4 Students Summer]], 0)</f>
        <v>0</v>
      </c>
      <c r="CZ120" s="58">
        <f>Table1[[#This Row],[Check 4 Per Student Savings]]*CY120</f>
        <v>0</v>
      </c>
      <c r="DA120" s="21">
        <f>IF(Table1[[#This Row],[Check 4 Status]]="Continued", Table1[[#This Row],[Check 4 Students Fall]], 0)</f>
        <v>110</v>
      </c>
      <c r="DB120" s="58">
        <f>Table1[[#This Row],[Check 4 Per Student Savings]]*DA120</f>
        <v>27058.9</v>
      </c>
      <c r="DC120" s="21">
        <f>IF(Table1[[#This Row],[Check 4 Status]]="Continued", Table1[[#This Row],[Check 4 Students Spring]], 0)</f>
        <v>180</v>
      </c>
      <c r="DD120" s="58">
        <f>Table1[[#This Row],[Check 4 Per Student Savings]]*DC120</f>
        <v>44278.200000000004</v>
      </c>
      <c r="DE120" s="58">
        <f t="shared" si="86"/>
        <v>290</v>
      </c>
      <c r="DF120" s="58">
        <f t="shared" si="87"/>
        <v>71337.100000000006</v>
      </c>
      <c r="DG12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1166.6666666666667</v>
      </c>
      <c r="DH12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293451.80000000005</v>
      </c>
      <c r="DI120" s="58">
        <f>Table1[[#This Row],[Grand Total Savings]]/Table1[[#This Row],[Total Award]]</f>
        <v>11.374100775193801</v>
      </c>
      <c r="DJ120" s="17"/>
      <c r="DK120" s="17"/>
      <c r="DL120" s="17"/>
      <c r="DM120" s="17"/>
      <c r="EC120" s="17"/>
      <c r="ED120" s="17"/>
      <c r="EE120" s="17"/>
      <c r="EF120" s="17"/>
    </row>
    <row r="121" spans="1:136" ht="15.75" thickBot="1" x14ac:dyDescent="0.3">
      <c r="A121" s="171">
        <v>237</v>
      </c>
      <c r="B121" s="17" t="s">
        <v>2011</v>
      </c>
      <c r="D121" s="97">
        <v>511493</v>
      </c>
      <c r="E121" s="158">
        <v>42663</v>
      </c>
      <c r="F121" s="165">
        <v>43109</v>
      </c>
      <c r="G121" s="159" t="s">
        <v>695</v>
      </c>
      <c r="H121" s="95" t="s">
        <v>8</v>
      </c>
      <c r="I121" s="226" t="s">
        <v>118</v>
      </c>
      <c r="J121" s="17" t="s">
        <v>225</v>
      </c>
      <c r="K121" s="107">
        <v>10800</v>
      </c>
      <c r="L121" s="107"/>
      <c r="M121" s="101" t="s">
        <v>710</v>
      </c>
      <c r="N121" s="101" t="s">
        <v>711</v>
      </c>
      <c r="O121" s="101" t="s">
        <v>712</v>
      </c>
      <c r="P121" s="101" t="s">
        <v>713</v>
      </c>
      <c r="Q121" s="101" t="s">
        <v>714</v>
      </c>
      <c r="R121" s="101" t="s">
        <v>715</v>
      </c>
      <c r="S121" s="160" t="s">
        <v>36</v>
      </c>
      <c r="T121" s="17" t="s">
        <v>129</v>
      </c>
      <c r="U121" s="101" t="s">
        <v>157</v>
      </c>
      <c r="V121" s="17" t="s">
        <v>150</v>
      </c>
      <c r="W121" s="17" t="s">
        <v>139</v>
      </c>
      <c r="X121" s="17" t="s">
        <v>139</v>
      </c>
      <c r="Y121" s="58">
        <v>18008.22</v>
      </c>
      <c r="Z121" s="17">
        <v>90</v>
      </c>
      <c r="AA121" s="58">
        <f t="shared" si="113"/>
        <v>200.09133333333335</v>
      </c>
      <c r="AB121" s="21">
        <f t="shared" si="125"/>
        <v>30</v>
      </c>
      <c r="AC121" s="21">
        <f t="shared" si="126"/>
        <v>30</v>
      </c>
      <c r="AD121" s="21">
        <f t="shared" si="127"/>
        <v>30</v>
      </c>
      <c r="AE121" s="17" t="s">
        <v>635</v>
      </c>
      <c r="AF121" s="17" t="s">
        <v>129</v>
      </c>
      <c r="AG121" s="17"/>
      <c r="AI121" s="17" t="s">
        <v>130</v>
      </c>
      <c r="AJ121" s="21">
        <v>0</v>
      </c>
      <c r="AK121" s="58">
        <v>0</v>
      </c>
      <c r="AL121" s="21">
        <v>0</v>
      </c>
      <c r="AM121" s="58">
        <f t="shared" si="114"/>
        <v>0</v>
      </c>
      <c r="AN121" s="21">
        <v>0</v>
      </c>
      <c r="AO121" s="58">
        <f t="shared" si="115"/>
        <v>0</v>
      </c>
      <c r="AP121" s="21">
        <v>0</v>
      </c>
      <c r="AQ121" s="58">
        <f t="shared" si="116"/>
        <v>0</v>
      </c>
      <c r="AR121" s="21">
        <v>0</v>
      </c>
      <c r="AS121" s="58">
        <f t="shared" si="117"/>
        <v>0</v>
      </c>
      <c r="AT121" s="21">
        <v>0</v>
      </c>
      <c r="AU121" s="58">
        <f t="shared" si="118"/>
        <v>0</v>
      </c>
      <c r="AV121" s="21">
        <v>0</v>
      </c>
      <c r="AW121" s="58">
        <v>0</v>
      </c>
      <c r="AX121" s="31">
        <v>0</v>
      </c>
      <c r="AY121" s="58">
        <v>0</v>
      </c>
      <c r="AZ121" s="31">
        <f>Table1[[#This Row],[Students Per Spring]]</f>
        <v>30</v>
      </c>
      <c r="BA121" s="58">
        <f>$AA121*AZ121</f>
        <v>6002.7400000000007</v>
      </c>
      <c r="BB121" s="31">
        <f t="shared" ref="BB121:BC123" si="128">AV121+AX121+AZ121</f>
        <v>30</v>
      </c>
      <c r="BC121" s="58">
        <f t="shared" si="128"/>
        <v>6002.7400000000007</v>
      </c>
      <c r="BD121" s="31">
        <f>IF(Table1[[#This Row],[Sustainability Check 1 (2017-2018) Status]]="Continued", Table1[[#This Row],[Students Per Summer]], 0)</f>
        <v>30</v>
      </c>
      <c r="BE121" s="58">
        <f>$AA121*BD121</f>
        <v>6002.7400000000007</v>
      </c>
      <c r="BF121" s="31">
        <f>IF(Table1[[#This Row],[Sustainability Check 1 (2017-2018) Status]]="Continued", Table1[[#This Row],[Students Per Fall]], 0)</f>
        <v>30</v>
      </c>
      <c r="BG121" s="58">
        <f t="shared" si="120"/>
        <v>6002.7400000000007</v>
      </c>
      <c r="BH121" s="31">
        <f>IF(Table1[[#This Row],[Sustainability Check 1 (2017-2018) Status]]="Continued", Table1[[#This Row],[Students Per Spring]], 0)</f>
        <v>30</v>
      </c>
      <c r="BI121" s="58">
        <f t="shared" si="121"/>
        <v>6002.7400000000007</v>
      </c>
      <c r="BJ121" s="31">
        <f t="shared" si="122"/>
        <v>90</v>
      </c>
      <c r="BK121" s="58">
        <f t="shared" si="123"/>
        <v>18008.22</v>
      </c>
      <c r="BL121" s="58" t="s">
        <v>130</v>
      </c>
      <c r="BM121" s="31">
        <v>30</v>
      </c>
      <c r="BN121" s="31">
        <v>60</v>
      </c>
      <c r="BO121" s="31">
        <v>60</v>
      </c>
      <c r="BP121" s="31">
        <f t="shared" si="124"/>
        <v>150</v>
      </c>
      <c r="BQ121" s="96">
        <v>124.55</v>
      </c>
      <c r="BR121" s="58">
        <f>Table1[[#This Row],[Check 2 Students Total]]*Table1[[#This Row],[Summer 2018 Price Check]]</f>
        <v>18682.5</v>
      </c>
      <c r="BS121" s="31">
        <f>IF(Table1[[#This Row],[Sustainability Check 2 (2018-2019) Status]]="Continued", Table1[[#This Row],[Check 2 Students Summer]], 0)</f>
        <v>30</v>
      </c>
      <c r="BT121" s="58">
        <f>Table1[[#This Row],[Summer 2018 Price Check]]*BS121</f>
        <v>3736.5</v>
      </c>
      <c r="BU121" s="31">
        <f>IF(Table1[[#This Row],[Sustainability Check 2 (2018-2019) Status]]="Continued", Table1[[#This Row],[Check 2 Students Fall]], 0)</f>
        <v>60</v>
      </c>
      <c r="BV121" s="58">
        <f>Table1[[#This Row],[Summer 2018 Price Check]]*BU121</f>
        <v>7473</v>
      </c>
      <c r="BW121" s="21">
        <f>IF(Table1[[#This Row],[Sustainability Check 2 (2018-2019) Status]]="Continued", Table1[Check 2 Students Spring], 0)</f>
        <v>60</v>
      </c>
      <c r="BX121" s="58">
        <f>Table1[[#This Row],[Summer 2018 Price Check]]*Table1[[#This Row],[Spring 2019 Students]]</f>
        <v>7473</v>
      </c>
      <c r="BY121" s="31">
        <f t="shared" si="79"/>
        <v>150</v>
      </c>
      <c r="BZ121" s="58">
        <f t="shared" si="80"/>
        <v>18682.5</v>
      </c>
      <c r="CA121" s="58" t="s">
        <v>142</v>
      </c>
      <c r="CB121" s="21">
        <v>0</v>
      </c>
      <c r="CC121" s="21">
        <v>0</v>
      </c>
      <c r="CD121" s="21">
        <v>0</v>
      </c>
      <c r="CE121" s="21">
        <f t="shared" si="110"/>
        <v>0</v>
      </c>
      <c r="CF121" s="58">
        <v>0</v>
      </c>
      <c r="CG121" s="58">
        <f t="shared" si="81"/>
        <v>0</v>
      </c>
      <c r="CH121" s="17" t="s">
        <v>635</v>
      </c>
      <c r="CI121" s="21">
        <f>IF(Table1[[#This Row],[Check 3 Status]]="Continued", Table1[[#This Row],[Check 3 Students Summer]], 0)</f>
        <v>0</v>
      </c>
      <c r="CJ121" s="58">
        <f>Table1[[#This Row],[Check 3 Per Student Savings]]*CI121</f>
        <v>0</v>
      </c>
      <c r="CK121" s="21">
        <f>IF(Table1[[#This Row],[Check 3 Status]]="Continued", Table1[[#This Row],[Check 3 Students Fall]], 0)</f>
        <v>0</v>
      </c>
      <c r="CL121" s="58">
        <f>Table1[[#This Row],[Check 3 Per Student Savings]]*CK121</f>
        <v>0</v>
      </c>
      <c r="CM121" s="21">
        <f>IF(Table1[[#This Row],[Check 3 Status]]="Continued", Table1[[#This Row],[Check 3 Students Spring]], 0)</f>
        <v>0</v>
      </c>
      <c r="CN121" s="58">
        <f>Table1[[#This Row],[Check 3 Per Student Savings]]*CM121</f>
        <v>0</v>
      </c>
      <c r="CO121" s="21">
        <f t="shared" si="82"/>
        <v>0</v>
      </c>
      <c r="CP121" s="58">
        <f t="shared" si="83"/>
        <v>0</v>
      </c>
      <c r="CQ121" s="58" t="s">
        <v>142</v>
      </c>
      <c r="CR121" s="21">
        <v>0</v>
      </c>
      <c r="CS121" s="21">
        <v>0</v>
      </c>
      <c r="CT121" s="21">
        <v>0</v>
      </c>
      <c r="CU121" s="21">
        <f t="shared" si="84"/>
        <v>0</v>
      </c>
      <c r="CV121" s="58">
        <v>0</v>
      </c>
      <c r="CW121" s="58">
        <f t="shared" si="85"/>
        <v>0</v>
      </c>
      <c r="CX121" s="58"/>
      <c r="CY121" s="21">
        <f>IF(Table1[[#This Row],[Check 4 Status]]="Continued", Table1[[#This Row],[Check 4 Students Summer]], 0)</f>
        <v>0</v>
      </c>
      <c r="CZ121" s="58">
        <f>Table1[[#This Row],[Check 4 Per Student Savings]]*CY121</f>
        <v>0</v>
      </c>
      <c r="DA121" s="21">
        <f>IF(Table1[[#This Row],[Check 4 Status]]="Continued", Table1[[#This Row],[Check 4 Students Fall]], 0)</f>
        <v>0</v>
      </c>
      <c r="DB121" s="58">
        <f>Table1[[#This Row],[Check 4 Per Student Savings]]*DA121</f>
        <v>0</v>
      </c>
      <c r="DC121" s="21">
        <f>IF(Table1[[#This Row],[Check 4 Status]]="Continued", Table1[[#This Row],[Check 4 Students Spring]], 0)</f>
        <v>0</v>
      </c>
      <c r="DD121" s="58">
        <f>Table1[[#This Row],[Check 4 Per Student Savings]]*DC121</f>
        <v>0</v>
      </c>
      <c r="DE121" s="58">
        <f t="shared" si="86"/>
        <v>0</v>
      </c>
      <c r="DF121" s="58">
        <f t="shared" si="87"/>
        <v>0</v>
      </c>
      <c r="DG12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270</v>
      </c>
      <c r="DH12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42693.460000000006</v>
      </c>
      <c r="DI121" s="58">
        <f>Table1[[#This Row],[Grand Total Savings]]/Table1[[#This Row],[Total Award]]</f>
        <v>3.9530981481481486</v>
      </c>
      <c r="DJ121" s="17"/>
      <c r="DK121" s="17"/>
      <c r="DL121" s="17"/>
      <c r="DM121" s="17"/>
      <c r="EC121" s="17"/>
      <c r="ED121" s="17"/>
      <c r="EE121" s="17"/>
      <c r="EF121" s="17"/>
    </row>
    <row r="122" spans="1:136" ht="15.75" thickBot="1" x14ac:dyDescent="0.3">
      <c r="A122" s="171">
        <v>238</v>
      </c>
      <c r="B122" s="17" t="s">
        <v>2011</v>
      </c>
      <c r="D122" s="97">
        <v>511711</v>
      </c>
      <c r="E122" s="158">
        <v>42713</v>
      </c>
      <c r="F122" s="165">
        <v>43109</v>
      </c>
      <c r="G122" s="159" t="s">
        <v>695</v>
      </c>
      <c r="H122" s="95" t="s">
        <v>8</v>
      </c>
      <c r="I122" s="226" t="s">
        <v>118</v>
      </c>
      <c r="J122" s="17" t="s">
        <v>166</v>
      </c>
      <c r="K122" s="107">
        <v>15400</v>
      </c>
      <c r="L122" s="107"/>
      <c r="M122" s="101" t="s">
        <v>716</v>
      </c>
      <c r="N122" s="101" t="s">
        <v>717</v>
      </c>
      <c r="O122" s="101" t="s">
        <v>718</v>
      </c>
      <c r="P122" s="101" t="s">
        <v>719</v>
      </c>
      <c r="Q122" s="101" t="s">
        <v>148</v>
      </c>
      <c r="R122" s="101" t="s">
        <v>215</v>
      </c>
      <c r="S122" s="160" t="s">
        <v>36</v>
      </c>
      <c r="T122" s="17" t="s">
        <v>129</v>
      </c>
      <c r="U122" s="160" t="s">
        <v>216</v>
      </c>
      <c r="V122" s="17" t="s">
        <v>150</v>
      </c>
      <c r="W122" s="17" t="s">
        <v>127</v>
      </c>
      <c r="X122" s="17" t="s">
        <v>127</v>
      </c>
      <c r="Y122" s="58">
        <v>99086</v>
      </c>
      <c r="Z122" s="17">
        <v>481</v>
      </c>
      <c r="AA122" s="58">
        <f t="shared" si="113"/>
        <v>206</v>
      </c>
      <c r="AB122" s="21">
        <f t="shared" si="125"/>
        <v>160.33333333333334</v>
      </c>
      <c r="AC122" s="21">
        <f t="shared" si="126"/>
        <v>160.33333333333334</v>
      </c>
      <c r="AD122" s="21">
        <f t="shared" si="127"/>
        <v>160.33333333333334</v>
      </c>
      <c r="AE122" s="17" t="s">
        <v>635</v>
      </c>
      <c r="AF122" s="17" t="s">
        <v>129</v>
      </c>
      <c r="AG122" s="17"/>
      <c r="AI122" s="17" t="s">
        <v>130</v>
      </c>
      <c r="AJ122" s="21">
        <v>0</v>
      </c>
      <c r="AK122" s="58">
        <v>0</v>
      </c>
      <c r="AL122" s="21">
        <v>0</v>
      </c>
      <c r="AM122" s="58">
        <f t="shared" si="114"/>
        <v>0</v>
      </c>
      <c r="AN122" s="21">
        <v>0</v>
      </c>
      <c r="AO122" s="58">
        <f t="shared" si="115"/>
        <v>0</v>
      </c>
      <c r="AP122" s="21">
        <v>0</v>
      </c>
      <c r="AQ122" s="58">
        <f t="shared" si="116"/>
        <v>0</v>
      </c>
      <c r="AR122" s="21">
        <v>0</v>
      </c>
      <c r="AS122" s="58">
        <f t="shared" si="117"/>
        <v>0</v>
      </c>
      <c r="AT122" s="21">
        <v>0</v>
      </c>
      <c r="AU122" s="58">
        <f t="shared" si="118"/>
        <v>0</v>
      </c>
      <c r="AV122" s="21">
        <v>0</v>
      </c>
      <c r="AW122" s="58">
        <v>0</v>
      </c>
      <c r="AX122" s="31">
        <v>0</v>
      </c>
      <c r="AY122" s="58">
        <v>0</v>
      </c>
      <c r="AZ122" s="31">
        <f>Table1[[#This Row],[Students Per Spring]]</f>
        <v>160.33333333333334</v>
      </c>
      <c r="BA122" s="58">
        <f>$AA122*AZ122</f>
        <v>33028.666666666672</v>
      </c>
      <c r="BB122" s="31">
        <f t="shared" si="128"/>
        <v>160.33333333333334</v>
      </c>
      <c r="BC122" s="58">
        <f t="shared" si="128"/>
        <v>33028.666666666672</v>
      </c>
      <c r="BD122" s="31">
        <f>IF(Table1[[#This Row],[Sustainability Check 1 (2017-2018) Status]]="Continued", Table1[[#This Row],[Students Per Summer]], 0)</f>
        <v>160.33333333333334</v>
      </c>
      <c r="BE122" s="58">
        <f>$AA122*BD122</f>
        <v>33028.666666666672</v>
      </c>
      <c r="BF122" s="31">
        <f>IF(Table1[[#This Row],[Sustainability Check 1 (2017-2018) Status]]="Continued", Table1[[#This Row],[Students Per Fall]], 0)</f>
        <v>160.33333333333334</v>
      </c>
      <c r="BG122" s="58">
        <f t="shared" si="120"/>
        <v>33028.666666666672</v>
      </c>
      <c r="BH122" s="31">
        <f>IF(Table1[[#This Row],[Sustainability Check 1 (2017-2018) Status]]="Continued", Table1[[#This Row],[Students Per Spring]], 0)</f>
        <v>160.33333333333334</v>
      </c>
      <c r="BI122" s="58">
        <f t="shared" si="121"/>
        <v>33028.666666666672</v>
      </c>
      <c r="BJ122" s="31">
        <f t="shared" si="122"/>
        <v>481</v>
      </c>
      <c r="BK122" s="58">
        <f t="shared" si="123"/>
        <v>99086.000000000015</v>
      </c>
      <c r="BL122" s="58" t="s">
        <v>130</v>
      </c>
      <c r="BM122" s="31">
        <v>60</v>
      </c>
      <c r="BN122" s="31">
        <v>250</v>
      </c>
      <c r="BO122" s="31">
        <v>250</v>
      </c>
      <c r="BP122" s="31">
        <f t="shared" si="124"/>
        <v>560</v>
      </c>
      <c r="BQ122" s="96">
        <v>299.95</v>
      </c>
      <c r="BR122" s="58">
        <f>Table1[[#This Row],[Check 2 Students Total]]*Table1[[#This Row],[Summer 2018 Price Check]]</f>
        <v>167972</v>
      </c>
      <c r="BS122" s="31">
        <f>IF(Table1[[#This Row],[Sustainability Check 2 (2018-2019) Status]]="Continued", Table1[[#This Row],[Check 2 Students Summer]], 0)</f>
        <v>60</v>
      </c>
      <c r="BT122" s="58">
        <f>Table1[[#This Row],[Summer 2018 Price Check]]*BS122</f>
        <v>17997</v>
      </c>
      <c r="BU122" s="31">
        <f>IF(Table1[[#This Row],[Sustainability Check 2 (2018-2019) Status]]="Continued", Table1[[#This Row],[Check 2 Students Fall]], 0)</f>
        <v>250</v>
      </c>
      <c r="BV122" s="58">
        <f>Table1[[#This Row],[Summer 2018 Price Check]]*BU122</f>
        <v>74987.5</v>
      </c>
      <c r="BW122" s="21">
        <f>IF(Table1[[#This Row],[Sustainability Check 2 (2018-2019) Status]]="Continued", Table1[Check 2 Students Spring], 0)</f>
        <v>250</v>
      </c>
      <c r="BX122" s="58">
        <f>Table1[[#This Row],[Summer 2018 Price Check]]*Table1[[#This Row],[Spring 2019 Students]]</f>
        <v>74987.5</v>
      </c>
      <c r="BY122" s="31">
        <f t="shared" si="79"/>
        <v>560</v>
      </c>
      <c r="BZ122" s="58">
        <f t="shared" si="80"/>
        <v>167972</v>
      </c>
      <c r="CA122" s="58" t="s">
        <v>130</v>
      </c>
      <c r="CB122" s="21">
        <v>60</v>
      </c>
      <c r="CC122" s="21">
        <v>332</v>
      </c>
      <c r="CD122" s="21">
        <v>225</v>
      </c>
      <c r="CE122" s="21">
        <f t="shared" si="110"/>
        <v>617</v>
      </c>
      <c r="CF122" s="58">
        <v>240</v>
      </c>
      <c r="CG122" s="58">
        <f t="shared" si="81"/>
        <v>148080</v>
      </c>
      <c r="CH122" s="17" t="s">
        <v>635</v>
      </c>
      <c r="CI122" s="21">
        <f>IF(Table1[[#This Row],[Check 3 Status]]="Continued", Table1[[#This Row],[Check 3 Students Summer]], 0)</f>
        <v>60</v>
      </c>
      <c r="CJ122" s="58">
        <f>Table1[[#This Row],[Check 3 Per Student Savings]]*CI122</f>
        <v>14400</v>
      </c>
      <c r="CK122" s="21">
        <f>IF(Table1[[#This Row],[Check 3 Status]]="Continued", Table1[[#This Row],[Check 3 Students Fall]], 0)</f>
        <v>332</v>
      </c>
      <c r="CL122" s="58">
        <f>Table1[[#This Row],[Check 3 Per Student Savings]]*CK122</f>
        <v>79680</v>
      </c>
      <c r="CM122" s="21">
        <f>IF(Table1[[#This Row],[Check 3 Status]]="Continued", Table1[[#This Row],[Check 3 Students Spring]], 0)</f>
        <v>225</v>
      </c>
      <c r="CN122" s="58">
        <f>Table1[[#This Row],[Check 3 Per Student Savings]]*CM122</f>
        <v>54000</v>
      </c>
      <c r="CO122" s="21">
        <f t="shared" si="82"/>
        <v>617</v>
      </c>
      <c r="CP122" s="58">
        <f t="shared" si="83"/>
        <v>148080</v>
      </c>
      <c r="CQ122" s="58" t="s">
        <v>130</v>
      </c>
      <c r="CR122" s="21">
        <v>60</v>
      </c>
      <c r="CS122" s="21">
        <v>332</v>
      </c>
      <c r="CT122" s="21">
        <v>225</v>
      </c>
      <c r="CU122" s="21">
        <f t="shared" si="84"/>
        <v>617</v>
      </c>
      <c r="CV122" s="58">
        <v>240</v>
      </c>
      <c r="CW122" s="58">
        <f t="shared" si="85"/>
        <v>148080</v>
      </c>
      <c r="CX122" s="58"/>
      <c r="CY122" s="21">
        <f>IF(Table1[[#This Row],[Check 4 Status]]="Continued", Table1[[#This Row],[Check 4 Students Summer]], 0)</f>
        <v>60</v>
      </c>
      <c r="CZ122" s="58">
        <f>Table1[[#This Row],[Check 4 Per Student Savings]]*CY122</f>
        <v>14400</v>
      </c>
      <c r="DA122" s="21">
        <f>IF(Table1[[#This Row],[Check 4 Status]]="Continued", Table1[[#This Row],[Check 4 Students Fall]], 0)</f>
        <v>332</v>
      </c>
      <c r="DB122" s="58">
        <f>Table1[[#This Row],[Check 4 Per Student Savings]]*DA122</f>
        <v>79680</v>
      </c>
      <c r="DC122" s="21">
        <f>IF(Table1[[#This Row],[Check 4 Status]]="Continued", Table1[[#This Row],[Check 4 Students Spring]], 0)</f>
        <v>225</v>
      </c>
      <c r="DD122" s="58">
        <f>Table1[[#This Row],[Check 4 Per Student Savings]]*DC122</f>
        <v>54000</v>
      </c>
      <c r="DE122" s="58">
        <f t="shared" si="86"/>
        <v>617</v>
      </c>
      <c r="DF122" s="58">
        <f t="shared" si="87"/>
        <v>148080</v>
      </c>
      <c r="DG12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2435.3333333333335</v>
      </c>
      <c r="DH12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596246.66666666674</v>
      </c>
      <c r="DI122" s="58">
        <f>Table1[[#This Row],[Grand Total Savings]]/Table1[[#This Row],[Total Award]]</f>
        <v>38.717316017316023</v>
      </c>
      <c r="DJ122" s="17"/>
      <c r="DK122" s="17"/>
      <c r="DL122" s="17"/>
      <c r="DM122" s="17"/>
      <c r="EC122" s="17"/>
      <c r="ED122" s="17"/>
      <c r="EE122" s="17"/>
      <c r="EF122" s="17"/>
    </row>
    <row r="123" spans="1:136" ht="15.75" thickBot="1" x14ac:dyDescent="0.3">
      <c r="A123" s="171">
        <v>240</v>
      </c>
      <c r="B123" s="17" t="s">
        <v>2011</v>
      </c>
      <c r="D123" s="97">
        <v>511506</v>
      </c>
      <c r="E123" s="17" t="s">
        <v>720</v>
      </c>
      <c r="F123" s="165">
        <v>43109</v>
      </c>
      <c r="G123" s="159" t="s">
        <v>695</v>
      </c>
      <c r="H123" s="95" t="s">
        <v>8</v>
      </c>
      <c r="I123" s="226" t="s">
        <v>118</v>
      </c>
      <c r="J123" s="17" t="s">
        <v>499</v>
      </c>
      <c r="K123" s="107">
        <v>20800</v>
      </c>
      <c r="L123" s="107"/>
      <c r="M123" s="101" t="s">
        <v>721</v>
      </c>
      <c r="N123" s="101" t="s">
        <v>722</v>
      </c>
      <c r="O123" s="101" t="s">
        <v>122</v>
      </c>
      <c r="P123" s="101" t="s">
        <v>123</v>
      </c>
      <c r="Q123" s="101" t="s">
        <v>124</v>
      </c>
      <c r="R123" s="101" t="s">
        <v>122</v>
      </c>
      <c r="S123" s="101" t="s">
        <v>129</v>
      </c>
      <c r="T123" s="17" t="s">
        <v>125</v>
      </c>
      <c r="U123" s="160" t="s">
        <v>126</v>
      </c>
      <c r="V123" s="17" t="s">
        <v>127</v>
      </c>
      <c r="W123" s="17" t="s">
        <v>127</v>
      </c>
      <c r="X123" s="17" t="s">
        <v>127</v>
      </c>
      <c r="Y123" s="58">
        <v>132809.60000000001</v>
      </c>
      <c r="Z123" s="17">
        <v>616</v>
      </c>
      <c r="AA123" s="58">
        <f t="shared" si="113"/>
        <v>215.60000000000002</v>
      </c>
      <c r="AB123" s="21">
        <f t="shared" si="125"/>
        <v>205.33333333333334</v>
      </c>
      <c r="AC123" s="21">
        <f t="shared" si="126"/>
        <v>205.33333333333334</v>
      </c>
      <c r="AD123" s="21">
        <f t="shared" si="127"/>
        <v>205.33333333333334</v>
      </c>
      <c r="AE123" s="17" t="s">
        <v>635</v>
      </c>
      <c r="AF123" s="17" t="s">
        <v>129</v>
      </c>
      <c r="AG123" s="17"/>
      <c r="AI123" s="17" t="s">
        <v>130</v>
      </c>
      <c r="AJ123" s="21">
        <v>0</v>
      </c>
      <c r="AK123" s="58">
        <v>0</v>
      </c>
      <c r="AL123" s="21">
        <v>0</v>
      </c>
      <c r="AM123" s="58">
        <f t="shared" si="114"/>
        <v>0</v>
      </c>
      <c r="AN123" s="21">
        <v>0</v>
      </c>
      <c r="AO123" s="58">
        <f t="shared" si="115"/>
        <v>0</v>
      </c>
      <c r="AP123" s="21">
        <v>0</v>
      </c>
      <c r="AQ123" s="58">
        <f t="shared" si="116"/>
        <v>0</v>
      </c>
      <c r="AR123" s="21">
        <v>0</v>
      </c>
      <c r="AS123" s="58">
        <f t="shared" si="117"/>
        <v>0</v>
      </c>
      <c r="AT123" s="21">
        <v>0</v>
      </c>
      <c r="AU123" s="58">
        <f t="shared" si="118"/>
        <v>0</v>
      </c>
      <c r="AV123" s="21">
        <v>0</v>
      </c>
      <c r="AW123" s="58">
        <v>0</v>
      </c>
      <c r="AX123" s="31">
        <v>0</v>
      </c>
      <c r="AY123" s="58">
        <v>0</v>
      </c>
      <c r="AZ123" s="31">
        <f>Table1[[#This Row],[Students Per Spring]]</f>
        <v>205.33333333333334</v>
      </c>
      <c r="BA123" s="58">
        <f>$AA123*AZ123</f>
        <v>44269.866666666676</v>
      </c>
      <c r="BB123" s="31">
        <f t="shared" si="128"/>
        <v>205.33333333333334</v>
      </c>
      <c r="BC123" s="58">
        <f t="shared" si="128"/>
        <v>44269.866666666676</v>
      </c>
      <c r="BD123" s="31">
        <f>IF(Table1[[#This Row],[Sustainability Check 1 (2017-2018) Status]]="Continued", Table1[[#This Row],[Students Per Summer]], 0)</f>
        <v>205.33333333333334</v>
      </c>
      <c r="BE123" s="58">
        <f>$AA123*BD123</f>
        <v>44269.866666666676</v>
      </c>
      <c r="BF123" s="31">
        <f>IF(Table1[[#This Row],[Sustainability Check 1 (2017-2018) Status]]="Continued", Table1[[#This Row],[Students Per Fall]], 0)</f>
        <v>205.33333333333334</v>
      </c>
      <c r="BG123" s="58">
        <f t="shared" si="120"/>
        <v>44269.866666666676</v>
      </c>
      <c r="BH123" s="31">
        <f>IF(Table1[[#This Row],[Sustainability Check 1 (2017-2018) Status]]="Continued", Table1[[#This Row],[Students Per Spring]], 0)</f>
        <v>205.33333333333334</v>
      </c>
      <c r="BI123" s="58">
        <f t="shared" si="121"/>
        <v>44269.866666666676</v>
      </c>
      <c r="BJ123" s="31">
        <f t="shared" si="122"/>
        <v>616</v>
      </c>
      <c r="BK123" s="58">
        <f t="shared" si="123"/>
        <v>132809.60000000003</v>
      </c>
      <c r="BL123" s="58" t="s">
        <v>130</v>
      </c>
      <c r="BM123" s="31">
        <v>205</v>
      </c>
      <c r="BN123" s="31">
        <v>205</v>
      </c>
      <c r="BO123" s="31">
        <v>205</v>
      </c>
      <c r="BP123" s="31">
        <f t="shared" si="124"/>
        <v>615</v>
      </c>
      <c r="BQ123" s="58">
        <v>164.67</v>
      </c>
      <c r="BR123" s="58">
        <f>Table1[[#This Row],[Check 2 Students Total]]*Table1[[#This Row],[Summer 2018 Price Check]]</f>
        <v>101272.04999999999</v>
      </c>
      <c r="BS123" s="31">
        <f>IF(Table1[[#This Row],[Sustainability Check 2 (2018-2019) Status]]="Continued", Table1[[#This Row],[Check 2 Students Summer]], 0)</f>
        <v>205</v>
      </c>
      <c r="BT123" s="58">
        <f>Table1[[#This Row],[Summer 2018 Price Check]]*BS123</f>
        <v>33757.35</v>
      </c>
      <c r="BU123" s="31">
        <f>IF(Table1[[#This Row],[Sustainability Check 2 (2018-2019) Status]]="Continued", Table1[[#This Row],[Check 2 Students Fall]], 0)</f>
        <v>205</v>
      </c>
      <c r="BV123" s="58">
        <f>Table1[[#This Row],[Summer 2018 Price Check]]*BU123</f>
        <v>33757.35</v>
      </c>
      <c r="BW123" s="21">
        <f>IF(Table1[[#This Row],[Sustainability Check 2 (2018-2019) Status]]="Continued", Table1[Check 2 Students Spring], 0)</f>
        <v>205</v>
      </c>
      <c r="BX123" s="58">
        <f>Table1[[#This Row],[Summer 2018 Price Check]]*Table1[[#This Row],[Spring 2019 Students]]</f>
        <v>33757.35</v>
      </c>
      <c r="BY123" s="31">
        <f t="shared" si="79"/>
        <v>615</v>
      </c>
      <c r="BZ123" s="58">
        <f t="shared" si="80"/>
        <v>101272.04999999999</v>
      </c>
      <c r="CA123" s="58" t="s">
        <v>130</v>
      </c>
      <c r="CB123" s="21">
        <v>186</v>
      </c>
      <c r="CC123" s="21">
        <v>1257</v>
      </c>
      <c r="CD123" s="21">
        <v>700</v>
      </c>
      <c r="CE123" s="21">
        <f t="shared" si="110"/>
        <v>2143</v>
      </c>
      <c r="CF123" s="58">
        <v>149.71</v>
      </c>
      <c r="CG123" s="58">
        <f t="shared" si="81"/>
        <v>320828.53000000003</v>
      </c>
      <c r="CH123" s="17" t="s">
        <v>635</v>
      </c>
      <c r="CI123" s="21">
        <f>IF(Table1[[#This Row],[Check 3 Status]]="Continued", Table1[[#This Row],[Check 3 Students Summer]], 0)</f>
        <v>186</v>
      </c>
      <c r="CJ123" s="58">
        <f>Table1[[#This Row],[Check 3 Per Student Savings]]*CI123</f>
        <v>27846.06</v>
      </c>
      <c r="CK123" s="21">
        <f>IF(Table1[[#This Row],[Check 3 Status]]="Continued", Table1[[#This Row],[Check 3 Students Fall]], 0)</f>
        <v>1257</v>
      </c>
      <c r="CL123" s="58">
        <f>Table1[[#This Row],[Check 3 Per Student Savings]]*CK123</f>
        <v>188185.47</v>
      </c>
      <c r="CM123" s="21">
        <f>IF(Table1[[#This Row],[Check 3 Status]]="Continued", Table1[[#This Row],[Check 3 Students Spring]], 0)</f>
        <v>700</v>
      </c>
      <c r="CN123" s="58">
        <f>Table1[[#This Row],[Check 3 Per Student Savings]]*CM123</f>
        <v>104797</v>
      </c>
      <c r="CO123" s="21">
        <f t="shared" si="82"/>
        <v>2143</v>
      </c>
      <c r="CP123" s="58">
        <f t="shared" si="83"/>
        <v>320828.53000000003</v>
      </c>
      <c r="CQ123" s="58" t="s">
        <v>130</v>
      </c>
      <c r="CR123" s="21">
        <v>186</v>
      </c>
      <c r="CS123" s="21">
        <v>1257</v>
      </c>
      <c r="CT123" s="21">
        <v>700</v>
      </c>
      <c r="CU123" s="21">
        <f t="shared" si="84"/>
        <v>2143</v>
      </c>
      <c r="CV123" s="58">
        <v>149.71</v>
      </c>
      <c r="CW123" s="58">
        <f t="shared" si="85"/>
        <v>320828.53000000003</v>
      </c>
      <c r="CX123" s="58"/>
      <c r="CY123" s="21">
        <f>IF(Table1[[#This Row],[Check 4 Status]]="Continued", Table1[[#This Row],[Check 4 Students Summer]], 0)</f>
        <v>186</v>
      </c>
      <c r="CZ123" s="58">
        <f>Table1[[#This Row],[Check 4 Per Student Savings]]*CY123</f>
        <v>27846.06</v>
      </c>
      <c r="DA123" s="21">
        <f>IF(Table1[[#This Row],[Check 4 Status]]="Continued", Table1[[#This Row],[Check 4 Students Fall]], 0)</f>
        <v>1257</v>
      </c>
      <c r="DB123" s="58">
        <f>Table1[[#This Row],[Check 4 Per Student Savings]]*DA123</f>
        <v>188185.47</v>
      </c>
      <c r="DC123" s="21">
        <f>IF(Table1[[#This Row],[Check 4 Status]]="Continued", Table1[[#This Row],[Check 4 Students Spring]], 0)</f>
        <v>700</v>
      </c>
      <c r="DD123" s="58">
        <f>Table1[[#This Row],[Check 4 Per Student Savings]]*DC123</f>
        <v>104797</v>
      </c>
      <c r="DE123" s="58">
        <f t="shared" si="86"/>
        <v>2143</v>
      </c>
      <c r="DF123" s="58">
        <f t="shared" si="87"/>
        <v>320828.53000000003</v>
      </c>
      <c r="DG12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5722.3333333333339</v>
      </c>
      <c r="DH12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920008.57666666678</v>
      </c>
      <c r="DI123" s="58">
        <f>Table1[[#This Row],[Grand Total Savings]]/Table1[[#This Row],[Total Award]]</f>
        <v>44.231181570512824</v>
      </c>
      <c r="DJ123" s="17"/>
      <c r="DK123" s="17"/>
      <c r="DL123" s="17"/>
      <c r="DM123" s="17"/>
      <c r="EC123" s="17"/>
      <c r="ED123" s="17"/>
      <c r="EE123" s="17"/>
      <c r="EF123" s="17"/>
    </row>
    <row r="124" spans="1:136" ht="15.75" thickBot="1" x14ac:dyDescent="0.3">
      <c r="A124" s="171">
        <v>241</v>
      </c>
      <c r="B124" s="17" t="s">
        <v>2011</v>
      </c>
      <c r="D124" s="97">
        <v>511656</v>
      </c>
      <c r="E124" s="158">
        <v>42663</v>
      </c>
      <c r="F124" s="165">
        <v>43109</v>
      </c>
      <c r="G124" s="159" t="s">
        <v>695</v>
      </c>
      <c r="H124" s="95" t="s">
        <v>8</v>
      </c>
      <c r="I124" s="226" t="s">
        <v>118</v>
      </c>
      <c r="J124" s="17" t="s">
        <v>257</v>
      </c>
      <c r="K124" s="107">
        <v>10800</v>
      </c>
      <c r="L124" s="107"/>
      <c r="M124" s="101" t="s">
        <v>258</v>
      </c>
      <c r="N124" s="101" t="s">
        <v>259</v>
      </c>
      <c r="O124" s="101" t="s">
        <v>723</v>
      </c>
      <c r="P124" s="101" t="s">
        <v>724</v>
      </c>
      <c r="Q124" s="101" t="s">
        <v>192</v>
      </c>
      <c r="R124" s="101" t="s">
        <v>129</v>
      </c>
      <c r="S124" s="160" t="s">
        <v>36</v>
      </c>
      <c r="T124" s="17" t="s">
        <v>125</v>
      </c>
      <c r="U124" s="160" t="s">
        <v>725</v>
      </c>
      <c r="V124" s="17" t="s">
        <v>150</v>
      </c>
      <c r="W124" s="17" t="s">
        <v>150</v>
      </c>
      <c r="X124" s="17" t="s">
        <v>150</v>
      </c>
      <c r="Y124" s="58">
        <v>22161</v>
      </c>
      <c r="Z124" s="17">
        <v>72</v>
      </c>
      <c r="AA124" s="58">
        <f t="shared" si="113"/>
        <v>307.79166666666669</v>
      </c>
      <c r="AB124" s="21">
        <f t="shared" si="125"/>
        <v>24</v>
      </c>
      <c r="AC124" s="21">
        <f t="shared" si="126"/>
        <v>24</v>
      </c>
      <c r="AD124" s="21">
        <f t="shared" si="127"/>
        <v>24</v>
      </c>
      <c r="AE124" s="17" t="s">
        <v>588</v>
      </c>
      <c r="AF124" s="17" t="s">
        <v>129</v>
      </c>
      <c r="AG124" s="17"/>
      <c r="AI124" s="161" t="s">
        <v>130</v>
      </c>
      <c r="AJ124" s="21">
        <v>0</v>
      </c>
      <c r="AK124" s="58">
        <v>0</v>
      </c>
      <c r="AL124" s="21">
        <v>0</v>
      </c>
      <c r="AM124" s="58">
        <f t="shared" si="114"/>
        <v>0</v>
      </c>
      <c r="AN124" s="21">
        <v>0</v>
      </c>
      <c r="AO124" s="58">
        <f t="shared" si="115"/>
        <v>0</v>
      </c>
      <c r="AP124" s="21">
        <v>0</v>
      </c>
      <c r="AQ124" s="58">
        <f t="shared" si="116"/>
        <v>0</v>
      </c>
      <c r="AR124" s="21">
        <v>0</v>
      </c>
      <c r="AS124" s="58">
        <f t="shared" si="117"/>
        <v>0</v>
      </c>
      <c r="AT124" s="21">
        <v>0</v>
      </c>
      <c r="AU124" s="58">
        <f t="shared" si="118"/>
        <v>0</v>
      </c>
      <c r="AV124" s="21">
        <v>0</v>
      </c>
      <c r="AW124" s="58">
        <v>0</v>
      </c>
      <c r="AX124" s="31">
        <v>0</v>
      </c>
      <c r="AY124" s="58">
        <v>0</v>
      </c>
      <c r="AZ124" s="31">
        <v>0</v>
      </c>
      <c r="BA124" s="58">
        <v>0</v>
      </c>
      <c r="BB124" s="31">
        <v>0</v>
      </c>
      <c r="BC124" s="58">
        <v>0</v>
      </c>
      <c r="BD124" s="31">
        <v>0</v>
      </c>
      <c r="BE124" s="58">
        <v>0</v>
      </c>
      <c r="BF124" s="31">
        <f>Table1[[#This Row],[Students Per Fall]]</f>
        <v>24</v>
      </c>
      <c r="BG124" s="58">
        <f t="shared" si="120"/>
        <v>7387</v>
      </c>
      <c r="BH124" s="31">
        <f>IF(Table1[[#This Row],[Sustainability Check 1 (2017-2018) Status]]="Continued", Table1[[#This Row],[Students Per Spring]], 0)</f>
        <v>24</v>
      </c>
      <c r="BI124" s="58">
        <f t="shared" si="121"/>
        <v>7387</v>
      </c>
      <c r="BJ124" s="31">
        <f t="shared" si="122"/>
        <v>48</v>
      </c>
      <c r="BK124" s="58">
        <f t="shared" si="123"/>
        <v>14774</v>
      </c>
      <c r="BL124" s="58" t="s">
        <v>130</v>
      </c>
      <c r="BM124" s="31">
        <v>24</v>
      </c>
      <c r="BN124" s="31">
        <v>24</v>
      </c>
      <c r="BO124" s="31">
        <v>24</v>
      </c>
      <c r="BP124" s="31">
        <f t="shared" si="124"/>
        <v>72</v>
      </c>
      <c r="BQ124" s="58">
        <v>314.8</v>
      </c>
      <c r="BR124" s="58">
        <f>Table1[[#This Row],[Check 2 Students Total]]*Table1[[#This Row],[Summer 2018 Price Check]]</f>
        <v>22665.600000000002</v>
      </c>
      <c r="BS124" s="31">
        <f>IF(Table1[[#This Row],[Sustainability Check 2 (2018-2019) Status]]="Continued", Table1[[#This Row],[Check 2 Students Summer]], 0)</f>
        <v>24</v>
      </c>
      <c r="BT124" s="58">
        <f>Table1[[#This Row],[Summer 2018 Price Check]]*BS124</f>
        <v>7555.2000000000007</v>
      </c>
      <c r="BU124" s="31">
        <f>IF(Table1[[#This Row],[Sustainability Check 2 (2018-2019) Status]]="Continued", Table1[[#This Row],[Check 2 Students Fall]], 0)</f>
        <v>24</v>
      </c>
      <c r="BV124" s="58">
        <f>Table1[[#This Row],[Summer 2018 Price Check]]*BU124</f>
        <v>7555.2000000000007</v>
      </c>
      <c r="BW124" s="21">
        <f>IF(Table1[[#This Row],[Sustainability Check 2 (2018-2019) Status]]="Continued", Table1[Check 2 Students Spring], 0)</f>
        <v>24</v>
      </c>
      <c r="BX124" s="58">
        <f>Table1[[#This Row],[Summer 2018 Price Check]]*Table1[[#This Row],[Spring 2019 Students]]</f>
        <v>7555.2000000000007</v>
      </c>
      <c r="BY124" s="31">
        <f t="shared" si="79"/>
        <v>72</v>
      </c>
      <c r="BZ124" s="58">
        <f t="shared" si="80"/>
        <v>22665.600000000002</v>
      </c>
      <c r="CA124" s="58" t="s">
        <v>130</v>
      </c>
      <c r="CB124" s="21">
        <v>24</v>
      </c>
      <c r="CC124" s="21">
        <v>24</v>
      </c>
      <c r="CD124" s="21">
        <v>24</v>
      </c>
      <c r="CE124" s="21">
        <f t="shared" si="110"/>
        <v>72</v>
      </c>
      <c r="CF124" s="58">
        <v>316</v>
      </c>
      <c r="CG124" s="58">
        <f t="shared" si="81"/>
        <v>22752</v>
      </c>
      <c r="CH124" s="17" t="s">
        <v>588</v>
      </c>
      <c r="CI124" s="21">
        <f>IF(Table1[[#This Row],[Check 3 Status]]="Continued", Table1[[#This Row],[Check 3 Students Summer]], 0)</f>
        <v>24</v>
      </c>
      <c r="CJ124" s="58">
        <f>Table1[[#This Row],[Check 3 Per Student Savings]]*CI124</f>
        <v>7584</v>
      </c>
      <c r="CK124" s="21">
        <f>IF(Table1[[#This Row],[Check 3 Status]]="Continued", Table1[[#This Row],[Check 3 Students Fall]], 0)</f>
        <v>24</v>
      </c>
      <c r="CL124" s="58">
        <f>Table1[[#This Row],[Check 3 Per Student Savings]]*CK124</f>
        <v>7584</v>
      </c>
      <c r="CM124" s="21">
        <f>IF(Table1[[#This Row],[Check 3 Status]]="Continued", Table1[[#This Row],[Check 3 Students Spring]], 0)</f>
        <v>24</v>
      </c>
      <c r="CN124" s="58">
        <f>Table1[[#This Row],[Check 3 Per Student Savings]]*CM124</f>
        <v>7584</v>
      </c>
      <c r="CO124" s="21">
        <f t="shared" si="82"/>
        <v>72</v>
      </c>
      <c r="CP124" s="58">
        <f t="shared" si="83"/>
        <v>22752</v>
      </c>
      <c r="CQ124" s="58" t="s">
        <v>130</v>
      </c>
      <c r="CR124" s="21">
        <v>24</v>
      </c>
      <c r="CS124" s="21">
        <v>24</v>
      </c>
      <c r="CT124" s="21">
        <v>24</v>
      </c>
      <c r="CU124" s="21">
        <f t="shared" si="84"/>
        <v>72</v>
      </c>
      <c r="CV124" s="58">
        <v>316</v>
      </c>
      <c r="CW124" s="58">
        <f t="shared" si="85"/>
        <v>22752</v>
      </c>
      <c r="CX124" s="58"/>
      <c r="CY124" s="21">
        <f>IF(Table1[[#This Row],[Check 4 Status]]="Continued", Table1[[#This Row],[Check 4 Students Summer]], 0)</f>
        <v>24</v>
      </c>
      <c r="CZ124" s="58">
        <f>Table1[[#This Row],[Check 4 Per Student Savings]]*CY124</f>
        <v>7584</v>
      </c>
      <c r="DA124" s="21">
        <f>IF(Table1[[#This Row],[Check 4 Status]]="Continued", Table1[[#This Row],[Check 4 Students Fall]], 0)</f>
        <v>24</v>
      </c>
      <c r="DB124" s="58">
        <f>Table1[[#This Row],[Check 4 Per Student Savings]]*DA124</f>
        <v>7584</v>
      </c>
      <c r="DC124" s="21">
        <f>IF(Table1[[#This Row],[Check 4 Status]]="Continued", Table1[[#This Row],[Check 4 Students Spring]], 0)</f>
        <v>24</v>
      </c>
      <c r="DD124" s="58">
        <f>Table1[[#This Row],[Check 4 Per Student Savings]]*DC124</f>
        <v>7584</v>
      </c>
      <c r="DE124" s="58">
        <f t="shared" si="86"/>
        <v>72</v>
      </c>
      <c r="DF124" s="58">
        <f t="shared" si="87"/>
        <v>22752</v>
      </c>
      <c r="DG12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264</v>
      </c>
      <c r="DH12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82943.600000000006</v>
      </c>
      <c r="DI124" s="58">
        <f>Table1[[#This Row],[Grand Total Savings]]/Table1[[#This Row],[Total Award]]</f>
        <v>7.6799629629629633</v>
      </c>
      <c r="DJ124" s="17"/>
      <c r="DK124" s="17"/>
      <c r="DL124" s="17"/>
      <c r="DM124" s="17"/>
      <c r="EC124" s="17"/>
      <c r="ED124" s="17"/>
      <c r="EE124" s="17"/>
      <c r="EF124" s="17"/>
    </row>
    <row r="125" spans="1:136" x14ac:dyDescent="0.25">
      <c r="A125" s="159">
        <v>242</v>
      </c>
      <c r="B125" s="17" t="s">
        <v>2011</v>
      </c>
      <c r="D125" s="97">
        <v>511656</v>
      </c>
      <c r="E125" s="158">
        <v>42709</v>
      </c>
      <c r="F125" s="165">
        <v>42975</v>
      </c>
      <c r="G125" s="157" t="s">
        <v>695</v>
      </c>
      <c r="H125" s="95" t="s">
        <v>8</v>
      </c>
      <c r="I125" s="226" t="s">
        <v>118</v>
      </c>
      <c r="J125" s="17" t="s">
        <v>426</v>
      </c>
      <c r="K125" s="107">
        <v>10800</v>
      </c>
      <c r="L125" s="107"/>
      <c r="M125" s="101" t="s">
        <v>726</v>
      </c>
      <c r="N125" s="101" t="s">
        <v>727</v>
      </c>
      <c r="O125" s="101" t="s">
        <v>728</v>
      </c>
      <c r="P125" s="101" t="s">
        <v>205</v>
      </c>
      <c r="Q125" s="101" t="s">
        <v>206</v>
      </c>
      <c r="R125" s="101" t="s">
        <v>204</v>
      </c>
      <c r="S125" s="172" t="s">
        <v>36</v>
      </c>
      <c r="T125" s="17" t="s">
        <v>125</v>
      </c>
      <c r="U125" s="160" t="s">
        <v>367</v>
      </c>
      <c r="V125" s="17" t="s">
        <v>150</v>
      </c>
      <c r="W125" s="17" t="s">
        <v>150</v>
      </c>
      <c r="X125" s="17" t="s">
        <v>150</v>
      </c>
      <c r="Y125" s="58">
        <v>70308</v>
      </c>
      <c r="Z125" s="17">
        <v>105</v>
      </c>
      <c r="AA125" s="58">
        <v>223</v>
      </c>
      <c r="AB125" s="21">
        <f t="shared" si="125"/>
        <v>35</v>
      </c>
      <c r="AC125" s="21">
        <f t="shared" si="126"/>
        <v>35</v>
      </c>
      <c r="AD125" s="21">
        <f t="shared" si="127"/>
        <v>35</v>
      </c>
      <c r="AE125" s="17" t="s">
        <v>588</v>
      </c>
      <c r="AF125" s="17" t="s">
        <v>129</v>
      </c>
      <c r="AG125" s="17"/>
      <c r="AI125" s="17" t="s">
        <v>130</v>
      </c>
      <c r="AJ125" s="21">
        <v>0</v>
      </c>
      <c r="AK125" s="58">
        <v>0</v>
      </c>
      <c r="AL125" s="21">
        <v>0</v>
      </c>
      <c r="AM125" s="58">
        <f t="shared" si="114"/>
        <v>0</v>
      </c>
      <c r="AN125" s="21">
        <v>0</v>
      </c>
      <c r="AO125" s="58">
        <f t="shared" si="115"/>
        <v>0</v>
      </c>
      <c r="AP125" s="21">
        <v>0</v>
      </c>
      <c r="AQ125" s="58">
        <f t="shared" si="116"/>
        <v>0</v>
      </c>
      <c r="AR125" s="21">
        <v>0</v>
      </c>
      <c r="AS125" s="58">
        <f t="shared" si="117"/>
        <v>0</v>
      </c>
      <c r="AT125" s="21">
        <v>0</v>
      </c>
      <c r="AU125" s="58">
        <f t="shared" si="118"/>
        <v>0</v>
      </c>
      <c r="AV125" s="21">
        <v>0</v>
      </c>
      <c r="AW125" s="58">
        <v>0</v>
      </c>
      <c r="AX125" s="31">
        <v>0</v>
      </c>
      <c r="AY125" s="58">
        <v>0</v>
      </c>
      <c r="AZ125" s="31">
        <v>0</v>
      </c>
      <c r="BA125" s="58">
        <v>0</v>
      </c>
      <c r="BB125" s="31">
        <v>0</v>
      </c>
      <c r="BC125" s="58">
        <v>0</v>
      </c>
      <c r="BD125" s="31">
        <v>0</v>
      </c>
      <c r="BE125" s="58">
        <v>0</v>
      </c>
      <c r="BF125" s="31">
        <f>Table1[[#This Row],[Students Per Fall]]</f>
        <v>35</v>
      </c>
      <c r="BG125" s="58">
        <f t="shared" si="120"/>
        <v>7805</v>
      </c>
      <c r="BH125" s="31">
        <f>IF(Table1[[#This Row],[Sustainability Check 1 (2017-2018) Status]]="Continued", Table1[[#This Row],[Students Per Spring]], 0)</f>
        <v>35</v>
      </c>
      <c r="BI125" s="58">
        <f t="shared" si="121"/>
        <v>7805</v>
      </c>
      <c r="BJ125" s="31">
        <f t="shared" si="122"/>
        <v>70</v>
      </c>
      <c r="BK125" s="58">
        <f t="shared" si="123"/>
        <v>15610</v>
      </c>
      <c r="BL125" s="58" t="s">
        <v>130</v>
      </c>
      <c r="BM125" s="31">
        <v>60</v>
      </c>
      <c r="BN125" s="31">
        <v>680</v>
      </c>
      <c r="BO125" s="31">
        <v>584</v>
      </c>
      <c r="BP125" s="31">
        <f t="shared" si="124"/>
        <v>1324</v>
      </c>
      <c r="BQ125" s="96">
        <v>242.2</v>
      </c>
      <c r="BR125" s="58">
        <f>Table1[[#This Row],[Check 2 Students Total]]*Table1[[#This Row],[Summer 2018 Price Check]]</f>
        <v>320672.8</v>
      </c>
      <c r="BS125" s="31">
        <f>IF(Table1[[#This Row],[Sustainability Check 2 (2018-2019) Status]]="Continued", Table1[[#This Row],[Check 2 Students Summer]], 0)</f>
        <v>60</v>
      </c>
      <c r="BT125" s="58">
        <f>Table1[[#This Row],[Summer 2018 Price Check]]*BS125</f>
        <v>14532</v>
      </c>
      <c r="BU125" s="31">
        <f>IF(Table1[[#This Row],[Sustainability Check 2 (2018-2019) Status]]="Continued", Table1[[#This Row],[Check 2 Students Fall]], 0)</f>
        <v>680</v>
      </c>
      <c r="BV125" s="58">
        <f>Table1[[#This Row],[Summer 2018 Price Check]]*BU125</f>
        <v>164696</v>
      </c>
      <c r="BW125" s="21">
        <f>IF(Table1[[#This Row],[Sustainability Check 2 (2018-2019) Status]]="Continued", Table1[Check 2 Students Spring], 0)</f>
        <v>584</v>
      </c>
      <c r="BX125" s="58">
        <f>Table1[[#This Row],[Summer 2018 Price Check]]*Table1[[#This Row],[Spring 2019 Students]]</f>
        <v>141444.79999999999</v>
      </c>
      <c r="BY125" s="31">
        <f t="shared" si="79"/>
        <v>1324</v>
      </c>
      <c r="BZ125" s="58">
        <f t="shared" si="80"/>
        <v>320672.8</v>
      </c>
      <c r="CA125" s="58" t="s">
        <v>130</v>
      </c>
      <c r="CB125" s="21">
        <v>123</v>
      </c>
      <c r="CC125" s="21">
        <v>478</v>
      </c>
      <c r="CD125" s="21">
        <v>384</v>
      </c>
      <c r="CE125" s="21">
        <f t="shared" si="110"/>
        <v>985</v>
      </c>
      <c r="CF125" s="58">
        <v>223.2</v>
      </c>
      <c r="CG125" s="58">
        <f t="shared" si="81"/>
        <v>219852</v>
      </c>
      <c r="CH125" s="17" t="s">
        <v>588</v>
      </c>
      <c r="CI125" s="21">
        <f>IF(Table1[[#This Row],[Check 3 Status]]="Continued", Table1[[#This Row],[Check 3 Students Summer]], 0)</f>
        <v>123</v>
      </c>
      <c r="CJ125" s="58">
        <f>Table1[[#This Row],[Check 3 Per Student Savings]]*CI125</f>
        <v>27453.599999999999</v>
      </c>
      <c r="CK125" s="21">
        <f>IF(Table1[[#This Row],[Check 3 Status]]="Continued", Table1[[#This Row],[Check 3 Students Fall]], 0)</f>
        <v>478</v>
      </c>
      <c r="CL125" s="58">
        <f>Table1[[#This Row],[Check 3 Per Student Savings]]*CK125</f>
        <v>106689.59999999999</v>
      </c>
      <c r="CM125" s="21">
        <f>IF(Table1[[#This Row],[Check 3 Status]]="Continued", Table1[[#This Row],[Check 3 Students Spring]], 0)</f>
        <v>384</v>
      </c>
      <c r="CN125" s="58">
        <f>Table1[[#This Row],[Check 3 Per Student Savings]]*CM125</f>
        <v>85708.799999999988</v>
      </c>
      <c r="CO125" s="21">
        <f t="shared" si="82"/>
        <v>985</v>
      </c>
      <c r="CP125" s="58">
        <f t="shared" si="83"/>
        <v>219851.99999999997</v>
      </c>
      <c r="CQ125" s="58" t="s">
        <v>130</v>
      </c>
      <c r="CR125" s="21">
        <v>123</v>
      </c>
      <c r="CS125" s="21">
        <v>478</v>
      </c>
      <c r="CT125" s="21">
        <v>384</v>
      </c>
      <c r="CU125" s="21">
        <f t="shared" si="84"/>
        <v>985</v>
      </c>
      <c r="CV125" s="58">
        <v>223.2</v>
      </c>
      <c r="CW125" s="58">
        <f t="shared" si="85"/>
        <v>219852</v>
      </c>
      <c r="CX125" s="58"/>
      <c r="CY125" s="21">
        <f>IF(Table1[[#This Row],[Check 4 Status]]="Continued", Table1[[#This Row],[Check 4 Students Summer]], 0)</f>
        <v>123</v>
      </c>
      <c r="CZ125" s="58">
        <f>Table1[[#This Row],[Check 4 Per Student Savings]]*CY125</f>
        <v>27453.599999999999</v>
      </c>
      <c r="DA125" s="21">
        <f>IF(Table1[[#This Row],[Check 4 Status]]="Continued", Table1[[#This Row],[Check 4 Students Fall]], 0)</f>
        <v>478</v>
      </c>
      <c r="DB125" s="58">
        <f>Table1[[#This Row],[Check 4 Per Student Savings]]*DA125</f>
        <v>106689.59999999999</v>
      </c>
      <c r="DC125" s="21">
        <f>IF(Table1[[#This Row],[Check 4 Status]]="Continued", Table1[[#This Row],[Check 4 Students Spring]], 0)</f>
        <v>384</v>
      </c>
      <c r="DD125" s="58">
        <f>Table1[[#This Row],[Check 4 Per Student Savings]]*DC125</f>
        <v>85708.799999999988</v>
      </c>
      <c r="DE125" s="58">
        <f t="shared" si="86"/>
        <v>985</v>
      </c>
      <c r="DF125" s="58">
        <f t="shared" si="87"/>
        <v>219851.99999999997</v>
      </c>
      <c r="DG12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3364</v>
      </c>
      <c r="DH12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775986.79999999993</v>
      </c>
      <c r="DI125" s="58">
        <f>Table1[[#This Row],[Grand Total Savings]]/Table1[[#This Row],[Total Award]]</f>
        <v>71.850629629629623</v>
      </c>
      <c r="DJ125" s="17"/>
      <c r="DK125" s="17"/>
      <c r="DL125" s="17"/>
      <c r="DM125" s="17"/>
      <c r="EC125" s="17"/>
      <c r="ED125" s="17"/>
      <c r="EE125" s="17"/>
      <c r="EF125" s="17"/>
    </row>
    <row r="126" spans="1:136" x14ac:dyDescent="0.25">
      <c r="A126" s="157">
        <v>243</v>
      </c>
      <c r="B126" s="17" t="s">
        <v>2011</v>
      </c>
      <c r="D126" s="97">
        <v>511740</v>
      </c>
      <c r="E126" s="17" t="s">
        <v>720</v>
      </c>
      <c r="F126" s="165">
        <v>43109</v>
      </c>
      <c r="G126" s="159" t="s">
        <v>695</v>
      </c>
      <c r="H126" s="95" t="s">
        <v>8</v>
      </c>
      <c r="I126" s="226" t="s">
        <v>118</v>
      </c>
      <c r="J126" s="17" t="s">
        <v>179</v>
      </c>
      <c r="K126" s="107">
        <v>10800</v>
      </c>
      <c r="L126" s="107"/>
      <c r="M126" s="101" t="s">
        <v>729</v>
      </c>
      <c r="N126" s="101" t="s">
        <v>730</v>
      </c>
      <c r="O126" s="101" t="s">
        <v>731</v>
      </c>
      <c r="P126" s="101" t="s">
        <v>732</v>
      </c>
      <c r="Q126" s="101" t="s">
        <v>272</v>
      </c>
      <c r="R126" s="101" t="s">
        <v>731</v>
      </c>
      <c r="S126" s="160" t="s">
        <v>36</v>
      </c>
      <c r="T126" s="17" t="s">
        <v>125</v>
      </c>
      <c r="U126" s="160" t="s">
        <v>733</v>
      </c>
      <c r="V126" s="17" t="s">
        <v>150</v>
      </c>
      <c r="W126" s="17" t="s">
        <v>150</v>
      </c>
      <c r="X126" s="17" t="s">
        <v>127</v>
      </c>
      <c r="Y126" s="58">
        <v>61600</v>
      </c>
      <c r="Z126" s="17">
        <v>175</v>
      </c>
      <c r="AA126" s="58">
        <f t="shared" ref="AA126:AA169" si="129">Y126/Z126</f>
        <v>352</v>
      </c>
      <c r="AB126" s="21">
        <f t="shared" si="125"/>
        <v>58.333333333333336</v>
      </c>
      <c r="AC126" s="21">
        <f t="shared" si="126"/>
        <v>58.333333333333336</v>
      </c>
      <c r="AD126" s="21">
        <f t="shared" si="127"/>
        <v>58.333333333333336</v>
      </c>
      <c r="AE126" s="17" t="s">
        <v>588</v>
      </c>
      <c r="AF126" s="17" t="s">
        <v>129</v>
      </c>
      <c r="AG126" s="17"/>
      <c r="AI126" s="17" t="s">
        <v>130</v>
      </c>
      <c r="AJ126" s="21">
        <v>0</v>
      </c>
      <c r="AK126" s="58">
        <v>0</v>
      </c>
      <c r="AL126" s="21">
        <v>0</v>
      </c>
      <c r="AM126" s="58">
        <f t="shared" si="114"/>
        <v>0</v>
      </c>
      <c r="AN126" s="21">
        <v>0</v>
      </c>
      <c r="AO126" s="58">
        <f t="shared" si="115"/>
        <v>0</v>
      </c>
      <c r="AP126" s="21">
        <v>0</v>
      </c>
      <c r="AQ126" s="58">
        <f t="shared" si="116"/>
        <v>0</v>
      </c>
      <c r="AR126" s="21">
        <v>0</v>
      </c>
      <c r="AS126" s="58">
        <f t="shared" si="117"/>
        <v>0</v>
      </c>
      <c r="AT126" s="21">
        <v>0</v>
      </c>
      <c r="AU126" s="58">
        <f t="shared" si="118"/>
        <v>0</v>
      </c>
      <c r="AV126" s="21">
        <v>0</v>
      </c>
      <c r="AW126" s="58">
        <v>0</v>
      </c>
      <c r="AX126" s="31">
        <v>0</v>
      </c>
      <c r="AY126" s="58">
        <v>0</v>
      </c>
      <c r="AZ126" s="31">
        <v>0</v>
      </c>
      <c r="BA126" s="58">
        <v>0</v>
      </c>
      <c r="BB126" s="31">
        <v>0</v>
      </c>
      <c r="BC126" s="58">
        <v>0</v>
      </c>
      <c r="BD126" s="31">
        <v>0</v>
      </c>
      <c r="BE126" s="58">
        <v>0</v>
      </c>
      <c r="BF126" s="31">
        <f>Table1[[#This Row],[Students Per Fall]]</f>
        <v>58.333333333333336</v>
      </c>
      <c r="BG126" s="58">
        <f t="shared" si="120"/>
        <v>20533.333333333336</v>
      </c>
      <c r="BH126" s="31">
        <f>IF(Table1[[#This Row],[Sustainability Check 1 (2017-2018) Status]]="Continued", Table1[[#This Row],[Students Per Spring]], 0)</f>
        <v>58.333333333333336</v>
      </c>
      <c r="BI126" s="58">
        <f t="shared" si="121"/>
        <v>20533.333333333336</v>
      </c>
      <c r="BJ126" s="31">
        <f t="shared" si="122"/>
        <v>116.66666666666667</v>
      </c>
      <c r="BK126" s="58">
        <f t="shared" si="123"/>
        <v>41066.666666666672</v>
      </c>
      <c r="BL126" s="58" t="s">
        <v>142</v>
      </c>
      <c r="BM126" s="31">
        <v>0</v>
      </c>
      <c r="BN126" s="31">
        <v>0</v>
      </c>
      <c r="BO126" s="31">
        <v>0</v>
      </c>
      <c r="BP126" s="31">
        <f t="shared" si="124"/>
        <v>0</v>
      </c>
      <c r="BQ126" s="96">
        <v>310.95</v>
      </c>
      <c r="BR126" s="58">
        <f>Table1[[#This Row],[Check 2 Students Total]]*Table1[[#This Row],[Summer 2018 Price Check]]</f>
        <v>0</v>
      </c>
      <c r="BS126" s="31">
        <f>IF(Table1[[#This Row],[Sustainability Check 2 (2018-2019) Status]]="Continued", Table1[[#This Row],[Check 2 Students Summer]], 0)</f>
        <v>0</v>
      </c>
      <c r="BT126" s="58">
        <f>Table1[[#This Row],[Summer 2018 Price Check]]*BS126</f>
        <v>0</v>
      </c>
      <c r="BU126" s="31">
        <f>IF(Table1[[#This Row],[Sustainability Check 2 (2018-2019) Status]]="Continued", Table1[[#This Row],[Check 2 Students Fall]], 0)</f>
        <v>0</v>
      </c>
      <c r="BV126" s="58">
        <f>Table1[[#This Row],[Summer 2018 Price Check]]*BU126</f>
        <v>0</v>
      </c>
      <c r="BW126" s="21">
        <f>IF(Table1[[#This Row],[Sustainability Check 2 (2018-2019) Status]]="Continued", Table1[Check 2 Students Spring], 0)</f>
        <v>0</v>
      </c>
      <c r="BX126" s="58">
        <f>Table1[[#This Row],[Summer 2018 Price Check]]*Table1[[#This Row],[Spring 2019 Students]]</f>
        <v>0</v>
      </c>
      <c r="BY126" s="31">
        <f t="shared" si="79"/>
        <v>0</v>
      </c>
      <c r="BZ126" s="58">
        <f t="shared" si="80"/>
        <v>0</v>
      </c>
      <c r="CA126" s="58" t="s">
        <v>142</v>
      </c>
      <c r="CB126" s="21">
        <v>0</v>
      </c>
      <c r="CC126" s="21">
        <v>0</v>
      </c>
      <c r="CD126" s="21">
        <v>0</v>
      </c>
      <c r="CE126" s="21">
        <f t="shared" si="110"/>
        <v>0</v>
      </c>
      <c r="CF126" s="58">
        <v>0</v>
      </c>
      <c r="CG126" s="58">
        <f t="shared" si="81"/>
        <v>0</v>
      </c>
      <c r="CH126" s="17" t="s">
        <v>588</v>
      </c>
      <c r="CI126" s="21">
        <f>IF(Table1[[#This Row],[Check 3 Status]]="Continued", Table1[[#This Row],[Check 3 Students Summer]], 0)</f>
        <v>0</v>
      </c>
      <c r="CJ126" s="58">
        <f>Table1[[#This Row],[Check 3 Per Student Savings]]*CI126</f>
        <v>0</v>
      </c>
      <c r="CK126" s="21">
        <f>IF(Table1[[#This Row],[Check 3 Status]]="Continued", Table1[[#This Row],[Check 3 Students Fall]], 0)</f>
        <v>0</v>
      </c>
      <c r="CL126" s="58">
        <f>Table1[[#This Row],[Check 3 Per Student Savings]]*CK126</f>
        <v>0</v>
      </c>
      <c r="CM126" s="21">
        <f>IF(Table1[[#This Row],[Check 3 Status]]="Continued", Table1[[#This Row],[Check 3 Students Spring]], 0)</f>
        <v>0</v>
      </c>
      <c r="CN126" s="58">
        <f>Table1[[#This Row],[Check 3 Per Student Savings]]*CM126</f>
        <v>0</v>
      </c>
      <c r="CO126" s="21">
        <f t="shared" si="82"/>
        <v>0</v>
      </c>
      <c r="CP126" s="58">
        <f t="shared" si="83"/>
        <v>0</v>
      </c>
      <c r="CQ126" s="58" t="s">
        <v>142</v>
      </c>
      <c r="CR126" s="21">
        <v>0</v>
      </c>
      <c r="CS126" s="21">
        <v>0</v>
      </c>
      <c r="CT126" s="21">
        <v>0</v>
      </c>
      <c r="CU126" s="21">
        <f t="shared" si="84"/>
        <v>0</v>
      </c>
      <c r="CV126" s="58">
        <v>0</v>
      </c>
      <c r="CW126" s="58">
        <f t="shared" si="85"/>
        <v>0</v>
      </c>
      <c r="CX126" s="58"/>
      <c r="CY126" s="21">
        <f>IF(Table1[[#This Row],[Check 4 Status]]="Continued", Table1[[#This Row],[Check 4 Students Summer]], 0)</f>
        <v>0</v>
      </c>
      <c r="CZ126" s="58">
        <f>Table1[[#This Row],[Check 4 Per Student Savings]]*CY126</f>
        <v>0</v>
      </c>
      <c r="DA126" s="21">
        <f>IF(Table1[[#This Row],[Check 4 Status]]="Continued", Table1[[#This Row],[Check 4 Students Fall]], 0)</f>
        <v>0</v>
      </c>
      <c r="DB126" s="58">
        <f>Table1[[#This Row],[Check 4 Per Student Savings]]*DA126</f>
        <v>0</v>
      </c>
      <c r="DC126" s="21">
        <f>IF(Table1[[#This Row],[Check 4 Status]]="Continued", Table1[[#This Row],[Check 4 Students Spring]], 0)</f>
        <v>0</v>
      </c>
      <c r="DD126" s="58">
        <f>Table1[[#This Row],[Check 4 Per Student Savings]]*DC126</f>
        <v>0</v>
      </c>
      <c r="DE126" s="58">
        <f t="shared" si="86"/>
        <v>0</v>
      </c>
      <c r="DF126" s="58">
        <f t="shared" si="87"/>
        <v>0</v>
      </c>
      <c r="DG12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116.66666666666667</v>
      </c>
      <c r="DH12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41066.666666666672</v>
      </c>
      <c r="DI126" s="58">
        <f>Table1[[#This Row],[Grand Total Savings]]/Table1[[#This Row],[Total Award]]</f>
        <v>3.8024691358024696</v>
      </c>
      <c r="DJ126" s="17"/>
      <c r="DK126" s="17"/>
      <c r="DL126" s="17"/>
      <c r="DM126" s="17"/>
      <c r="EC126" s="17"/>
      <c r="ED126" s="17"/>
      <c r="EE126" s="17"/>
      <c r="EF126" s="17"/>
    </row>
    <row r="127" spans="1:136" x14ac:dyDescent="0.25">
      <c r="A127" s="157">
        <v>244</v>
      </c>
      <c r="B127" s="17" t="s">
        <v>2011</v>
      </c>
      <c r="D127" s="97">
        <v>511601</v>
      </c>
      <c r="E127" s="158">
        <v>42688</v>
      </c>
      <c r="F127" s="165">
        <v>43109</v>
      </c>
      <c r="G127" s="159" t="s">
        <v>695</v>
      </c>
      <c r="H127" s="95" t="s">
        <v>8</v>
      </c>
      <c r="I127" s="226" t="s">
        <v>118</v>
      </c>
      <c r="J127" s="17" t="s">
        <v>276</v>
      </c>
      <c r="K127" s="107">
        <v>10800</v>
      </c>
      <c r="L127" s="107"/>
      <c r="M127" s="101" t="s">
        <v>656</v>
      </c>
      <c r="N127" s="101" t="s">
        <v>657</v>
      </c>
      <c r="O127" s="101" t="s">
        <v>734</v>
      </c>
      <c r="P127" s="101" t="s">
        <v>261</v>
      </c>
      <c r="Q127" s="101" t="s">
        <v>192</v>
      </c>
      <c r="R127" s="101" t="s">
        <v>735</v>
      </c>
      <c r="S127" s="160" t="s">
        <v>36</v>
      </c>
      <c r="T127" s="17" t="s">
        <v>129</v>
      </c>
      <c r="U127" s="101" t="s">
        <v>157</v>
      </c>
      <c r="V127" s="17" t="s">
        <v>150</v>
      </c>
      <c r="W127" s="17" t="s">
        <v>127</v>
      </c>
      <c r="X127" s="17" t="s">
        <v>150</v>
      </c>
      <c r="Y127" s="58">
        <v>40019.4</v>
      </c>
      <c r="Z127" s="17">
        <v>180</v>
      </c>
      <c r="AA127" s="58">
        <f t="shared" si="129"/>
        <v>222.33</v>
      </c>
      <c r="AB127" s="21">
        <f t="shared" si="125"/>
        <v>60</v>
      </c>
      <c r="AC127" s="21">
        <f t="shared" si="126"/>
        <v>60</v>
      </c>
      <c r="AD127" s="21">
        <f t="shared" si="127"/>
        <v>60</v>
      </c>
      <c r="AE127" s="17" t="s">
        <v>635</v>
      </c>
      <c r="AF127" s="17" t="s">
        <v>129</v>
      </c>
      <c r="AG127" s="17"/>
      <c r="AI127" s="17" t="s">
        <v>130</v>
      </c>
      <c r="AJ127" s="21">
        <v>0</v>
      </c>
      <c r="AK127" s="58">
        <v>0</v>
      </c>
      <c r="AL127" s="21">
        <v>0</v>
      </c>
      <c r="AM127" s="58">
        <f t="shared" si="114"/>
        <v>0</v>
      </c>
      <c r="AN127" s="21">
        <v>0</v>
      </c>
      <c r="AO127" s="58">
        <f t="shared" si="115"/>
        <v>0</v>
      </c>
      <c r="AP127" s="21">
        <v>0</v>
      </c>
      <c r="AQ127" s="58">
        <f t="shared" si="116"/>
        <v>0</v>
      </c>
      <c r="AR127" s="21">
        <v>0</v>
      </c>
      <c r="AS127" s="58">
        <f t="shared" si="117"/>
        <v>0</v>
      </c>
      <c r="AT127" s="21">
        <v>0</v>
      </c>
      <c r="AU127" s="58">
        <f t="shared" si="118"/>
        <v>0</v>
      </c>
      <c r="AV127" s="21">
        <v>0</v>
      </c>
      <c r="AW127" s="58">
        <v>0</v>
      </c>
      <c r="AX127" s="31">
        <v>0</v>
      </c>
      <c r="AY127" s="58">
        <v>0</v>
      </c>
      <c r="AZ127" s="31">
        <f>Table1[[#This Row],[Students Per Spring]]</f>
        <v>60</v>
      </c>
      <c r="BA127" s="58">
        <f>$AA127*AZ127</f>
        <v>13339.800000000001</v>
      </c>
      <c r="BB127" s="31">
        <f>AV127+AX127+AZ127</f>
        <v>60</v>
      </c>
      <c r="BC127" s="58">
        <f>AW127+AY127+BA127</f>
        <v>13339.800000000001</v>
      </c>
      <c r="BD127" s="31">
        <f>IF(Table1[[#This Row],[Sustainability Check 1 (2017-2018) Status]]="Continued", Table1[[#This Row],[Students Per Summer]], 0)</f>
        <v>60</v>
      </c>
      <c r="BE127" s="58">
        <f>$AA127*BD127</f>
        <v>13339.800000000001</v>
      </c>
      <c r="BF127" s="31">
        <f>IF(Table1[[#This Row],[Sustainability Check 1 (2017-2018) Status]]="Continued", Table1[[#This Row],[Students Per Fall]], 0)</f>
        <v>60</v>
      </c>
      <c r="BG127" s="58">
        <f t="shared" si="120"/>
        <v>13339.800000000001</v>
      </c>
      <c r="BH127" s="31">
        <f>IF(Table1[[#This Row],[Sustainability Check 1 (2017-2018) Status]]="Continued", Table1[[#This Row],[Students Per Spring]], 0)</f>
        <v>60</v>
      </c>
      <c r="BI127" s="58">
        <f t="shared" si="121"/>
        <v>13339.800000000001</v>
      </c>
      <c r="BJ127" s="31">
        <f t="shared" si="122"/>
        <v>180</v>
      </c>
      <c r="BK127" s="58">
        <f t="shared" si="123"/>
        <v>40019.4</v>
      </c>
      <c r="BL127" s="58" t="s">
        <v>130</v>
      </c>
      <c r="BM127" s="31">
        <v>60</v>
      </c>
      <c r="BN127" s="31">
        <v>60</v>
      </c>
      <c r="BO127" s="31">
        <v>60</v>
      </c>
      <c r="BP127" s="31">
        <f t="shared" si="124"/>
        <v>180</v>
      </c>
      <c r="BQ127" s="96">
        <v>140.08000000000001</v>
      </c>
      <c r="BR127" s="58">
        <f>Table1[[#This Row],[Check 2 Students Total]]*Table1[[#This Row],[Summer 2018 Price Check]]</f>
        <v>25214.400000000001</v>
      </c>
      <c r="BS127" s="31">
        <f>IF(Table1[[#This Row],[Sustainability Check 2 (2018-2019) Status]]="Continued", Table1[[#This Row],[Check 2 Students Summer]], 0)</f>
        <v>60</v>
      </c>
      <c r="BT127" s="58">
        <f>Table1[[#This Row],[Summer 2018 Price Check]]*BS127</f>
        <v>8404.8000000000011</v>
      </c>
      <c r="BU127" s="31">
        <f>IF(Table1[[#This Row],[Sustainability Check 2 (2018-2019) Status]]="Continued", Table1[[#This Row],[Check 2 Students Fall]], 0)</f>
        <v>60</v>
      </c>
      <c r="BV127" s="58">
        <f>Table1[[#This Row],[Summer 2018 Price Check]]*BU127</f>
        <v>8404.8000000000011</v>
      </c>
      <c r="BW127" s="21">
        <f>IF(Table1[[#This Row],[Sustainability Check 2 (2018-2019) Status]]="Continued", Table1[Check 2 Students Spring], 0)</f>
        <v>60</v>
      </c>
      <c r="BX127" s="58">
        <f>Table1[[#This Row],[Summer 2018 Price Check]]*Table1[[#This Row],[Spring 2019 Students]]</f>
        <v>8404.8000000000011</v>
      </c>
      <c r="BY127" s="31">
        <f t="shared" si="79"/>
        <v>180</v>
      </c>
      <c r="BZ127" s="58">
        <f t="shared" si="80"/>
        <v>25214.400000000001</v>
      </c>
      <c r="CA127" s="58" t="s">
        <v>130</v>
      </c>
      <c r="CB127" s="21">
        <v>30</v>
      </c>
      <c r="CC127" s="21">
        <v>60</v>
      </c>
      <c r="CD127" s="21">
        <v>60</v>
      </c>
      <c r="CE127" s="21">
        <f t="shared" si="110"/>
        <v>150</v>
      </c>
      <c r="CF127" s="58">
        <v>222.33</v>
      </c>
      <c r="CG127" s="58">
        <f t="shared" si="81"/>
        <v>33349.5</v>
      </c>
      <c r="CH127" s="17" t="s">
        <v>635</v>
      </c>
      <c r="CI127" s="21">
        <f>IF(Table1[[#This Row],[Check 3 Status]]="Continued", Table1[[#This Row],[Check 3 Students Summer]], 0)</f>
        <v>30</v>
      </c>
      <c r="CJ127" s="58">
        <f>Table1[[#This Row],[Check 3 Per Student Savings]]*CI127</f>
        <v>6669.9000000000005</v>
      </c>
      <c r="CK127" s="21">
        <f>IF(Table1[[#This Row],[Check 3 Status]]="Continued", Table1[[#This Row],[Check 3 Students Fall]], 0)</f>
        <v>60</v>
      </c>
      <c r="CL127" s="58">
        <f>Table1[[#This Row],[Check 3 Per Student Savings]]*CK127</f>
        <v>13339.800000000001</v>
      </c>
      <c r="CM127" s="21">
        <f>IF(Table1[[#This Row],[Check 3 Status]]="Continued", Table1[[#This Row],[Check 3 Students Spring]], 0)</f>
        <v>60</v>
      </c>
      <c r="CN127" s="58">
        <f>Table1[[#This Row],[Check 3 Per Student Savings]]*CM127</f>
        <v>13339.800000000001</v>
      </c>
      <c r="CO127" s="21">
        <f t="shared" si="82"/>
        <v>150</v>
      </c>
      <c r="CP127" s="58">
        <f t="shared" si="83"/>
        <v>33349.5</v>
      </c>
      <c r="CQ127" s="58" t="s">
        <v>130</v>
      </c>
      <c r="CR127" s="21">
        <v>30</v>
      </c>
      <c r="CS127" s="21">
        <v>60</v>
      </c>
      <c r="CT127" s="21">
        <v>60</v>
      </c>
      <c r="CU127" s="21">
        <f t="shared" si="84"/>
        <v>150</v>
      </c>
      <c r="CV127" s="58">
        <v>222.33</v>
      </c>
      <c r="CW127" s="58">
        <f t="shared" si="85"/>
        <v>33349.5</v>
      </c>
      <c r="CX127" s="58"/>
      <c r="CY127" s="21">
        <f>IF(Table1[[#This Row],[Check 4 Status]]="Continued", Table1[[#This Row],[Check 4 Students Summer]], 0)</f>
        <v>30</v>
      </c>
      <c r="CZ127" s="58">
        <f>Table1[[#This Row],[Check 4 Per Student Savings]]*CY127</f>
        <v>6669.9000000000005</v>
      </c>
      <c r="DA127" s="21">
        <f>IF(Table1[[#This Row],[Check 4 Status]]="Continued", Table1[[#This Row],[Check 4 Students Fall]], 0)</f>
        <v>60</v>
      </c>
      <c r="DB127" s="58">
        <f>Table1[[#This Row],[Check 4 Per Student Savings]]*DA127</f>
        <v>13339.800000000001</v>
      </c>
      <c r="DC127" s="21">
        <f>IF(Table1[[#This Row],[Check 4 Status]]="Continued", Table1[[#This Row],[Check 4 Students Spring]], 0)</f>
        <v>60</v>
      </c>
      <c r="DD127" s="58">
        <f>Table1[[#This Row],[Check 4 Per Student Savings]]*DC127</f>
        <v>13339.800000000001</v>
      </c>
      <c r="DE127" s="58">
        <f t="shared" si="86"/>
        <v>150</v>
      </c>
      <c r="DF127" s="58">
        <f t="shared" si="87"/>
        <v>33349.5</v>
      </c>
      <c r="DG12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720</v>
      </c>
      <c r="DH12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145272.6</v>
      </c>
      <c r="DI127" s="58">
        <f>Table1[[#This Row],[Grand Total Savings]]/Table1[[#This Row],[Total Award]]</f>
        <v>13.451166666666667</v>
      </c>
      <c r="DJ127" s="17"/>
      <c r="DK127" s="17"/>
      <c r="DL127" s="17"/>
      <c r="DM127" s="17"/>
      <c r="EC127" s="17"/>
      <c r="ED127" s="17"/>
      <c r="EE127" s="17"/>
      <c r="EF127" s="17"/>
    </row>
    <row r="128" spans="1:136" x14ac:dyDescent="0.25">
      <c r="A128" s="157">
        <v>245</v>
      </c>
      <c r="B128" s="17" t="s">
        <v>2011</v>
      </c>
      <c r="D128" s="97">
        <v>511494</v>
      </c>
      <c r="E128" s="158">
        <v>42663</v>
      </c>
      <c r="F128" s="165">
        <v>43109</v>
      </c>
      <c r="G128" s="159" t="s">
        <v>695</v>
      </c>
      <c r="H128" s="95" t="s">
        <v>8</v>
      </c>
      <c r="I128" s="226" t="s">
        <v>118</v>
      </c>
      <c r="J128" s="17" t="s">
        <v>225</v>
      </c>
      <c r="K128" s="107">
        <v>10800</v>
      </c>
      <c r="L128" s="107"/>
      <c r="M128" s="101" t="s">
        <v>736</v>
      </c>
      <c r="N128" s="101" t="s">
        <v>737</v>
      </c>
      <c r="O128" s="101" t="s">
        <v>738</v>
      </c>
      <c r="P128" s="101" t="s">
        <v>443</v>
      </c>
      <c r="Q128" s="101" t="s">
        <v>192</v>
      </c>
      <c r="R128" s="101" t="s">
        <v>739</v>
      </c>
      <c r="S128" s="101" t="s">
        <v>129</v>
      </c>
      <c r="T128" s="17" t="s">
        <v>125</v>
      </c>
      <c r="U128" s="160" t="s">
        <v>348</v>
      </c>
      <c r="V128" s="17" t="s">
        <v>150</v>
      </c>
      <c r="W128" s="17" t="s">
        <v>127</v>
      </c>
      <c r="X128" s="17" t="s">
        <v>150</v>
      </c>
      <c r="Y128" s="58">
        <v>46452</v>
      </c>
      <c r="Z128" s="17">
        <v>196</v>
      </c>
      <c r="AA128" s="58">
        <f t="shared" si="129"/>
        <v>237</v>
      </c>
      <c r="AB128" s="21">
        <f t="shared" si="125"/>
        <v>65.333333333333329</v>
      </c>
      <c r="AC128" s="21">
        <f t="shared" si="126"/>
        <v>65.333333333333329</v>
      </c>
      <c r="AD128" s="21">
        <f t="shared" si="127"/>
        <v>65.333333333333329</v>
      </c>
      <c r="AE128" s="17" t="s">
        <v>635</v>
      </c>
      <c r="AF128" s="17" t="s">
        <v>129</v>
      </c>
      <c r="AG128" s="17"/>
      <c r="AI128" s="17" t="s">
        <v>130</v>
      </c>
      <c r="AJ128" s="21">
        <v>0</v>
      </c>
      <c r="AK128" s="58">
        <v>0</v>
      </c>
      <c r="AL128" s="21">
        <v>0</v>
      </c>
      <c r="AM128" s="58">
        <f t="shared" si="114"/>
        <v>0</v>
      </c>
      <c r="AN128" s="21">
        <v>0</v>
      </c>
      <c r="AO128" s="58">
        <f t="shared" si="115"/>
        <v>0</v>
      </c>
      <c r="AP128" s="21">
        <v>0</v>
      </c>
      <c r="AQ128" s="58">
        <f t="shared" si="116"/>
        <v>0</v>
      </c>
      <c r="AR128" s="21">
        <v>0</v>
      </c>
      <c r="AS128" s="58">
        <f t="shared" si="117"/>
        <v>0</v>
      </c>
      <c r="AT128" s="21">
        <v>0</v>
      </c>
      <c r="AU128" s="58">
        <f t="shared" si="118"/>
        <v>0</v>
      </c>
      <c r="AV128" s="21">
        <v>0</v>
      </c>
      <c r="AW128" s="58">
        <v>0</v>
      </c>
      <c r="AX128" s="31">
        <v>0</v>
      </c>
      <c r="AY128" s="58">
        <v>0</v>
      </c>
      <c r="AZ128" s="31">
        <f>Table1[[#This Row],[Students Per Spring]]</f>
        <v>65.333333333333329</v>
      </c>
      <c r="BA128" s="58">
        <f>$AA128*AZ128</f>
        <v>15483.999999999998</v>
      </c>
      <c r="BB128" s="31">
        <f>AV128+AX128+AZ128</f>
        <v>65.333333333333329</v>
      </c>
      <c r="BC128" s="58">
        <f>AW128+AY128+BA128</f>
        <v>15483.999999999998</v>
      </c>
      <c r="BD128" s="31">
        <f>IF(Table1[[#This Row],[Sustainability Check 1 (2017-2018) Status]]="Continued", Table1[[#This Row],[Students Per Summer]], 0)</f>
        <v>65.333333333333329</v>
      </c>
      <c r="BE128" s="58">
        <f>$AA128*BD128</f>
        <v>15483.999999999998</v>
      </c>
      <c r="BF128" s="31">
        <f>IF(Table1[[#This Row],[Sustainability Check 1 (2017-2018) Status]]="Continued", Table1[[#This Row],[Students Per Fall]], 0)</f>
        <v>65.333333333333329</v>
      </c>
      <c r="BG128" s="58">
        <f t="shared" si="120"/>
        <v>15483.999999999998</v>
      </c>
      <c r="BH128" s="31">
        <f>IF(Table1[[#This Row],[Sustainability Check 1 (2017-2018) Status]]="Continued", Table1[[#This Row],[Students Per Spring]], 0)</f>
        <v>65.333333333333329</v>
      </c>
      <c r="BI128" s="58">
        <f t="shared" si="121"/>
        <v>15483.999999999998</v>
      </c>
      <c r="BJ128" s="31">
        <f t="shared" si="122"/>
        <v>196</v>
      </c>
      <c r="BK128" s="58">
        <f t="shared" si="123"/>
        <v>46451.999999999993</v>
      </c>
      <c r="BL128" s="58" t="s">
        <v>130</v>
      </c>
      <c r="BM128" s="31">
        <v>65</v>
      </c>
      <c r="BN128" s="31">
        <v>65</v>
      </c>
      <c r="BO128" s="31">
        <v>65</v>
      </c>
      <c r="BP128" s="31">
        <f t="shared" si="124"/>
        <v>195</v>
      </c>
      <c r="BQ128" s="96">
        <v>259.60000000000002</v>
      </c>
      <c r="BR128" s="58">
        <f>Table1[[#This Row],[Check 2 Students Total]]*Table1[[#This Row],[Summer 2018 Price Check]]</f>
        <v>50622.000000000007</v>
      </c>
      <c r="BS128" s="31">
        <f>IF(Table1[[#This Row],[Sustainability Check 2 (2018-2019) Status]]="Continued", Table1[[#This Row],[Check 2 Students Summer]], 0)</f>
        <v>65</v>
      </c>
      <c r="BT128" s="58">
        <f>Table1[[#This Row],[Summer 2018 Price Check]]*BS128</f>
        <v>16874</v>
      </c>
      <c r="BU128" s="31">
        <f>IF(Table1[[#This Row],[Sustainability Check 2 (2018-2019) Status]]="Continued", Table1[[#This Row],[Check 2 Students Fall]], 0)</f>
        <v>65</v>
      </c>
      <c r="BV128" s="58">
        <f>Table1[[#This Row],[Summer 2018 Price Check]]*BU128</f>
        <v>16874</v>
      </c>
      <c r="BW128" s="21">
        <f>IF(Table1[[#This Row],[Sustainability Check 2 (2018-2019) Status]]="Continued", Table1[Check 2 Students Spring], 0)</f>
        <v>65</v>
      </c>
      <c r="BX128" s="58">
        <f>Table1[[#This Row],[Summer 2018 Price Check]]*Table1[[#This Row],[Spring 2019 Students]]</f>
        <v>16874</v>
      </c>
      <c r="BY128" s="31">
        <f t="shared" si="79"/>
        <v>195</v>
      </c>
      <c r="BZ128" s="58">
        <f t="shared" si="80"/>
        <v>50622</v>
      </c>
      <c r="CA128" s="58" t="s">
        <v>130</v>
      </c>
      <c r="CB128" s="21">
        <v>65</v>
      </c>
      <c r="CC128" s="21">
        <v>65</v>
      </c>
      <c r="CD128" s="21">
        <v>65</v>
      </c>
      <c r="CE128" s="21">
        <f t="shared" si="110"/>
        <v>195</v>
      </c>
      <c r="CF128" s="58">
        <v>204.18</v>
      </c>
      <c r="CG128" s="58">
        <f t="shared" si="81"/>
        <v>39815.1</v>
      </c>
      <c r="CH128" s="17" t="s">
        <v>635</v>
      </c>
      <c r="CI128" s="21">
        <f>IF(Table1[[#This Row],[Check 3 Status]]="Continued", Table1[[#This Row],[Check 3 Students Summer]], 0)</f>
        <v>65</v>
      </c>
      <c r="CJ128" s="58">
        <f>Table1[[#This Row],[Check 3 Per Student Savings]]*CI128</f>
        <v>13271.7</v>
      </c>
      <c r="CK128" s="21">
        <f>IF(Table1[[#This Row],[Check 3 Status]]="Continued", Table1[[#This Row],[Check 3 Students Fall]], 0)</f>
        <v>65</v>
      </c>
      <c r="CL128" s="58">
        <f>Table1[[#This Row],[Check 3 Per Student Savings]]*CK128</f>
        <v>13271.7</v>
      </c>
      <c r="CM128" s="21">
        <f>IF(Table1[[#This Row],[Check 3 Status]]="Continued", Table1[[#This Row],[Check 3 Students Spring]], 0)</f>
        <v>65</v>
      </c>
      <c r="CN128" s="58">
        <f>Table1[[#This Row],[Check 3 Per Student Savings]]*CM128</f>
        <v>13271.7</v>
      </c>
      <c r="CO128" s="21">
        <f t="shared" si="82"/>
        <v>195</v>
      </c>
      <c r="CP128" s="58">
        <f t="shared" si="83"/>
        <v>39815.100000000006</v>
      </c>
      <c r="CQ128" s="58" t="s">
        <v>130</v>
      </c>
      <c r="CR128" s="21">
        <v>65</v>
      </c>
      <c r="CS128" s="21">
        <v>65</v>
      </c>
      <c r="CT128" s="21">
        <v>65</v>
      </c>
      <c r="CU128" s="21">
        <f t="shared" si="84"/>
        <v>195</v>
      </c>
      <c r="CV128" s="58">
        <v>204.18</v>
      </c>
      <c r="CW128" s="58">
        <f t="shared" si="85"/>
        <v>39815.1</v>
      </c>
      <c r="CX128" s="58"/>
      <c r="CY128" s="21">
        <f>IF(Table1[[#This Row],[Check 4 Status]]="Continued", Table1[[#This Row],[Check 4 Students Summer]], 0)</f>
        <v>65</v>
      </c>
      <c r="CZ128" s="58">
        <f>Table1[[#This Row],[Check 4 Per Student Savings]]*CY128</f>
        <v>13271.7</v>
      </c>
      <c r="DA128" s="21">
        <f>IF(Table1[[#This Row],[Check 4 Status]]="Continued", Table1[[#This Row],[Check 4 Students Fall]], 0)</f>
        <v>65</v>
      </c>
      <c r="DB128" s="58">
        <f>Table1[[#This Row],[Check 4 Per Student Savings]]*DA128</f>
        <v>13271.7</v>
      </c>
      <c r="DC128" s="21">
        <f>IF(Table1[[#This Row],[Check 4 Status]]="Continued", Table1[[#This Row],[Check 4 Students Spring]], 0)</f>
        <v>65</v>
      </c>
      <c r="DD128" s="58">
        <f>Table1[[#This Row],[Check 4 Per Student Savings]]*DC128</f>
        <v>13271.7</v>
      </c>
      <c r="DE128" s="58">
        <f t="shared" si="86"/>
        <v>195</v>
      </c>
      <c r="DF128" s="58">
        <f t="shared" si="87"/>
        <v>39815.100000000006</v>
      </c>
      <c r="DG12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846.33333333333326</v>
      </c>
      <c r="DH12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192188.2</v>
      </c>
      <c r="DI128" s="58">
        <f>Table1[[#This Row],[Grand Total Savings]]/Table1[[#This Row],[Total Award]]</f>
        <v>17.795203703703706</v>
      </c>
      <c r="DJ128" s="17"/>
      <c r="DK128" s="17"/>
      <c r="DL128" s="17"/>
      <c r="DM128" s="17"/>
      <c r="EC128" s="17"/>
      <c r="ED128" s="17"/>
      <c r="EE128" s="17"/>
      <c r="EF128" s="17"/>
    </row>
    <row r="129" spans="1:136" x14ac:dyDescent="0.25">
      <c r="A129" s="157">
        <v>246</v>
      </c>
      <c r="B129" s="17" t="s">
        <v>2011</v>
      </c>
      <c r="D129" s="97">
        <v>511603</v>
      </c>
      <c r="E129" s="158">
        <v>42689</v>
      </c>
      <c r="F129" s="165">
        <v>43109</v>
      </c>
      <c r="G129" s="159" t="s">
        <v>695</v>
      </c>
      <c r="H129" s="95" t="s">
        <v>8</v>
      </c>
      <c r="I129" s="226" t="s">
        <v>118</v>
      </c>
      <c r="J129" s="17" t="s">
        <v>419</v>
      </c>
      <c r="K129" s="107">
        <v>30000</v>
      </c>
      <c r="L129" s="107"/>
      <c r="M129" s="101" t="s">
        <v>420</v>
      </c>
      <c r="N129" s="101" t="s">
        <v>740</v>
      </c>
      <c r="O129" s="101" t="s">
        <v>741</v>
      </c>
      <c r="P129" s="101" t="s">
        <v>742</v>
      </c>
      <c r="Q129" s="101" t="s">
        <v>148</v>
      </c>
      <c r="R129" s="101" t="s">
        <v>743</v>
      </c>
      <c r="S129" s="101" t="s">
        <v>129</v>
      </c>
      <c r="T129" s="17" t="s">
        <v>125</v>
      </c>
      <c r="U129" s="160" t="s">
        <v>744</v>
      </c>
      <c r="V129" s="17" t="s">
        <v>127</v>
      </c>
      <c r="W129" s="17" t="s">
        <v>127</v>
      </c>
      <c r="X129" s="17" t="s">
        <v>127</v>
      </c>
      <c r="Y129" s="58">
        <v>64860</v>
      </c>
      <c r="Z129" s="17">
        <v>270</v>
      </c>
      <c r="AA129" s="58">
        <f t="shared" si="129"/>
        <v>240.22222222222223</v>
      </c>
      <c r="AB129" s="21">
        <f t="shared" si="125"/>
        <v>90</v>
      </c>
      <c r="AC129" s="21">
        <f t="shared" si="126"/>
        <v>90</v>
      </c>
      <c r="AD129" s="21">
        <f t="shared" si="127"/>
        <v>90</v>
      </c>
      <c r="AE129" s="17" t="s">
        <v>588</v>
      </c>
      <c r="AF129" s="17" t="s">
        <v>129</v>
      </c>
      <c r="AG129" s="17"/>
      <c r="AI129" s="17" t="s">
        <v>130</v>
      </c>
      <c r="AJ129" s="21">
        <v>0</v>
      </c>
      <c r="AK129" s="58">
        <v>0</v>
      </c>
      <c r="AL129" s="21">
        <v>0</v>
      </c>
      <c r="AM129" s="58">
        <f t="shared" si="114"/>
        <v>0</v>
      </c>
      <c r="AN129" s="21">
        <v>0</v>
      </c>
      <c r="AO129" s="58">
        <f t="shared" si="115"/>
        <v>0</v>
      </c>
      <c r="AP129" s="21">
        <v>0</v>
      </c>
      <c r="AQ129" s="58">
        <f t="shared" si="116"/>
        <v>0</v>
      </c>
      <c r="AR129" s="21">
        <v>0</v>
      </c>
      <c r="AS129" s="58">
        <f t="shared" si="117"/>
        <v>0</v>
      </c>
      <c r="AT129" s="21">
        <v>0</v>
      </c>
      <c r="AU129" s="58">
        <f t="shared" si="118"/>
        <v>0</v>
      </c>
      <c r="AV129" s="21">
        <v>0</v>
      </c>
      <c r="AW129" s="58">
        <v>0</v>
      </c>
      <c r="AX129" s="31">
        <v>0</v>
      </c>
      <c r="AY129" s="58">
        <v>0</v>
      </c>
      <c r="AZ129" s="31">
        <v>0</v>
      </c>
      <c r="BA129" s="58">
        <v>0</v>
      </c>
      <c r="BB129" s="31">
        <v>0</v>
      </c>
      <c r="BC129" s="58">
        <v>0</v>
      </c>
      <c r="BD129" s="31">
        <v>0</v>
      </c>
      <c r="BE129" s="58">
        <v>0</v>
      </c>
      <c r="BF129" s="31">
        <f>Table1[[#This Row],[Students Per Fall]]</f>
        <v>90</v>
      </c>
      <c r="BG129" s="58">
        <f t="shared" si="120"/>
        <v>21620</v>
      </c>
      <c r="BH129" s="31">
        <f>IF(Table1[[#This Row],[Sustainability Check 1 (2017-2018) Status]]="Continued", Table1[[#This Row],[Students Per Spring]], 0)</f>
        <v>90</v>
      </c>
      <c r="BI129" s="58">
        <f t="shared" si="121"/>
        <v>21620</v>
      </c>
      <c r="BJ129" s="31">
        <f t="shared" si="122"/>
        <v>180</v>
      </c>
      <c r="BK129" s="58">
        <f t="shared" si="123"/>
        <v>43240</v>
      </c>
      <c r="BL129" s="58" t="s">
        <v>130</v>
      </c>
      <c r="BM129" s="31">
        <v>35</v>
      </c>
      <c r="BN129" s="31">
        <v>220</v>
      </c>
      <c r="BO129" s="31">
        <v>120</v>
      </c>
      <c r="BP129" s="31">
        <f t="shared" si="124"/>
        <v>375</v>
      </c>
      <c r="BQ129" s="58">
        <v>246.85</v>
      </c>
      <c r="BR129" s="58">
        <f>Table1[[#This Row],[Check 2 Students Total]]*Table1[[#This Row],[Summer 2018 Price Check]]</f>
        <v>92568.75</v>
      </c>
      <c r="BS129" s="31">
        <f>IF(Table1[[#This Row],[Sustainability Check 2 (2018-2019) Status]]="Continued", Table1[[#This Row],[Check 2 Students Summer]], 0)</f>
        <v>35</v>
      </c>
      <c r="BT129" s="58">
        <f>Table1[[#This Row],[Summer 2018 Price Check]]*BS129</f>
        <v>8639.75</v>
      </c>
      <c r="BU129" s="31">
        <f>IF(Table1[[#This Row],[Sustainability Check 2 (2018-2019) Status]]="Continued", Table1[[#This Row],[Check 2 Students Fall]], 0)</f>
        <v>220</v>
      </c>
      <c r="BV129" s="58">
        <f>Table1[[#This Row],[Summer 2018 Price Check]]*BU129</f>
        <v>54307</v>
      </c>
      <c r="BW129" s="21">
        <f>IF(Table1[[#This Row],[Sustainability Check 2 (2018-2019) Status]]="Continued", Table1[Check 2 Students Spring], 0)</f>
        <v>120</v>
      </c>
      <c r="BX129" s="58">
        <f>Table1[[#This Row],[Summer 2018 Price Check]]*Table1[[#This Row],[Spring 2019 Students]]</f>
        <v>29622</v>
      </c>
      <c r="BY129" s="31">
        <f t="shared" si="79"/>
        <v>375</v>
      </c>
      <c r="BZ129" s="58">
        <f t="shared" si="80"/>
        <v>92568.75</v>
      </c>
      <c r="CA129" s="58" t="s">
        <v>130</v>
      </c>
      <c r="CB129" s="21">
        <v>35</v>
      </c>
      <c r="CC129" s="21">
        <v>220</v>
      </c>
      <c r="CD129" s="21">
        <v>120</v>
      </c>
      <c r="CE129" s="21">
        <f t="shared" si="110"/>
        <v>375</v>
      </c>
      <c r="CF129" s="58">
        <v>240</v>
      </c>
      <c r="CG129" s="58">
        <f t="shared" si="81"/>
        <v>90000</v>
      </c>
      <c r="CH129" s="17" t="s">
        <v>588</v>
      </c>
      <c r="CI129" s="21">
        <f>IF(Table1[[#This Row],[Check 3 Status]]="Continued", Table1[[#This Row],[Check 3 Students Summer]], 0)</f>
        <v>35</v>
      </c>
      <c r="CJ129" s="58">
        <f>Table1[[#This Row],[Check 3 Per Student Savings]]*CI129</f>
        <v>8400</v>
      </c>
      <c r="CK129" s="21">
        <f>IF(Table1[[#This Row],[Check 3 Status]]="Continued", Table1[[#This Row],[Check 3 Students Fall]], 0)</f>
        <v>220</v>
      </c>
      <c r="CL129" s="58">
        <f>Table1[[#This Row],[Check 3 Per Student Savings]]*CK129</f>
        <v>52800</v>
      </c>
      <c r="CM129" s="21">
        <f>IF(Table1[[#This Row],[Check 3 Status]]="Continued", Table1[[#This Row],[Check 3 Students Spring]], 0)</f>
        <v>120</v>
      </c>
      <c r="CN129" s="58">
        <f>Table1[[#This Row],[Check 3 Per Student Savings]]*CM129</f>
        <v>28800</v>
      </c>
      <c r="CO129" s="21">
        <f t="shared" si="82"/>
        <v>375</v>
      </c>
      <c r="CP129" s="58">
        <f t="shared" si="83"/>
        <v>90000</v>
      </c>
      <c r="CQ129" s="58" t="s">
        <v>130</v>
      </c>
      <c r="CR129" s="21">
        <v>35</v>
      </c>
      <c r="CS129" s="21">
        <v>220</v>
      </c>
      <c r="CT129" s="21">
        <v>120</v>
      </c>
      <c r="CU129" s="21">
        <f t="shared" si="84"/>
        <v>375</v>
      </c>
      <c r="CV129" s="58">
        <v>240</v>
      </c>
      <c r="CW129" s="58">
        <f t="shared" si="85"/>
        <v>90000</v>
      </c>
      <c r="CX129" s="58"/>
      <c r="CY129" s="21">
        <f>IF(Table1[[#This Row],[Check 4 Status]]="Continued", Table1[[#This Row],[Check 4 Students Summer]], 0)</f>
        <v>35</v>
      </c>
      <c r="CZ129" s="58">
        <f>Table1[[#This Row],[Check 4 Per Student Savings]]*CY129</f>
        <v>8400</v>
      </c>
      <c r="DA129" s="21">
        <f>IF(Table1[[#This Row],[Check 4 Status]]="Continued", Table1[[#This Row],[Check 4 Students Fall]], 0)</f>
        <v>220</v>
      </c>
      <c r="DB129" s="58">
        <f>Table1[[#This Row],[Check 4 Per Student Savings]]*DA129</f>
        <v>52800</v>
      </c>
      <c r="DC129" s="21">
        <f>IF(Table1[[#This Row],[Check 4 Status]]="Continued", Table1[[#This Row],[Check 4 Students Spring]], 0)</f>
        <v>120</v>
      </c>
      <c r="DD129" s="58">
        <f>Table1[[#This Row],[Check 4 Per Student Savings]]*DC129</f>
        <v>28800</v>
      </c>
      <c r="DE129" s="58">
        <f t="shared" si="86"/>
        <v>375</v>
      </c>
      <c r="DF129" s="58">
        <f t="shared" si="87"/>
        <v>90000</v>
      </c>
      <c r="DG12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1305</v>
      </c>
      <c r="DH12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315808.75</v>
      </c>
      <c r="DI129" s="58">
        <f>Table1[[#This Row],[Grand Total Savings]]/Table1[[#This Row],[Total Award]]</f>
        <v>10.526958333333333</v>
      </c>
      <c r="DJ129" s="17"/>
      <c r="DK129" s="17"/>
      <c r="DL129" s="17"/>
      <c r="DM129" s="17"/>
      <c r="EC129" s="17"/>
      <c r="ED129" s="17"/>
      <c r="EE129" s="17"/>
      <c r="EF129" s="17"/>
    </row>
    <row r="130" spans="1:136" x14ac:dyDescent="0.25">
      <c r="A130" s="157">
        <v>255</v>
      </c>
      <c r="B130" s="17" t="s">
        <v>2011</v>
      </c>
      <c r="D130" s="97">
        <v>511604</v>
      </c>
      <c r="E130" s="158">
        <v>42796</v>
      </c>
      <c r="F130" s="165">
        <v>43109</v>
      </c>
      <c r="G130" s="159" t="s">
        <v>745</v>
      </c>
      <c r="H130" s="95" t="s">
        <v>8</v>
      </c>
      <c r="I130" s="226" t="s">
        <v>118</v>
      </c>
      <c r="J130" s="17" t="s">
        <v>172</v>
      </c>
      <c r="K130" s="107">
        <v>10800</v>
      </c>
      <c r="L130" s="107"/>
      <c r="M130" s="101" t="s">
        <v>746</v>
      </c>
      <c r="N130" s="101" t="s">
        <v>747</v>
      </c>
      <c r="O130" s="101" t="s">
        <v>748</v>
      </c>
      <c r="P130" s="101" t="s">
        <v>749</v>
      </c>
      <c r="Q130" s="101" t="s">
        <v>248</v>
      </c>
      <c r="R130" s="101" t="s">
        <v>129</v>
      </c>
      <c r="S130" s="160" t="s">
        <v>36</v>
      </c>
      <c r="T130" s="17" t="s">
        <v>129</v>
      </c>
      <c r="U130" s="160" t="s">
        <v>750</v>
      </c>
      <c r="V130" s="17" t="s">
        <v>150</v>
      </c>
      <c r="W130" s="17" t="s">
        <v>127</v>
      </c>
      <c r="X130" s="17" t="s">
        <v>127</v>
      </c>
      <c r="Y130" s="58">
        <v>262800</v>
      </c>
      <c r="Z130" s="31">
        <v>1440</v>
      </c>
      <c r="AA130" s="58">
        <f t="shared" si="129"/>
        <v>182.5</v>
      </c>
      <c r="AB130" s="21">
        <f t="shared" si="125"/>
        <v>480</v>
      </c>
      <c r="AC130" s="21">
        <f t="shared" si="126"/>
        <v>480</v>
      </c>
      <c r="AD130" s="21">
        <f t="shared" si="127"/>
        <v>480</v>
      </c>
      <c r="AE130" s="17" t="s">
        <v>588</v>
      </c>
      <c r="AF130" s="17" t="s">
        <v>129</v>
      </c>
      <c r="AG130" s="17"/>
      <c r="AI130" s="17" t="s">
        <v>130</v>
      </c>
      <c r="AJ130" s="21">
        <v>0</v>
      </c>
      <c r="AK130" s="58">
        <v>0</v>
      </c>
      <c r="AL130" s="21">
        <v>0</v>
      </c>
      <c r="AM130" s="58">
        <f t="shared" si="114"/>
        <v>0</v>
      </c>
      <c r="AN130" s="21">
        <v>0</v>
      </c>
      <c r="AO130" s="58">
        <f t="shared" si="115"/>
        <v>0</v>
      </c>
      <c r="AP130" s="21">
        <v>0</v>
      </c>
      <c r="AQ130" s="58">
        <f t="shared" si="116"/>
        <v>0</v>
      </c>
      <c r="AR130" s="21">
        <v>0</v>
      </c>
      <c r="AS130" s="58">
        <f t="shared" si="117"/>
        <v>0</v>
      </c>
      <c r="AT130" s="21">
        <v>0</v>
      </c>
      <c r="AU130" s="58">
        <f t="shared" si="118"/>
        <v>0</v>
      </c>
      <c r="AV130" s="21">
        <v>0</v>
      </c>
      <c r="AW130" s="58">
        <v>0</v>
      </c>
      <c r="AX130" s="31">
        <v>0</v>
      </c>
      <c r="AY130" s="58">
        <v>0</v>
      </c>
      <c r="AZ130" s="31">
        <v>0</v>
      </c>
      <c r="BA130" s="58">
        <v>0</v>
      </c>
      <c r="BB130" s="31">
        <v>0</v>
      </c>
      <c r="BC130" s="58">
        <v>0</v>
      </c>
      <c r="BD130" s="31">
        <v>0</v>
      </c>
      <c r="BE130" s="58">
        <v>0</v>
      </c>
      <c r="BF130" s="31">
        <f>Table1[[#This Row],[Students Per Fall]]</f>
        <v>480</v>
      </c>
      <c r="BG130" s="58">
        <f t="shared" si="120"/>
        <v>87600</v>
      </c>
      <c r="BH130" s="31">
        <f>IF(Table1[[#This Row],[Sustainability Check 1 (2017-2018) Status]]="Continued", Table1[[#This Row],[Students Per Spring]], 0)</f>
        <v>480</v>
      </c>
      <c r="BI130" s="58">
        <f t="shared" si="121"/>
        <v>87600</v>
      </c>
      <c r="BJ130" s="31">
        <f t="shared" si="122"/>
        <v>960</v>
      </c>
      <c r="BK130" s="58">
        <f t="shared" si="123"/>
        <v>175200</v>
      </c>
      <c r="BL130" s="58" t="s">
        <v>130</v>
      </c>
      <c r="BM130" s="31">
        <v>0</v>
      </c>
      <c r="BN130" s="31">
        <v>200</v>
      </c>
      <c r="BO130" s="31">
        <v>200</v>
      </c>
      <c r="BP130" s="31">
        <f t="shared" si="124"/>
        <v>400</v>
      </c>
      <c r="BQ130" s="58">
        <v>154.63</v>
      </c>
      <c r="BR130" s="58">
        <f>Table1[[#This Row],[Check 2 Students Total]]*Table1[[#This Row],[Summer 2018 Price Check]]</f>
        <v>61852</v>
      </c>
      <c r="BS130" s="31">
        <f>IF(Table1[[#This Row],[Sustainability Check 2 (2018-2019) Status]]="Continued", Table1[[#This Row],[Check 2 Students Summer]], 0)</f>
        <v>0</v>
      </c>
      <c r="BT130" s="58">
        <f>Table1[[#This Row],[Summer 2018 Price Check]]*BS130</f>
        <v>0</v>
      </c>
      <c r="BU130" s="31">
        <f>IF(Table1[[#This Row],[Sustainability Check 2 (2018-2019) Status]]="Continued", Table1[[#This Row],[Check 2 Students Fall]], 0)</f>
        <v>200</v>
      </c>
      <c r="BV130" s="58">
        <f>Table1[[#This Row],[Summer 2018 Price Check]]*BU130</f>
        <v>30926</v>
      </c>
      <c r="BW130" s="21">
        <f>IF(Table1[[#This Row],[Sustainability Check 2 (2018-2019) Status]]="Continued", Table1[Check 2 Students Spring], 0)</f>
        <v>200</v>
      </c>
      <c r="BX130" s="58">
        <f>Table1[[#This Row],[Summer 2018 Price Check]]*Table1[[#This Row],[Spring 2019 Students]]</f>
        <v>30926</v>
      </c>
      <c r="BY130" s="31">
        <f t="shared" ref="BY130:BY193" si="130">BS130+BU130+BW130</f>
        <v>400</v>
      </c>
      <c r="BZ130" s="58">
        <f t="shared" ref="BZ130:BZ193" si="131">BT130+BV130+BX130</f>
        <v>61852</v>
      </c>
      <c r="CA130" s="58" t="s">
        <v>130</v>
      </c>
      <c r="CB130" s="21">
        <v>20</v>
      </c>
      <c r="CC130" s="21">
        <v>100</v>
      </c>
      <c r="CD130" s="21">
        <v>100</v>
      </c>
      <c r="CE130" s="21">
        <f t="shared" ref="CE130:CE161" si="132">CB130+CC130+CD130</f>
        <v>220</v>
      </c>
      <c r="CF130" s="58">
        <v>75</v>
      </c>
      <c r="CG130" s="58">
        <f t="shared" ref="CG130:CG193" si="133">(CE130*CF130)</f>
        <v>16500</v>
      </c>
      <c r="CH130" s="17" t="s">
        <v>588</v>
      </c>
      <c r="CI130" s="21">
        <f>IF(Table1[[#This Row],[Check 3 Status]]="Continued", Table1[[#This Row],[Check 3 Students Summer]], 0)</f>
        <v>20</v>
      </c>
      <c r="CJ130" s="58">
        <f>Table1[[#This Row],[Check 3 Per Student Savings]]*CI130</f>
        <v>1500</v>
      </c>
      <c r="CK130" s="21">
        <f>IF(Table1[[#This Row],[Check 3 Status]]="Continued", Table1[[#This Row],[Check 3 Students Fall]], 0)</f>
        <v>100</v>
      </c>
      <c r="CL130" s="58">
        <f>Table1[[#This Row],[Check 3 Per Student Savings]]*CK130</f>
        <v>7500</v>
      </c>
      <c r="CM130" s="21">
        <f>IF(Table1[[#This Row],[Check 3 Status]]="Continued", Table1[[#This Row],[Check 3 Students Spring]], 0)</f>
        <v>100</v>
      </c>
      <c r="CN130" s="58">
        <f>Table1[[#This Row],[Check 3 Per Student Savings]]*CM130</f>
        <v>7500</v>
      </c>
      <c r="CO130" s="21">
        <f t="shared" ref="CO130:CO193" si="134">CI130+CK130+CM130</f>
        <v>220</v>
      </c>
      <c r="CP130" s="58">
        <f t="shared" ref="CP130:CP193" si="135">CJ130+CL130+CN130</f>
        <v>16500</v>
      </c>
      <c r="CQ130" s="58" t="s">
        <v>130</v>
      </c>
      <c r="CR130" s="21">
        <v>20</v>
      </c>
      <c r="CS130" s="21">
        <v>100</v>
      </c>
      <c r="CT130" s="21">
        <v>100</v>
      </c>
      <c r="CU130" s="21">
        <f t="shared" ref="CU130:CU193" si="136">CR130+CS130+CT130</f>
        <v>220</v>
      </c>
      <c r="CV130" s="58">
        <v>75</v>
      </c>
      <c r="CW130" s="58">
        <f t="shared" ref="CW130:CW193" si="137">CU130*CV130</f>
        <v>16500</v>
      </c>
      <c r="CX130" s="58"/>
      <c r="CY130" s="21">
        <f>IF(Table1[[#This Row],[Check 4 Status]]="Continued", Table1[[#This Row],[Check 4 Students Summer]], 0)</f>
        <v>20</v>
      </c>
      <c r="CZ130" s="58">
        <f>Table1[[#This Row],[Check 4 Per Student Savings]]*CY130</f>
        <v>1500</v>
      </c>
      <c r="DA130" s="21">
        <f>IF(Table1[[#This Row],[Check 4 Status]]="Continued", Table1[[#This Row],[Check 4 Students Fall]], 0)</f>
        <v>100</v>
      </c>
      <c r="DB130" s="58">
        <f>Table1[[#This Row],[Check 4 Per Student Savings]]*DA130</f>
        <v>7500</v>
      </c>
      <c r="DC130" s="21">
        <f>IF(Table1[[#This Row],[Check 4 Status]]="Continued", Table1[[#This Row],[Check 4 Students Spring]], 0)</f>
        <v>100</v>
      </c>
      <c r="DD130" s="58">
        <f>Table1[[#This Row],[Check 4 Per Student Savings]]*DC130</f>
        <v>7500</v>
      </c>
      <c r="DE130" s="58">
        <f t="shared" ref="DE130:DE193" si="138">CY130+DA130+DC130</f>
        <v>220</v>
      </c>
      <c r="DF130" s="58">
        <f t="shared" ref="DF130:DF193" si="139">CZ130+DB130+DD130</f>
        <v>16500</v>
      </c>
      <c r="DG13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1800</v>
      </c>
      <c r="DH13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270052</v>
      </c>
      <c r="DI130" s="58">
        <f>Table1[[#This Row],[Grand Total Savings]]/Table1[[#This Row],[Total Award]]</f>
        <v>25.004814814814814</v>
      </c>
      <c r="DJ130" s="17"/>
      <c r="DK130" s="17"/>
      <c r="DL130" s="17"/>
      <c r="DM130" s="17"/>
      <c r="EC130" s="17"/>
      <c r="ED130" s="17"/>
      <c r="EE130" s="17"/>
      <c r="EF130" s="17"/>
    </row>
    <row r="131" spans="1:136" x14ac:dyDescent="0.25">
      <c r="A131" s="157">
        <v>259</v>
      </c>
      <c r="B131" s="17" t="s">
        <v>2011</v>
      </c>
      <c r="D131" s="97">
        <v>511657</v>
      </c>
      <c r="E131" s="158">
        <v>42758</v>
      </c>
      <c r="F131" s="165">
        <v>43109</v>
      </c>
      <c r="G131" s="157" t="s">
        <v>745</v>
      </c>
      <c r="H131" s="95" t="s">
        <v>8</v>
      </c>
      <c r="I131" s="226" t="s">
        <v>118</v>
      </c>
      <c r="J131" s="17" t="s">
        <v>426</v>
      </c>
      <c r="K131" s="107">
        <v>29900</v>
      </c>
      <c r="L131" s="107"/>
      <c r="M131" s="101" t="s">
        <v>751</v>
      </c>
      <c r="N131" s="17" t="s">
        <v>752</v>
      </c>
      <c r="O131" s="101" t="s">
        <v>753</v>
      </c>
      <c r="P131" s="101" t="s">
        <v>754</v>
      </c>
      <c r="Q131" s="101" t="s">
        <v>304</v>
      </c>
      <c r="R131" s="101" t="s">
        <v>354</v>
      </c>
      <c r="S131" s="101" t="s">
        <v>129</v>
      </c>
      <c r="T131" s="17" t="s">
        <v>129</v>
      </c>
      <c r="U131" s="160" t="s">
        <v>755</v>
      </c>
      <c r="V131" s="17" t="s">
        <v>139</v>
      </c>
      <c r="W131" s="17" t="s">
        <v>127</v>
      </c>
      <c r="X131" s="17" t="s">
        <v>127</v>
      </c>
      <c r="Y131" s="58">
        <v>87941</v>
      </c>
      <c r="Z131" s="17">
        <v>576</v>
      </c>
      <c r="AA131" s="58">
        <f t="shared" si="129"/>
        <v>152.67534722222223</v>
      </c>
      <c r="AB131" s="21">
        <f t="shared" si="125"/>
        <v>192</v>
      </c>
      <c r="AC131" s="21">
        <f t="shared" si="126"/>
        <v>192</v>
      </c>
      <c r="AD131" s="21">
        <f t="shared" si="127"/>
        <v>192</v>
      </c>
      <c r="AE131" s="17" t="s">
        <v>588</v>
      </c>
      <c r="AF131" s="17" t="s">
        <v>129</v>
      </c>
      <c r="AG131" s="17"/>
      <c r="AI131" s="161" t="s">
        <v>142</v>
      </c>
      <c r="AJ131" s="21">
        <v>0</v>
      </c>
      <c r="AK131" s="58">
        <v>0</v>
      </c>
      <c r="AL131" s="21">
        <v>0</v>
      </c>
      <c r="AM131" s="58">
        <f t="shared" si="114"/>
        <v>0</v>
      </c>
      <c r="AN131" s="21">
        <v>0</v>
      </c>
      <c r="AO131" s="58">
        <f t="shared" si="115"/>
        <v>0</v>
      </c>
      <c r="AP131" s="21">
        <v>0</v>
      </c>
      <c r="AQ131" s="58">
        <f t="shared" si="116"/>
        <v>0</v>
      </c>
      <c r="AR131" s="21">
        <v>0</v>
      </c>
      <c r="AS131" s="58">
        <f t="shared" si="117"/>
        <v>0</v>
      </c>
      <c r="AT131" s="21">
        <v>0</v>
      </c>
      <c r="AU131" s="58">
        <f t="shared" si="118"/>
        <v>0</v>
      </c>
      <c r="AV131" s="21">
        <v>0</v>
      </c>
      <c r="AW131" s="58">
        <v>0</v>
      </c>
      <c r="AX131" s="31">
        <v>0</v>
      </c>
      <c r="AY131" s="58">
        <v>0</v>
      </c>
      <c r="AZ131" s="31">
        <v>0</v>
      </c>
      <c r="BA131" s="58">
        <v>0</v>
      </c>
      <c r="BB131" s="31">
        <v>0</v>
      </c>
      <c r="BC131" s="58">
        <v>0</v>
      </c>
      <c r="BD131" s="31">
        <v>0</v>
      </c>
      <c r="BE131" s="58">
        <v>0</v>
      </c>
      <c r="BF131" s="31">
        <f>Table1[[#This Row],[Students Per Fall]]</f>
        <v>192</v>
      </c>
      <c r="BG131" s="58">
        <f t="shared" si="120"/>
        <v>29313.666666666668</v>
      </c>
      <c r="BH131" s="31">
        <f>IF(Table1[[#This Row],[Sustainability Check 1 (2017-2018) Status]]="Continued", Table1[[#This Row],[Students Per Spring]], 0)</f>
        <v>0</v>
      </c>
      <c r="BI131" s="58">
        <f t="shared" si="121"/>
        <v>0</v>
      </c>
      <c r="BJ131" s="31">
        <f t="shared" si="122"/>
        <v>192</v>
      </c>
      <c r="BK131" s="58">
        <f t="shared" si="123"/>
        <v>29313.666666666668</v>
      </c>
      <c r="BL131" s="58" t="s">
        <v>142</v>
      </c>
      <c r="BM131" s="31">
        <v>0</v>
      </c>
      <c r="BN131" s="31">
        <v>0</v>
      </c>
      <c r="BO131" s="31">
        <v>0</v>
      </c>
      <c r="BP131" s="31">
        <f t="shared" si="124"/>
        <v>0</v>
      </c>
      <c r="BQ131" s="58">
        <v>153.85</v>
      </c>
      <c r="BR131" s="58">
        <f>Table1[[#This Row],[Check 2 Students Total]]*Table1[[#This Row],[Summer 2018 Price Check]]</f>
        <v>0</v>
      </c>
      <c r="BS131" s="31">
        <f>IF(Table1[[#This Row],[Sustainability Check 2 (2018-2019) Status]]="Continued", Table1[[#This Row],[Check 2 Students Summer]], 0)</f>
        <v>0</v>
      </c>
      <c r="BT131" s="58">
        <f>Table1[[#This Row],[Summer 2018 Price Check]]*BS131</f>
        <v>0</v>
      </c>
      <c r="BU131" s="31">
        <f>IF(Table1[[#This Row],[Sustainability Check 2 (2018-2019) Status]]="Continued", Table1[[#This Row],[Check 2 Students Fall]], 0)</f>
        <v>0</v>
      </c>
      <c r="BV131" s="58">
        <f>Table1[[#This Row],[Summer 2018 Price Check]]*BU131</f>
        <v>0</v>
      </c>
      <c r="BW131" s="21">
        <f>IF(Table1[[#This Row],[Sustainability Check 2 (2018-2019) Status]]="Continued", Table1[Check 2 Students Spring], 0)</f>
        <v>0</v>
      </c>
      <c r="BX131" s="58">
        <f>Table1[[#This Row],[Summer 2018 Price Check]]*Table1[[#This Row],[Spring 2019 Students]]</f>
        <v>0</v>
      </c>
      <c r="BY131" s="31">
        <f t="shared" si="130"/>
        <v>0</v>
      </c>
      <c r="BZ131" s="58">
        <f t="shared" si="131"/>
        <v>0</v>
      </c>
      <c r="CA131" s="58" t="s">
        <v>142</v>
      </c>
      <c r="CB131" s="21">
        <v>0</v>
      </c>
      <c r="CC131" s="21">
        <v>0</v>
      </c>
      <c r="CD131" s="21">
        <v>0</v>
      </c>
      <c r="CE131" s="21">
        <f t="shared" si="132"/>
        <v>0</v>
      </c>
      <c r="CF131" s="58"/>
      <c r="CG131" s="58">
        <f t="shared" si="133"/>
        <v>0</v>
      </c>
      <c r="CH131" s="17" t="s">
        <v>588</v>
      </c>
      <c r="CI131" s="21">
        <f>IF(Table1[[#This Row],[Check 3 Status]]="Continued", Table1[[#This Row],[Check 3 Students Summer]], 0)</f>
        <v>0</v>
      </c>
      <c r="CJ131" s="58">
        <f>Table1[[#This Row],[Check 3 Per Student Savings]]*CI131</f>
        <v>0</v>
      </c>
      <c r="CK131" s="21">
        <f>IF(Table1[[#This Row],[Check 3 Status]]="Continued", Table1[[#This Row],[Check 3 Students Fall]], 0)</f>
        <v>0</v>
      </c>
      <c r="CL131" s="58">
        <f>Table1[[#This Row],[Check 3 Per Student Savings]]*CK131</f>
        <v>0</v>
      </c>
      <c r="CM131" s="21">
        <f>IF(Table1[[#This Row],[Check 3 Status]]="Continued", Table1[[#This Row],[Check 3 Students Spring]], 0)</f>
        <v>0</v>
      </c>
      <c r="CN131" s="58">
        <f>Table1[[#This Row],[Check 3 Per Student Savings]]*CM131</f>
        <v>0</v>
      </c>
      <c r="CO131" s="21">
        <f t="shared" si="134"/>
        <v>0</v>
      </c>
      <c r="CP131" s="58">
        <f t="shared" si="135"/>
        <v>0</v>
      </c>
      <c r="CQ131" s="58" t="s">
        <v>142</v>
      </c>
      <c r="CR131" s="21">
        <v>0</v>
      </c>
      <c r="CS131" s="21">
        <v>0</v>
      </c>
      <c r="CT131" s="21">
        <v>0</v>
      </c>
      <c r="CU131" s="21">
        <f t="shared" si="136"/>
        <v>0</v>
      </c>
      <c r="CV131" s="58">
        <v>0</v>
      </c>
      <c r="CW131" s="58">
        <f t="shared" si="137"/>
        <v>0</v>
      </c>
      <c r="CX131" s="58"/>
      <c r="CY131" s="21">
        <f>IF(Table1[[#This Row],[Check 4 Status]]="Continued", Table1[[#This Row],[Check 4 Students Summer]], 0)</f>
        <v>0</v>
      </c>
      <c r="CZ131" s="58">
        <f>Table1[[#This Row],[Check 4 Per Student Savings]]*CY131</f>
        <v>0</v>
      </c>
      <c r="DA131" s="21">
        <f>IF(Table1[[#This Row],[Check 4 Status]]="Continued", Table1[[#This Row],[Check 4 Students Fall]], 0)</f>
        <v>0</v>
      </c>
      <c r="DB131" s="58">
        <f>Table1[[#This Row],[Check 4 Per Student Savings]]*DA131</f>
        <v>0</v>
      </c>
      <c r="DC131" s="21">
        <f>IF(Table1[[#This Row],[Check 4 Status]]="Continued", Table1[[#This Row],[Check 4 Students Spring]], 0)</f>
        <v>0</v>
      </c>
      <c r="DD131" s="58">
        <f>Table1[[#This Row],[Check 4 Per Student Savings]]*DC131</f>
        <v>0</v>
      </c>
      <c r="DE131" s="58">
        <f t="shared" si="138"/>
        <v>0</v>
      </c>
      <c r="DF131" s="58">
        <f t="shared" si="139"/>
        <v>0</v>
      </c>
      <c r="DG13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192</v>
      </c>
      <c r="DH13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29313.666666666668</v>
      </c>
      <c r="DI131" s="58">
        <f>Table1[[#This Row],[Grand Total Savings]]/Table1[[#This Row],[Total Award]]</f>
        <v>0.98039018952062429</v>
      </c>
      <c r="DJ131" s="17"/>
      <c r="DK131" s="17"/>
      <c r="DL131" s="17"/>
      <c r="DM131" s="17"/>
      <c r="EC131" s="17"/>
      <c r="ED131" s="17"/>
      <c r="EE131" s="17"/>
      <c r="EF131" s="17"/>
    </row>
    <row r="132" spans="1:136" x14ac:dyDescent="0.25">
      <c r="A132" s="157">
        <v>261</v>
      </c>
      <c r="B132" s="17" t="s">
        <v>2011</v>
      </c>
      <c r="D132" s="97">
        <v>511664</v>
      </c>
      <c r="E132" s="158">
        <v>42709</v>
      </c>
      <c r="F132" s="165">
        <v>43109</v>
      </c>
      <c r="G132" s="159" t="s">
        <v>745</v>
      </c>
      <c r="H132" s="95" t="s">
        <v>8</v>
      </c>
      <c r="I132" s="226" t="s">
        <v>118</v>
      </c>
      <c r="J132" s="17" t="s">
        <v>210</v>
      </c>
      <c r="K132" s="107">
        <v>21400</v>
      </c>
      <c r="L132" s="107"/>
      <c r="M132" s="101" t="s">
        <v>756</v>
      </c>
      <c r="N132" s="17" t="s">
        <v>757</v>
      </c>
      <c r="O132" s="101" t="s">
        <v>352</v>
      </c>
      <c r="P132" s="101" t="s">
        <v>353</v>
      </c>
      <c r="Q132" s="101" t="s">
        <v>304</v>
      </c>
      <c r="R132" s="101" t="s">
        <v>354</v>
      </c>
      <c r="S132" s="101" t="s">
        <v>129</v>
      </c>
      <c r="T132" s="17" t="s">
        <v>125</v>
      </c>
      <c r="U132" s="160" t="s">
        <v>355</v>
      </c>
      <c r="V132" s="17" t="s">
        <v>150</v>
      </c>
      <c r="W132" s="17" t="s">
        <v>127</v>
      </c>
      <c r="X132" s="17" t="s">
        <v>139</v>
      </c>
      <c r="Y132" s="58">
        <v>110000</v>
      </c>
      <c r="Z132" s="17">
        <v>960</v>
      </c>
      <c r="AA132" s="58">
        <f t="shared" si="129"/>
        <v>114.58333333333333</v>
      </c>
      <c r="AB132" s="21">
        <f t="shared" si="125"/>
        <v>320</v>
      </c>
      <c r="AC132" s="21">
        <f t="shared" si="126"/>
        <v>320</v>
      </c>
      <c r="AD132" s="21">
        <f t="shared" si="127"/>
        <v>320</v>
      </c>
      <c r="AE132" s="17" t="s">
        <v>588</v>
      </c>
      <c r="AF132" s="17" t="s">
        <v>129</v>
      </c>
      <c r="AG132" s="17"/>
      <c r="AI132" s="17" t="s">
        <v>130</v>
      </c>
      <c r="AJ132" s="21">
        <v>0</v>
      </c>
      <c r="AK132" s="58">
        <v>0</v>
      </c>
      <c r="AL132" s="21">
        <v>0</v>
      </c>
      <c r="AM132" s="58">
        <f t="shared" si="114"/>
        <v>0</v>
      </c>
      <c r="AN132" s="21">
        <v>0</v>
      </c>
      <c r="AO132" s="58">
        <f t="shared" si="115"/>
        <v>0</v>
      </c>
      <c r="AP132" s="21">
        <v>0</v>
      </c>
      <c r="AQ132" s="58">
        <f t="shared" si="116"/>
        <v>0</v>
      </c>
      <c r="AR132" s="21">
        <v>0</v>
      </c>
      <c r="AS132" s="58">
        <f t="shared" si="117"/>
        <v>0</v>
      </c>
      <c r="AT132" s="21">
        <v>0</v>
      </c>
      <c r="AU132" s="58">
        <f t="shared" si="118"/>
        <v>0</v>
      </c>
      <c r="AV132" s="21">
        <v>0</v>
      </c>
      <c r="AW132" s="58">
        <v>0</v>
      </c>
      <c r="AX132" s="31">
        <v>0</v>
      </c>
      <c r="AY132" s="58">
        <v>0</v>
      </c>
      <c r="AZ132" s="31">
        <v>0</v>
      </c>
      <c r="BA132" s="58">
        <v>0</v>
      </c>
      <c r="BB132" s="31">
        <v>0</v>
      </c>
      <c r="BC132" s="58">
        <v>0</v>
      </c>
      <c r="BD132" s="31">
        <v>0</v>
      </c>
      <c r="BE132" s="58">
        <v>0</v>
      </c>
      <c r="BF132" s="31">
        <f>Table1[[#This Row],[Students Per Fall]]</f>
        <v>320</v>
      </c>
      <c r="BG132" s="58">
        <f t="shared" si="120"/>
        <v>36666.666666666664</v>
      </c>
      <c r="BH132" s="31">
        <f>IF(Table1[[#This Row],[Sustainability Check 1 (2017-2018) Status]]="Continued", Table1[[#This Row],[Students Per Spring]], 0)</f>
        <v>320</v>
      </c>
      <c r="BI132" s="58">
        <f t="shared" si="121"/>
        <v>36666.666666666664</v>
      </c>
      <c r="BJ132" s="31">
        <f t="shared" si="122"/>
        <v>640</v>
      </c>
      <c r="BK132" s="58">
        <f t="shared" si="123"/>
        <v>73333.333333333328</v>
      </c>
      <c r="BL132" s="58" t="s">
        <v>130</v>
      </c>
      <c r="BM132" s="31">
        <v>48</v>
      </c>
      <c r="BN132" s="31">
        <v>300</v>
      </c>
      <c r="BO132" s="31">
        <v>300</v>
      </c>
      <c r="BP132" s="31">
        <f t="shared" si="124"/>
        <v>648</v>
      </c>
      <c r="BQ132" s="58">
        <v>256.27999999999997</v>
      </c>
      <c r="BR132" s="58">
        <f>Table1[[#This Row],[Check 2 Students Total]]*Table1[[#This Row],[Summer 2018 Price Check]]</f>
        <v>166069.43999999997</v>
      </c>
      <c r="BS132" s="31">
        <f>IF(Table1[[#This Row],[Sustainability Check 2 (2018-2019) Status]]="Continued", Table1[[#This Row],[Check 2 Students Summer]], 0)</f>
        <v>48</v>
      </c>
      <c r="BT132" s="58">
        <f>Table1[[#This Row],[Summer 2018 Price Check]]*BS132</f>
        <v>12301.439999999999</v>
      </c>
      <c r="BU132" s="31">
        <f>IF(Table1[[#This Row],[Sustainability Check 2 (2018-2019) Status]]="Continued", Table1[[#This Row],[Check 2 Students Fall]], 0)</f>
        <v>300</v>
      </c>
      <c r="BV132" s="58">
        <f>Table1[[#This Row],[Summer 2018 Price Check]]*BU132</f>
        <v>76883.999999999985</v>
      </c>
      <c r="BW132" s="21">
        <f>IF(Table1[[#This Row],[Sustainability Check 2 (2018-2019) Status]]="Continued", Table1[Check 2 Students Spring], 0)</f>
        <v>300</v>
      </c>
      <c r="BX132" s="58">
        <f>Table1[[#This Row],[Summer 2018 Price Check]]*Table1[[#This Row],[Spring 2019 Students]]</f>
        <v>76883.999999999985</v>
      </c>
      <c r="BY132" s="31">
        <f t="shared" si="130"/>
        <v>648</v>
      </c>
      <c r="BZ132" s="58">
        <f t="shared" si="131"/>
        <v>166069.43999999997</v>
      </c>
      <c r="CA132" s="58" t="s">
        <v>130</v>
      </c>
      <c r="CB132" s="21">
        <v>48</v>
      </c>
      <c r="CC132" s="21">
        <v>260</v>
      </c>
      <c r="CD132" s="21">
        <v>0</v>
      </c>
      <c r="CE132" s="21">
        <f t="shared" si="132"/>
        <v>308</v>
      </c>
      <c r="CF132" s="58">
        <v>198</v>
      </c>
      <c r="CG132" s="58">
        <f t="shared" si="133"/>
        <v>60984</v>
      </c>
      <c r="CH132" s="17" t="s">
        <v>588</v>
      </c>
      <c r="CI132" s="21">
        <f>IF(Table1[[#This Row],[Check 3 Status]]="Continued", Table1[[#This Row],[Check 3 Students Summer]], 0)</f>
        <v>48</v>
      </c>
      <c r="CJ132" s="58">
        <f>Table1[[#This Row],[Check 3 Per Student Savings]]*CI132</f>
        <v>9504</v>
      </c>
      <c r="CK132" s="21">
        <f>IF(Table1[[#This Row],[Check 3 Status]]="Continued", Table1[[#This Row],[Check 3 Students Fall]], 0)</f>
        <v>260</v>
      </c>
      <c r="CL132" s="58">
        <f>Table1[[#This Row],[Check 3 Per Student Savings]]*CK132</f>
        <v>51480</v>
      </c>
      <c r="CM132" s="21">
        <f>IF(Table1[[#This Row],[Check 3 Status]]="Continued", Table1[[#This Row],[Check 3 Students Spring]], 0)</f>
        <v>0</v>
      </c>
      <c r="CN132" s="58">
        <f>Table1[[#This Row],[Check 3 Per Student Savings]]*CM132</f>
        <v>0</v>
      </c>
      <c r="CO132" s="21">
        <f t="shared" si="134"/>
        <v>308</v>
      </c>
      <c r="CP132" s="58">
        <f t="shared" si="135"/>
        <v>60984</v>
      </c>
      <c r="CQ132" s="58" t="s">
        <v>142</v>
      </c>
      <c r="CR132" s="21">
        <v>48</v>
      </c>
      <c r="CS132" s="21">
        <v>260</v>
      </c>
      <c r="CT132" s="21">
        <v>0</v>
      </c>
      <c r="CU132" s="21">
        <v>0</v>
      </c>
      <c r="CV132" s="58">
        <v>0</v>
      </c>
      <c r="CW132" s="58">
        <f t="shared" si="137"/>
        <v>0</v>
      </c>
      <c r="CX132" s="58"/>
      <c r="CY132" s="21">
        <f>IF(Table1[[#This Row],[Check 4 Status]]="Continued", Table1[[#This Row],[Check 4 Students Summer]], 0)</f>
        <v>0</v>
      </c>
      <c r="CZ132" s="58">
        <f>Table1[[#This Row],[Check 4 Per Student Savings]]*CY132</f>
        <v>0</v>
      </c>
      <c r="DA132" s="21">
        <f>IF(Table1[[#This Row],[Check 4 Status]]="Continued", Table1[[#This Row],[Check 4 Students Fall]], 0)</f>
        <v>0</v>
      </c>
      <c r="DB132" s="58">
        <f>Table1[[#This Row],[Check 4 Per Student Savings]]*DA132</f>
        <v>0</v>
      </c>
      <c r="DC132" s="21">
        <f>IF(Table1[[#This Row],[Check 4 Status]]="Continued", Table1[[#This Row],[Check 4 Students Spring]], 0)</f>
        <v>0</v>
      </c>
      <c r="DD132" s="58">
        <f>Table1[[#This Row],[Check 4 Per Student Savings]]*DC132</f>
        <v>0</v>
      </c>
      <c r="DE132" s="58">
        <f t="shared" si="138"/>
        <v>0</v>
      </c>
      <c r="DF132" s="58">
        <f t="shared" si="139"/>
        <v>0</v>
      </c>
      <c r="DG13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1596</v>
      </c>
      <c r="DH13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300386.77333333332</v>
      </c>
      <c r="DI132" s="58">
        <f>Table1[[#This Row],[Grand Total Savings]]/Table1[[#This Row],[Total Award]]</f>
        <v>14.036765109034267</v>
      </c>
      <c r="DJ132" s="17"/>
      <c r="DK132" s="17"/>
      <c r="DL132" s="17"/>
      <c r="DM132" s="17"/>
      <c r="EC132" s="17"/>
      <c r="ED132" s="17"/>
      <c r="EE132" s="17"/>
      <c r="EF132" s="17"/>
    </row>
    <row r="133" spans="1:136" x14ac:dyDescent="0.25">
      <c r="A133" s="157">
        <v>264</v>
      </c>
      <c r="B133" s="17" t="s">
        <v>2011</v>
      </c>
      <c r="D133" s="97">
        <v>511602</v>
      </c>
      <c r="E133" s="158">
        <v>42741</v>
      </c>
      <c r="F133" s="165">
        <v>43109</v>
      </c>
      <c r="G133" s="159" t="s">
        <v>745</v>
      </c>
      <c r="H133" s="95" t="s">
        <v>8</v>
      </c>
      <c r="I133" s="226" t="s">
        <v>118</v>
      </c>
      <c r="J133" s="17" t="s">
        <v>236</v>
      </c>
      <c r="K133" s="107">
        <v>21400</v>
      </c>
      <c r="L133" s="107"/>
      <c r="M133" s="101" t="s">
        <v>758</v>
      </c>
      <c r="N133" s="101" t="s">
        <v>759</v>
      </c>
      <c r="O133" s="101" t="s">
        <v>760</v>
      </c>
      <c r="P133" s="101" t="s">
        <v>761</v>
      </c>
      <c r="Q133" s="101" t="s">
        <v>148</v>
      </c>
      <c r="R133" s="101" t="s">
        <v>743</v>
      </c>
      <c r="S133" s="101" t="s">
        <v>129</v>
      </c>
      <c r="T133" s="17" t="s">
        <v>129</v>
      </c>
      <c r="U133" s="160" t="s">
        <v>762</v>
      </c>
      <c r="V133" s="17" t="s">
        <v>150</v>
      </c>
      <c r="W133" s="17" t="s">
        <v>127</v>
      </c>
      <c r="X133" s="17" t="s">
        <v>127</v>
      </c>
      <c r="Y133" s="58">
        <v>167880</v>
      </c>
      <c r="Z133" s="17">
        <v>600</v>
      </c>
      <c r="AA133" s="58">
        <f t="shared" si="129"/>
        <v>279.8</v>
      </c>
      <c r="AB133" s="21">
        <f t="shared" si="125"/>
        <v>200</v>
      </c>
      <c r="AC133" s="21">
        <f t="shared" si="126"/>
        <v>200</v>
      </c>
      <c r="AD133" s="21">
        <f t="shared" si="127"/>
        <v>200</v>
      </c>
      <c r="AE133" s="17" t="s">
        <v>635</v>
      </c>
      <c r="AF133" s="17" t="s">
        <v>129</v>
      </c>
      <c r="AG133" s="17"/>
      <c r="AI133" s="17" t="s">
        <v>130</v>
      </c>
      <c r="AJ133" s="21">
        <v>0</v>
      </c>
      <c r="AK133" s="58">
        <v>0</v>
      </c>
      <c r="AL133" s="21">
        <v>0</v>
      </c>
      <c r="AM133" s="58">
        <f t="shared" si="114"/>
        <v>0</v>
      </c>
      <c r="AN133" s="21">
        <v>0</v>
      </c>
      <c r="AO133" s="58">
        <f t="shared" si="115"/>
        <v>0</v>
      </c>
      <c r="AP133" s="21">
        <v>0</v>
      </c>
      <c r="AQ133" s="58">
        <f t="shared" si="116"/>
        <v>0</v>
      </c>
      <c r="AR133" s="21">
        <v>0</v>
      </c>
      <c r="AS133" s="58">
        <f t="shared" si="117"/>
        <v>0</v>
      </c>
      <c r="AT133" s="21">
        <v>0</v>
      </c>
      <c r="AU133" s="58">
        <f t="shared" si="118"/>
        <v>0</v>
      </c>
      <c r="AV133" s="21">
        <v>0</v>
      </c>
      <c r="AW133" s="58">
        <v>0</v>
      </c>
      <c r="AX133" s="31">
        <v>0</v>
      </c>
      <c r="AY133" s="58">
        <v>0</v>
      </c>
      <c r="AZ133" s="31">
        <f>Table1[[#This Row],[Students Per Spring]]</f>
        <v>200</v>
      </c>
      <c r="BA133" s="58">
        <f>$AA133*AZ133</f>
        <v>55960</v>
      </c>
      <c r="BB133" s="31">
        <f>AV133+AX133+AZ133</f>
        <v>200</v>
      </c>
      <c r="BC133" s="58">
        <f>AW133+AY133+BA133</f>
        <v>55960</v>
      </c>
      <c r="BD133" s="31">
        <f>IF(Table1[[#This Row],[Sustainability Check 1 (2017-2018) Status]]="Continued", Table1[[#This Row],[Students Per Summer]], 0)</f>
        <v>200</v>
      </c>
      <c r="BE133" s="58">
        <f>$AA133*BD133</f>
        <v>55960</v>
      </c>
      <c r="BF133" s="31">
        <f>IF(Table1[[#This Row],[Sustainability Check 1 (2017-2018) Status]]="Continued", Table1[[#This Row],[Students Per Fall]], 0)</f>
        <v>200</v>
      </c>
      <c r="BG133" s="58">
        <f t="shared" si="120"/>
        <v>55960</v>
      </c>
      <c r="BH133" s="31">
        <f>IF(Table1[[#This Row],[Sustainability Check 1 (2017-2018) Status]]="Continued", Table1[[#This Row],[Students Per Spring]], 0)</f>
        <v>200</v>
      </c>
      <c r="BI133" s="58">
        <f t="shared" si="121"/>
        <v>55960</v>
      </c>
      <c r="BJ133" s="31">
        <f t="shared" si="122"/>
        <v>600</v>
      </c>
      <c r="BK133" s="58">
        <f t="shared" si="123"/>
        <v>167880</v>
      </c>
      <c r="BL133" s="58" t="s">
        <v>142</v>
      </c>
      <c r="BM133" s="31">
        <v>0</v>
      </c>
      <c r="BN133" s="31">
        <v>0</v>
      </c>
      <c r="BO133" s="31">
        <v>0</v>
      </c>
      <c r="BP133" s="31">
        <f t="shared" si="124"/>
        <v>0</v>
      </c>
      <c r="BQ133" s="58">
        <v>278.92</v>
      </c>
      <c r="BR133" s="58">
        <f>Table1[[#This Row],[Check 2 Students Total]]*Table1[[#This Row],[Summer 2018 Price Check]]</f>
        <v>0</v>
      </c>
      <c r="BS133" s="31">
        <f>IF(Table1[[#This Row],[Sustainability Check 2 (2018-2019) Status]]="Continued", Table1[[#This Row],[Check 2 Students Summer]], 0)</f>
        <v>0</v>
      </c>
      <c r="BT133" s="58">
        <f>Table1[[#This Row],[Summer 2018 Price Check]]*BS133</f>
        <v>0</v>
      </c>
      <c r="BU133" s="31">
        <f>IF(Table1[[#This Row],[Sustainability Check 2 (2018-2019) Status]]="Continued", Table1[[#This Row],[Check 2 Students Fall]], 0)</f>
        <v>0</v>
      </c>
      <c r="BV133" s="58">
        <f>Table1[[#This Row],[Summer 2018 Price Check]]*BU133</f>
        <v>0</v>
      </c>
      <c r="BW133" s="21">
        <f>IF(Table1[[#This Row],[Sustainability Check 2 (2018-2019) Status]]="Continued", Table1[Check 2 Students Spring], 0)</f>
        <v>0</v>
      </c>
      <c r="BX133" s="58">
        <f>Table1[[#This Row],[Summer 2018 Price Check]]*Table1[[#This Row],[Spring 2019 Students]]</f>
        <v>0</v>
      </c>
      <c r="BY133" s="31">
        <f t="shared" si="130"/>
        <v>0</v>
      </c>
      <c r="BZ133" s="58">
        <f t="shared" si="131"/>
        <v>0</v>
      </c>
      <c r="CA133" s="58" t="s">
        <v>142</v>
      </c>
      <c r="CB133" s="21">
        <v>0</v>
      </c>
      <c r="CC133" s="21">
        <v>0</v>
      </c>
      <c r="CD133" s="21">
        <v>0</v>
      </c>
      <c r="CE133" s="21">
        <f t="shared" si="132"/>
        <v>0</v>
      </c>
      <c r="CF133" s="58">
        <v>0</v>
      </c>
      <c r="CG133" s="58">
        <f t="shared" si="133"/>
        <v>0</v>
      </c>
      <c r="CH133" s="17" t="s">
        <v>635</v>
      </c>
      <c r="CI133" s="21">
        <f>IF(Table1[[#This Row],[Check 3 Status]]="Continued", Table1[[#This Row],[Check 3 Students Summer]], 0)</f>
        <v>0</v>
      </c>
      <c r="CJ133" s="58">
        <f>Table1[[#This Row],[Check 3 Per Student Savings]]*CI133</f>
        <v>0</v>
      </c>
      <c r="CK133" s="21">
        <f>IF(Table1[[#This Row],[Check 3 Status]]="Continued", Table1[[#This Row],[Check 3 Students Fall]], 0)</f>
        <v>0</v>
      </c>
      <c r="CL133" s="58">
        <f>Table1[[#This Row],[Check 3 Per Student Savings]]*CK133</f>
        <v>0</v>
      </c>
      <c r="CM133" s="21">
        <f>IF(Table1[[#This Row],[Check 3 Status]]="Continued", Table1[[#This Row],[Check 3 Students Spring]], 0)</f>
        <v>0</v>
      </c>
      <c r="CN133" s="58">
        <f>Table1[[#This Row],[Check 3 Per Student Savings]]*CM133</f>
        <v>0</v>
      </c>
      <c r="CO133" s="21">
        <f t="shared" si="134"/>
        <v>0</v>
      </c>
      <c r="CP133" s="58">
        <f t="shared" si="135"/>
        <v>0</v>
      </c>
      <c r="CQ133" s="58" t="s">
        <v>142</v>
      </c>
      <c r="CR133" s="21">
        <v>0</v>
      </c>
      <c r="CS133" s="21">
        <v>0</v>
      </c>
      <c r="CT133" s="21">
        <v>0</v>
      </c>
      <c r="CU133" s="21">
        <f t="shared" si="136"/>
        <v>0</v>
      </c>
      <c r="CV133" s="58">
        <v>0</v>
      </c>
      <c r="CW133" s="58">
        <f t="shared" si="137"/>
        <v>0</v>
      </c>
      <c r="CX133" s="58"/>
      <c r="CY133" s="21">
        <f>IF(Table1[[#This Row],[Check 4 Status]]="Continued", Table1[[#This Row],[Check 4 Students Summer]], 0)</f>
        <v>0</v>
      </c>
      <c r="CZ133" s="58">
        <f>Table1[[#This Row],[Check 4 Per Student Savings]]*CY133</f>
        <v>0</v>
      </c>
      <c r="DA133" s="21">
        <f>IF(Table1[[#This Row],[Check 4 Status]]="Continued", Table1[[#This Row],[Check 4 Students Fall]], 0)</f>
        <v>0</v>
      </c>
      <c r="DB133" s="58">
        <f>Table1[[#This Row],[Check 4 Per Student Savings]]*DA133</f>
        <v>0</v>
      </c>
      <c r="DC133" s="21">
        <f>IF(Table1[[#This Row],[Check 4 Status]]="Continued", Table1[[#This Row],[Check 4 Students Spring]], 0)</f>
        <v>0</v>
      </c>
      <c r="DD133" s="58">
        <f>Table1[[#This Row],[Check 4 Per Student Savings]]*DC133</f>
        <v>0</v>
      </c>
      <c r="DE133" s="58">
        <f t="shared" si="138"/>
        <v>0</v>
      </c>
      <c r="DF133" s="58">
        <f t="shared" si="139"/>
        <v>0</v>
      </c>
      <c r="DG13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800</v>
      </c>
      <c r="DH13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223840</v>
      </c>
      <c r="DI133" s="58">
        <f>Table1[[#This Row],[Grand Total Savings]]/Table1[[#This Row],[Total Award]]</f>
        <v>10.459813084112149</v>
      </c>
      <c r="DJ133" s="17"/>
      <c r="DK133" s="17"/>
      <c r="DL133" s="17"/>
      <c r="DM133" s="17"/>
      <c r="EC133" s="17"/>
      <c r="ED133" s="17"/>
      <c r="EE133" s="17"/>
      <c r="EF133" s="17"/>
    </row>
    <row r="134" spans="1:136" x14ac:dyDescent="0.25">
      <c r="A134" s="157">
        <v>268</v>
      </c>
      <c r="B134" s="17" t="s">
        <v>2011</v>
      </c>
      <c r="D134" s="97">
        <v>511758</v>
      </c>
      <c r="E134" s="158">
        <v>42741</v>
      </c>
      <c r="F134" s="165">
        <v>43109</v>
      </c>
      <c r="G134" s="159" t="s">
        <v>745</v>
      </c>
      <c r="H134" s="95" t="s">
        <v>8</v>
      </c>
      <c r="I134" s="226" t="s">
        <v>118</v>
      </c>
      <c r="J134" s="17" t="s">
        <v>276</v>
      </c>
      <c r="K134" s="107">
        <v>30000</v>
      </c>
      <c r="L134" s="107"/>
      <c r="M134" s="101" t="s">
        <v>763</v>
      </c>
      <c r="N134" s="160" t="s">
        <v>764</v>
      </c>
      <c r="O134" s="101" t="s">
        <v>765</v>
      </c>
      <c r="P134" s="101" t="s">
        <v>766</v>
      </c>
      <c r="Q134" s="101" t="s">
        <v>641</v>
      </c>
      <c r="R134" s="101" t="s">
        <v>129</v>
      </c>
      <c r="S134" s="160" t="s">
        <v>36</v>
      </c>
      <c r="T134" s="17" t="s">
        <v>129</v>
      </c>
      <c r="U134" s="101" t="s">
        <v>287</v>
      </c>
      <c r="V134" s="17" t="s">
        <v>150</v>
      </c>
      <c r="W134" s="17" t="s">
        <v>127</v>
      </c>
      <c r="X134" s="17" t="s">
        <v>127</v>
      </c>
      <c r="Y134" s="58">
        <v>215973</v>
      </c>
      <c r="Z134" s="31">
        <v>1452</v>
      </c>
      <c r="AA134" s="58">
        <f t="shared" si="129"/>
        <v>148.7417355371901</v>
      </c>
      <c r="AB134" s="21">
        <f t="shared" si="125"/>
        <v>484</v>
      </c>
      <c r="AC134" s="21">
        <f t="shared" si="126"/>
        <v>484</v>
      </c>
      <c r="AD134" s="21">
        <f t="shared" si="127"/>
        <v>484</v>
      </c>
      <c r="AE134" s="17" t="s">
        <v>588</v>
      </c>
      <c r="AF134" s="17" t="s">
        <v>129</v>
      </c>
      <c r="AG134" s="17"/>
      <c r="AI134" s="17" t="s">
        <v>130</v>
      </c>
      <c r="AJ134" s="21">
        <v>0</v>
      </c>
      <c r="AK134" s="58">
        <v>0</v>
      </c>
      <c r="AL134" s="21">
        <v>0</v>
      </c>
      <c r="AM134" s="58">
        <f t="shared" si="114"/>
        <v>0</v>
      </c>
      <c r="AN134" s="21">
        <v>0</v>
      </c>
      <c r="AO134" s="58">
        <f t="shared" si="115"/>
        <v>0</v>
      </c>
      <c r="AP134" s="21">
        <v>0</v>
      </c>
      <c r="AQ134" s="58">
        <f t="shared" si="116"/>
        <v>0</v>
      </c>
      <c r="AR134" s="21">
        <v>0</v>
      </c>
      <c r="AS134" s="58">
        <f t="shared" si="117"/>
        <v>0</v>
      </c>
      <c r="AT134" s="21">
        <v>0</v>
      </c>
      <c r="AU134" s="58">
        <f t="shared" si="118"/>
        <v>0</v>
      </c>
      <c r="AV134" s="21">
        <v>0</v>
      </c>
      <c r="AW134" s="58">
        <v>0</v>
      </c>
      <c r="AX134" s="31">
        <v>0</v>
      </c>
      <c r="AY134" s="58">
        <v>0</v>
      </c>
      <c r="AZ134" s="31">
        <v>0</v>
      </c>
      <c r="BA134" s="58">
        <v>0</v>
      </c>
      <c r="BB134" s="31">
        <v>0</v>
      </c>
      <c r="BC134" s="58">
        <v>0</v>
      </c>
      <c r="BD134" s="31">
        <v>0</v>
      </c>
      <c r="BE134" s="58">
        <v>0</v>
      </c>
      <c r="BF134" s="31">
        <f>Table1[[#This Row],[Students Per Fall]]</f>
        <v>484</v>
      </c>
      <c r="BG134" s="58">
        <f t="shared" si="120"/>
        <v>71991</v>
      </c>
      <c r="BH134" s="31">
        <f>IF(Table1[[#This Row],[Sustainability Check 1 (2017-2018) Status]]="Continued", Table1[[#This Row],[Students Per Spring]], 0)</f>
        <v>484</v>
      </c>
      <c r="BI134" s="58">
        <f t="shared" si="121"/>
        <v>71991</v>
      </c>
      <c r="BJ134" s="31">
        <f t="shared" si="122"/>
        <v>968</v>
      </c>
      <c r="BK134" s="58">
        <f t="shared" si="123"/>
        <v>143982</v>
      </c>
      <c r="BL134" s="58" t="s">
        <v>130</v>
      </c>
      <c r="BM134" s="31">
        <v>400</v>
      </c>
      <c r="BN134" s="31">
        <v>900</v>
      </c>
      <c r="BO134" s="31">
        <v>900</v>
      </c>
      <c r="BP134" s="31">
        <f t="shared" si="124"/>
        <v>2200</v>
      </c>
      <c r="BQ134" s="58">
        <v>121.99</v>
      </c>
      <c r="BR134" s="58">
        <f>Table1[[#This Row],[Check 2 Students Total]]*Table1[[#This Row],[Summer 2018 Price Check]]</f>
        <v>268378</v>
      </c>
      <c r="BS134" s="31">
        <f>IF(Table1[[#This Row],[Sustainability Check 2 (2018-2019) Status]]="Continued", Table1[[#This Row],[Check 2 Students Summer]], 0)</f>
        <v>400</v>
      </c>
      <c r="BT134" s="58">
        <f>Table1[[#This Row],[Summer 2018 Price Check]]*BS134</f>
        <v>48796</v>
      </c>
      <c r="BU134" s="31">
        <f>IF(Table1[[#This Row],[Sustainability Check 2 (2018-2019) Status]]="Continued", Table1[[#This Row],[Check 2 Students Fall]], 0)</f>
        <v>900</v>
      </c>
      <c r="BV134" s="58">
        <f>Table1[[#This Row],[Summer 2018 Price Check]]*BU134</f>
        <v>109791</v>
      </c>
      <c r="BW134" s="21">
        <f>IF(Table1[[#This Row],[Sustainability Check 2 (2018-2019) Status]]="Continued", Table1[Check 2 Students Spring], 0)</f>
        <v>900</v>
      </c>
      <c r="BX134" s="58">
        <f>Table1[[#This Row],[Summer 2018 Price Check]]*Table1[[#This Row],[Spring 2019 Students]]</f>
        <v>109791</v>
      </c>
      <c r="BY134" s="31">
        <f t="shared" si="130"/>
        <v>2200</v>
      </c>
      <c r="BZ134" s="58">
        <f t="shared" si="131"/>
        <v>268378</v>
      </c>
      <c r="CA134" s="58" t="s">
        <v>130</v>
      </c>
      <c r="CB134" s="21">
        <v>400</v>
      </c>
      <c r="CC134" s="21">
        <v>900</v>
      </c>
      <c r="CD134" s="21">
        <v>900</v>
      </c>
      <c r="CE134" s="21">
        <f t="shared" si="132"/>
        <v>2200</v>
      </c>
      <c r="CF134" s="58">
        <v>148.74</v>
      </c>
      <c r="CG134" s="58">
        <f t="shared" si="133"/>
        <v>327228</v>
      </c>
      <c r="CH134" s="17" t="s">
        <v>588</v>
      </c>
      <c r="CI134" s="21">
        <f>IF(Table1[[#This Row],[Check 3 Status]]="Continued", Table1[[#This Row],[Check 3 Students Summer]], 0)</f>
        <v>400</v>
      </c>
      <c r="CJ134" s="58">
        <f>Table1[[#This Row],[Check 3 Per Student Savings]]*CI134</f>
        <v>59496</v>
      </c>
      <c r="CK134" s="21">
        <f>IF(Table1[[#This Row],[Check 3 Status]]="Continued", Table1[[#This Row],[Check 3 Students Fall]], 0)</f>
        <v>900</v>
      </c>
      <c r="CL134" s="58">
        <f>Table1[[#This Row],[Check 3 Per Student Savings]]*CK134</f>
        <v>133866</v>
      </c>
      <c r="CM134" s="21">
        <f>IF(Table1[[#This Row],[Check 3 Status]]="Continued", Table1[[#This Row],[Check 3 Students Spring]], 0)</f>
        <v>900</v>
      </c>
      <c r="CN134" s="58">
        <f>Table1[[#This Row],[Check 3 Per Student Savings]]*CM134</f>
        <v>133866</v>
      </c>
      <c r="CO134" s="21">
        <f t="shared" si="134"/>
        <v>2200</v>
      </c>
      <c r="CP134" s="58">
        <f t="shared" si="135"/>
        <v>327228</v>
      </c>
      <c r="CQ134" s="58" t="s">
        <v>130</v>
      </c>
      <c r="CR134" s="21">
        <v>400</v>
      </c>
      <c r="CS134" s="21">
        <v>900</v>
      </c>
      <c r="CT134" s="21">
        <v>900</v>
      </c>
      <c r="CU134" s="21">
        <f t="shared" si="136"/>
        <v>2200</v>
      </c>
      <c r="CV134" s="58">
        <v>148.74</v>
      </c>
      <c r="CW134" s="58">
        <f t="shared" si="137"/>
        <v>327228</v>
      </c>
      <c r="CX134" s="58"/>
      <c r="CY134" s="21">
        <f>IF(Table1[[#This Row],[Check 4 Status]]="Continued", Table1[[#This Row],[Check 4 Students Summer]], 0)</f>
        <v>400</v>
      </c>
      <c r="CZ134" s="58">
        <f>Table1[[#This Row],[Check 4 Per Student Savings]]*CY134</f>
        <v>59496</v>
      </c>
      <c r="DA134" s="21">
        <f>IF(Table1[[#This Row],[Check 4 Status]]="Continued", Table1[[#This Row],[Check 4 Students Fall]], 0)</f>
        <v>900</v>
      </c>
      <c r="DB134" s="58">
        <f>Table1[[#This Row],[Check 4 Per Student Savings]]*DA134</f>
        <v>133866</v>
      </c>
      <c r="DC134" s="21">
        <f>IF(Table1[[#This Row],[Check 4 Status]]="Continued", Table1[[#This Row],[Check 4 Students Spring]], 0)</f>
        <v>900</v>
      </c>
      <c r="DD134" s="58">
        <f>Table1[[#This Row],[Check 4 Per Student Savings]]*DC134</f>
        <v>133866</v>
      </c>
      <c r="DE134" s="58">
        <f t="shared" si="138"/>
        <v>2200</v>
      </c>
      <c r="DF134" s="58">
        <f t="shared" si="139"/>
        <v>327228</v>
      </c>
      <c r="DG13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7568</v>
      </c>
      <c r="DH13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1066816</v>
      </c>
      <c r="DI134" s="58">
        <f>Table1[[#This Row],[Grand Total Savings]]/Table1[[#This Row],[Total Award]]</f>
        <v>35.560533333333332</v>
      </c>
      <c r="DJ134" s="17"/>
      <c r="DK134" s="17"/>
      <c r="DL134" s="17"/>
      <c r="DM134" s="17"/>
      <c r="EC134" s="17"/>
      <c r="ED134" s="17"/>
      <c r="EE134" s="17"/>
      <c r="EF134" s="17"/>
    </row>
    <row r="135" spans="1:136" x14ac:dyDescent="0.25">
      <c r="A135" s="157">
        <v>270</v>
      </c>
      <c r="B135" s="17" t="s">
        <v>2011</v>
      </c>
      <c r="D135" s="97">
        <v>511605</v>
      </c>
      <c r="E135" s="158">
        <v>42741</v>
      </c>
      <c r="F135" s="165">
        <v>42969</v>
      </c>
      <c r="G135" s="159" t="s">
        <v>745</v>
      </c>
      <c r="H135" s="95" t="s">
        <v>8</v>
      </c>
      <c r="I135" s="226" t="s">
        <v>118</v>
      </c>
      <c r="J135" s="17" t="s">
        <v>225</v>
      </c>
      <c r="K135" s="107">
        <v>10800</v>
      </c>
      <c r="L135" s="107"/>
      <c r="M135" s="101" t="s">
        <v>767</v>
      </c>
      <c r="N135" s="101" t="s">
        <v>768</v>
      </c>
      <c r="O135" s="101" t="s">
        <v>769</v>
      </c>
      <c r="P135" s="101" t="s">
        <v>770</v>
      </c>
      <c r="Q135" s="101" t="s">
        <v>148</v>
      </c>
      <c r="R135" s="101" t="s">
        <v>769</v>
      </c>
      <c r="S135" s="101" t="s">
        <v>129</v>
      </c>
      <c r="T135" s="17" t="s">
        <v>129</v>
      </c>
      <c r="U135" s="160" t="s">
        <v>771</v>
      </c>
      <c r="V135" s="17" t="s">
        <v>150</v>
      </c>
      <c r="W135" s="17" t="s">
        <v>150</v>
      </c>
      <c r="X135" s="17" t="s">
        <v>150</v>
      </c>
      <c r="Y135" s="58">
        <v>193200</v>
      </c>
      <c r="Z135" s="17">
        <v>805</v>
      </c>
      <c r="AA135" s="58">
        <f t="shared" si="129"/>
        <v>240</v>
      </c>
      <c r="AB135" s="21">
        <f t="shared" si="125"/>
        <v>268.33333333333331</v>
      </c>
      <c r="AC135" s="21">
        <f t="shared" si="126"/>
        <v>268.33333333333331</v>
      </c>
      <c r="AD135" s="21">
        <f t="shared" si="127"/>
        <v>268.33333333333331</v>
      </c>
      <c r="AE135" s="17" t="s">
        <v>635</v>
      </c>
      <c r="AF135" s="17" t="s">
        <v>129</v>
      </c>
      <c r="AG135" s="17"/>
      <c r="AI135" s="17" t="s">
        <v>130</v>
      </c>
      <c r="AJ135" s="21">
        <v>0</v>
      </c>
      <c r="AK135" s="58">
        <v>0</v>
      </c>
      <c r="AL135" s="21">
        <v>0</v>
      </c>
      <c r="AM135" s="58">
        <f t="shared" si="114"/>
        <v>0</v>
      </c>
      <c r="AN135" s="21">
        <v>0</v>
      </c>
      <c r="AO135" s="58">
        <f t="shared" si="115"/>
        <v>0</v>
      </c>
      <c r="AP135" s="21">
        <v>0</v>
      </c>
      <c r="AQ135" s="58">
        <f t="shared" si="116"/>
        <v>0</v>
      </c>
      <c r="AR135" s="21">
        <v>0</v>
      </c>
      <c r="AS135" s="58">
        <f t="shared" si="117"/>
        <v>0</v>
      </c>
      <c r="AT135" s="21">
        <v>0</v>
      </c>
      <c r="AU135" s="58">
        <f t="shared" si="118"/>
        <v>0</v>
      </c>
      <c r="AV135" s="21">
        <v>0</v>
      </c>
      <c r="AW135" s="58">
        <v>0</v>
      </c>
      <c r="AX135" s="31">
        <v>0</v>
      </c>
      <c r="AY135" s="58">
        <v>0</v>
      </c>
      <c r="AZ135" s="31">
        <f>Table1[[#This Row],[Students Per Spring]]</f>
        <v>268.33333333333331</v>
      </c>
      <c r="BA135" s="58">
        <f>$AA135*AZ135</f>
        <v>64399.999999999993</v>
      </c>
      <c r="BB135" s="31">
        <f>AV135+AX135+AZ135</f>
        <v>268.33333333333331</v>
      </c>
      <c r="BC135" s="58">
        <f>AW135+AY135+BA135</f>
        <v>64399.999999999993</v>
      </c>
      <c r="BD135" s="31">
        <f>IF(Table1[[#This Row],[Sustainability Check 1 (2017-2018) Status]]="Continued", Table1[[#This Row],[Students Per Summer]], 0)</f>
        <v>268.33333333333331</v>
      </c>
      <c r="BE135" s="58">
        <f>$AA135*BD135</f>
        <v>64399.999999999993</v>
      </c>
      <c r="BF135" s="31">
        <f>IF(Table1[[#This Row],[Sustainability Check 1 (2017-2018) Status]]="Continued", Table1[[#This Row],[Students Per Fall]], 0)</f>
        <v>268.33333333333331</v>
      </c>
      <c r="BG135" s="58">
        <f t="shared" si="120"/>
        <v>64399.999999999993</v>
      </c>
      <c r="BH135" s="31">
        <f>IF(Table1[[#This Row],[Sustainability Check 1 (2017-2018) Status]]="Continued", Table1[[#This Row],[Students Per Spring]], 0)</f>
        <v>268.33333333333331</v>
      </c>
      <c r="BI135" s="58">
        <f t="shared" si="121"/>
        <v>64399.999999999993</v>
      </c>
      <c r="BJ135" s="31">
        <f t="shared" si="122"/>
        <v>805</v>
      </c>
      <c r="BK135" s="58">
        <f t="shared" si="123"/>
        <v>193199.99999999997</v>
      </c>
      <c r="BL135" s="58" t="s">
        <v>142</v>
      </c>
      <c r="BM135" s="31">
        <v>0</v>
      </c>
      <c r="BN135" s="31">
        <v>0</v>
      </c>
      <c r="BO135" s="31">
        <v>0</v>
      </c>
      <c r="BP135" s="31">
        <f t="shared" si="124"/>
        <v>0</v>
      </c>
      <c r="BQ135" s="96">
        <v>255.47</v>
      </c>
      <c r="BR135" s="58">
        <f>Table1[[#This Row],[Check 2 Students Total]]*Table1[[#This Row],[Summer 2018 Price Check]]</f>
        <v>0</v>
      </c>
      <c r="BS135" s="31">
        <f>IF(Table1[[#This Row],[Sustainability Check 2 (2018-2019) Status]]="Continued", Table1[[#This Row],[Check 2 Students Summer]], 0)</f>
        <v>0</v>
      </c>
      <c r="BT135" s="58">
        <f>Table1[[#This Row],[Summer 2018 Price Check]]*BS135</f>
        <v>0</v>
      </c>
      <c r="BU135" s="31">
        <f>IF(Table1[[#This Row],[Sustainability Check 2 (2018-2019) Status]]="Continued", Table1[[#This Row],[Check 2 Students Fall]], 0)</f>
        <v>0</v>
      </c>
      <c r="BV135" s="58">
        <f>Table1[[#This Row],[Summer 2018 Price Check]]*BU135</f>
        <v>0</v>
      </c>
      <c r="BW135" s="21">
        <f>IF(Table1[[#This Row],[Sustainability Check 2 (2018-2019) Status]]="Continued", Table1[Check 2 Students Spring], 0)</f>
        <v>0</v>
      </c>
      <c r="BX135" s="58">
        <f>Table1[[#This Row],[Summer 2018 Price Check]]*Table1[[#This Row],[Spring 2019 Students]]</f>
        <v>0</v>
      </c>
      <c r="BY135" s="31">
        <f t="shared" si="130"/>
        <v>0</v>
      </c>
      <c r="BZ135" s="58">
        <f t="shared" si="131"/>
        <v>0</v>
      </c>
      <c r="CA135" s="58" t="s">
        <v>142</v>
      </c>
      <c r="CB135" s="21">
        <v>0</v>
      </c>
      <c r="CC135" s="21">
        <v>0</v>
      </c>
      <c r="CD135" s="21">
        <v>0</v>
      </c>
      <c r="CE135" s="21">
        <f t="shared" si="132"/>
        <v>0</v>
      </c>
      <c r="CF135" s="58"/>
      <c r="CG135" s="58">
        <f t="shared" si="133"/>
        <v>0</v>
      </c>
      <c r="CH135" s="17" t="s">
        <v>635</v>
      </c>
      <c r="CI135" s="21">
        <f>IF(Table1[[#This Row],[Check 3 Status]]="Continued", Table1[[#This Row],[Check 3 Students Summer]], 0)</f>
        <v>0</v>
      </c>
      <c r="CJ135" s="58">
        <f>Table1[[#This Row],[Check 3 Per Student Savings]]*CI135</f>
        <v>0</v>
      </c>
      <c r="CK135" s="21">
        <f>IF(Table1[[#This Row],[Check 3 Status]]="Continued", Table1[[#This Row],[Check 3 Students Fall]], 0)</f>
        <v>0</v>
      </c>
      <c r="CL135" s="58">
        <f>Table1[[#This Row],[Check 3 Per Student Savings]]*CK135</f>
        <v>0</v>
      </c>
      <c r="CM135" s="21">
        <f>IF(Table1[[#This Row],[Check 3 Status]]="Continued", Table1[[#This Row],[Check 3 Students Spring]], 0)</f>
        <v>0</v>
      </c>
      <c r="CN135" s="58">
        <f>Table1[[#This Row],[Check 3 Per Student Savings]]*CM135</f>
        <v>0</v>
      </c>
      <c r="CO135" s="21">
        <f t="shared" si="134"/>
        <v>0</v>
      </c>
      <c r="CP135" s="58">
        <f t="shared" si="135"/>
        <v>0</v>
      </c>
      <c r="CQ135" s="58" t="s">
        <v>142</v>
      </c>
      <c r="CR135" s="21">
        <v>0</v>
      </c>
      <c r="CS135" s="21">
        <v>0</v>
      </c>
      <c r="CT135" s="21">
        <v>0</v>
      </c>
      <c r="CU135" s="21">
        <f t="shared" si="136"/>
        <v>0</v>
      </c>
      <c r="CV135" s="58">
        <v>0</v>
      </c>
      <c r="CW135" s="58">
        <f t="shared" si="137"/>
        <v>0</v>
      </c>
      <c r="CX135" s="58"/>
      <c r="CY135" s="21">
        <f>IF(Table1[[#This Row],[Check 4 Status]]="Continued", Table1[[#This Row],[Check 4 Students Summer]], 0)</f>
        <v>0</v>
      </c>
      <c r="CZ135" s="58">
        <f>Table1[[#This Row],[Check 4 Per Student Savings]]*CY135</f>
        <v>0</v>
      </c>
      <c r="DA135" s="21">
        <f>IF(Table1[[#This Row],[Check 4 Status]]="Continued", Table1[[#This Row],[Check 4 Students Fall]], 0)</f>
        <v>0</v>
      </c>
      <c r="DB135" s="58">
        <f>Table1[[#This Row],[Check 4 Per Student Savings]]*DA135</f>
        <v>0</v>
      </c>
      <c r="DC135" s="21">
        <f>IF(Table1[[#This Row],[Check 4 Status]]="Continued", Table1[[#This Row],[Check 4 Students Spring]], 0)</f>
        <v>0</v>
      </c>
      <c r="DD135" s="58">
        <f>Table1[[#This Row],[Check 4 Per Student Savings]]*DC135</f>
        <v>0</v>
      </c>
      <c r="DE135" s="58">
        <f t="shared" si="138"/>
        <v>0</v>
      </c>
      <c r="DF135" s="58">
        <f t="shared" si="139"/>
        <v>0</v>
      </c>
      <c r="DG13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1073.3333333333333</v>
      </c>
      <c r="DH13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257599.99999999997</v>
      </c>
      <c r="DI135" s="58">
        <f>Table1[[#This Row],[Grand Total Savings]]/Table1[[#This Row],[Total Award]]</f>
        <v>23.851851851851848</v>
      </c>
      <c r="DJ135" s="17"/>
      <c r="DK135" s="17"/>
      <c r="DL135" s="17"/>
      <c r="DM135" s="17"/>
      <c r="EC135" s="17"/>
      <c r="ED135" s="17"/>
      <c r="EE135" s="17"/>
      <c r="EF135" s="17"/>
    </row>
    <row r="136" spans="1:136" x14ac:dyDescent="0.25">
      <c r="A136" s="157">
        <v>272</v>
      </c>
      <c r="B136" s="17" t="s">
        <v>2011</v>
      </c>
      <c r="D136" s="97">
        <v>511739</v>
      </c>
      <c r="E136" s="158">
        <v>42741</v>
      </c>
      <c r="F136" s="165">
        <v>43109</v>
      </c>
      <c r="G136" s="159" t="s">
        <v>745</v>
      </c>
      <c r="H136" s="95" t="s">
        <v>8</v>
      </c>
      <c r="I136" s="226" t="s">
        <v>118</v>
      </c>
      <c r="J136" s="17" t="s">
        <v>179</v>
      </c>
      <c r="K136" s="107">
        <v>10800</v>
      </c>
      <c r="L136" s="107"/>
      <c r="M136" s="101" t="s">
        <v>772</v>
      </c>
      <c r="N136" s="101" t="s">
        <v>773</v>
      </c>
      <c r="O136" s="101" t="s">
        <v>774</v>
      </c>
      <c r="P136" s="101" t="s">
        <v>775</v>
      </c>
      <c r="Q136" s="101" t="s">
        <v>776</v>
      </c>
      <c r="R136" s="101" t="s">
        <v>774</v>
      </c>
      <c r="S136" s="101" t="s">
        <v>129</v>
      </c>
      <c r="T136" s="17" t="s">
        <v>129</v>
      </c>
      <c r="U136" s="101" t="s">
        <v>157</v>
      </c>
      <c r="V136" s="17" t="s">
        <v>150</v>
      </c>
      <c r="W136" s="17" t="s">
        <v>127</v>
      </c>
      <c r="X136" s="17" t="s">
        <v>127</v>
      </c>
      <c r="Y136" s="58">
        <v>43144</v>
      </c>
      <c r="Z136" s="17">
        <v>225</v>
      </c>
      <c r="AA136" s="58">
        <f t="shared" si="129"/>
        <v>191.7511111111111</v>
      </c>
      <c r="AB136" s="21">
        <f t="shared" si="125"/>
        <v>75</v>
      </c>
      <c r="AC136" s="21">
        <f t="shared" si="126"/>
        <v>75</v>
      </c>
      <c r="AD136" s="21">
        <f t="shared" si="127"/>
        <v>75</v>
      </c>
      <c r="AE136" s="17" t="s">
        <v>588</v>
      </c>
      <c r="AF136" s="17" t="s">
        <v>129</v>
      </c>
      <c r="AG136" s="17"/>
      <c r="AI136" s="17" t="s">
        <v>130</v>
      </c>
      <c r="AJ136" s="21">
        <v>0</v>
      </c>
      <c r="AK136" s="58">
        <v>0</v>
      </c>
      <c r="AL136" s="21">
        <v>0</v>
      </c>
      <c r="AM136" s="58">
        <f t="shared" si="114"/>
        <v>0</v>
      </c>
      <c r="AN136" s="21">
        <v>0</v>
      </c>
      <c r="AO136" s="58">
        <f t="shared" si="115"/>
        <v>0</v>
      </c>
      <c r="AP136" s="21">
        <v>0</v>
      </c>
      <c r="AQ136" s="58">
        <f t="shared" si="116"/>
        <v>0</v>
      </c>
      <c r="AR136" s="21">
        <v>0</v>
      </c>
      <c r="AS136" s="58">
        <f t="shared" si="117"/>
        <v>0</v>
      </c>
      <c r="AT136" s="21">
        <v>0</v>
      </c>
      <c r="AU136" s="58">
        <f t="shared" si="118"/>
        <v>0</v>
      </c>
      <c r="AV136" s="21">
        <v>0</v>
      </c>
      <c r="AW136" s="58">
        <v>0</v>
      </c>
      <c r="AX136" s="31">
        <v>0</v>
      </c>
      <c r="AY136" s="58">
        <v>0</v>
      </c>
      <c r="AZ136" s="31">
        <v>0</v>
      </c>
      <c r="BA136" s="58">
        <v>0</v>
      </c>
      <c r="BB136" s="31">
        <v>0</v>
      </c>
      <c r="BC136" s="58">
        <v>0</v>
      </c>
      <c r="BD136" s="31">
        <v>0</v>
      </c>
      <c r="BE136" s="58">
        <v>0</v>
      </c>
      <c r="BF136" s="31">
        <f>Table1[[#This Row],[Students Per Fall]]</f>
        <v>75</v>
      </c>
      <c r="BG136" s="58">
        <f t="shared" si="120"/>
        <v>14381.333333333332</v>
      </c>
      <c r="BH136" s="31">
        <f>IF(Table1[[#This Row],[Sustainability Check 1 (2017-2018) Status]]="Continued", Table1[[#This Row],[Students Per Spring]], 0)</f>
        <v>75</v>
      </c>
      <c r="BI136" s="58">
        <f t="shared" si="121"/>
        <v>14381.333333333332</v>
      </c>
      <c r="BJ136" s="31">
        <f t="shared" si="122"/>
        <v>150</v>
      </c>
      <c r="BK136" s="58">
        <f t="shared" si="123"/>
        <v>28762.666666666664</v>
      </c>
      <c r="BL136" s="58" t="s">
        <v>130</v>
      </c>
      <c r="BM136" s="31">
        <v>25</v>
      </c>
      <c r="BN136" s="31">
        <v>125</v>
      </c>
      <c r="BO136" s="31">
        <v>75</v>
      </c>
      <c r="BP136" s="31">
        <f t="shared" si="124"/>
        <v>225</v>
      </c>
      <c r="BQ136" s="96">
        <v>193.8</v>
      </c>
      <c r="BR136" s="58">
        <f>Table1[[#This Row],[Check 2 Students Total]]*Table1[[#This Row],[Summer 2018 Price Check]]</f>
        <v>43605</v>
      </c>
      <c r="BS136" s="31">
        <f>IF(Table1[[#This Row],[Sustainability Check 2 (2018-2019) Status]]="Continued", Table1[[#This Row],[Check 2 Students Summer]], 0)</f>
        <v>25</v>
      </c>
      <c r="BT136" s="58">
        <f>Table1[[#This Row],[Summer 2018 Price Check]]*BS136</f>
        <v>4845</v>
      </c>
      <c r="BU136" s="31">
        <f>IF(Table1[[#This Row],[Sustainability Check 2 (2018-2019) Status]]="Continued", Table1[[#This Row],[Check 2 Students Fall]], 0)</f>
        <v>125</v>
      </c>
      <c r="BV136" s="58">
        <f>Table1[[#This Row],[Summer 2018 Price Check]]*BU136</f>
        <v>24225</v>
      </c>
      <c r="BW136" s="21">
        <f>IF(Table1[[#This Row],[Sustainability Check 2 (2018-2019) Status]]="Continued", Table1[Check 2 Students Spring], 0)</f>
        <v>75</v>
      </c>
      <c r="BX136" s="58">
        <f>Table1[[#This Row],[Summer 2018 Price Check]]*Table1[[#This Row],[Spring 2019 Students]]</f>
        <v>14535</v>
      </c>
      <c r="BY136" s="31">
        <f t="shared" si="130"/>
        <v>225</v>
      </c>
      <c r="BZ136" s="58">
        <f t="shared" si="131"/>
        <v>43605</v>
      </c>
      <c r="CA136" s="58" t="s">
        <v>130</v>
      </c>
      <c r="CB136" s="21">
        <v>25</v>
      </c>
      <c r="CC136" s="21">
        <v>125</v>
      </c>
      <c r="CD136" s="21">
        <v>75</v>
      </c>
      <c r="CE136" s="21">
        <f t="shared" si="132"/>
        <v>225</v>
      </c>
      <c r="CF136" s="58">
        <v>193.32</v>
      </c>
      <c r="CG136" s="58">
        <f t="shared" si="133"/>
        <v>43497</v>
      </c>
      <c r="CH136" s="17" t="s">
        <v>588</v>
      </c>
      <c r="CI136" s="21">
        <f>IF(Table1[[#This Row],[Check 3 Status]]="Continued", Table1[[#This Row],[Check 3 Students Summer]], 0)</f>
        <v>25</v>
      </c>
      <c r="CJ136" s="58">
        <f>Table1[[#This Row],[Check 3 Per Student Savings]]*CI136</f>
        <v>4833</v>
      </c>
      <c r="CK136" s="21">
        <f>IF(Table1[[#This Row],[Check 3 Status]]="Continued", Table1[[#This Row],[Check 3 Students Fall]], 0)</f>
        <v>125</v>
      </c>
      <c r="CL136" s="58">
        <f>Table1[[#This Row],[Check 3 Per Student Savings]]*CK136</f>
        <v>24165</v>
      </c>
      <c r="CM136" s="21">
        <f>IF(Table1[[#This Row],[Check 3 Status]]="Continued", Table1[[#This Row],[Check 3 Students Spring]], 0)</f>
        <v>75</v>
      </c>
      <c r="CN136" s="58">
        <f>Table1[[#This Row],[Check 3 Per Student Savings]]*CM136</f>
        <v>14499</v>
      </c>
      <c r="CO136" s="21">
        <f t="shared" si="134"/>
        <v>225</v>
      </c>
      <c r="CP136" s="58">
        <f t="shared" si="135"/>
        <v>43497</v>
      </c>
      <c r="CQ136" s="58" t="s">
        <v>1777</v>
      </c>
      <c r="CR136" s="21">
        <v>25</v>
      </c>
      <c r="CS136" s="21">
        <v>125</v>
      </c>
      <c r="CT136" s="21">
        <v>75</v>
      </c>
      <c r="CU136" s="21">
        <v>0</v>
      </c>
      <c r="CV136" s="58">
        <v>0</v>
      </c>
      <c r="CW136" s="58">
        <f t="shared" si="137"/>
        <v>0</v>
      </c>
      <c r="CX136" s="58"/>
      <c r="CY136" s="21">
        <f>IF(Table1[[#This Row],[Check 4 Status]]="Continued", Table1[[#This Row],[Check 4 Students Summer]], 0)</f>
        <v>0</v>
      </c>
      <c r="CZ136" s="58">
        <f>Table1[[#This Row],[Check 4 Per Student Savings]]*CY136</f>
        <v>0</v>
      </c>
      <c r="DA136" s="21">
        <f>IF(Table1[[#This Row],[Check 4 Status]]="Continued", Table1[[#This Row],[Check 4 Students Fall]], 0)</f>
        <v>0</v>
      </c>
      <c r="DB136" s="58">
        <f>Table1[[#This Row],[Check 4 Per Student Savings]]*DA136</f>
        <v>0</v>
      </c>
      <c r="DC136" s="21">
        <f>IF(Table1[[#This Row],[Check 4 Status]]="Continued", Table1[[#This Row],[Check 4 Students Spring]], 0)</f>
        <v>0</v>
      </c>
      <c r="DD136" s="58">
        <f>Table1[[#This Row],[Check 4 Per Student Savings]]*DC136</f>
        <v>0</v>
      </c>
      <c r="DE136" s="58">
        <f t="shared" si="138"/>
        <v>0</v>
      </c>
      <c r="DF136" s="58">
        <f t="shared" si="139"/>
        <v>0</v>
      </c>
      <c r="DG13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600</v>
      </c>
      <c r="DH13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115864.66666666666</v>
      </c>
      <c r="DI136" s="58">
        <f>Table1[[#This Row],[Grand Total Savings]]/Table1[[#This Row],[Total Award]]</f>
        <v>10.728209876543209</v>
      </c>
      <c r="DJ136" s="17"/>
      <c r="DK136" s="17"/>
      <c r="DL136" s="17"/>
      <c r="DM136" s="17"/>
      <c r="EC136" s="17"/>
      <c r="ED136" s="17"/>
      <c r="EE136" s="17"/>
      <c r="EF136" s="17"/>
    </row>
    <row r="137" spans="1:136" x14ac:dyDescent="0.25">
      <c r="A137" s="157">
        <v>274</v>
      </c>
      <c r="B137" s="17" t="s">
        <v>2011</v>
      </c>
      <c r="D137" s="97">
        <v>512204</v>
      </c>
      <c r="E137" s="158">
        <v>42823</v>
      </c>
      <c r="F137" s="165">
        <v>43109</v>
      </c>
      <c r="G137" s="159" t="s">
        <v>777</v>
      </c>
      <c r="H137" s="95" t="s">
        <v>8</v>
      </c>
      <c r="I137" s="226" t="s">
        <v>118</v>
      </c>
      <c r="J137" s="17" t="s">
        <v>236</v>
      </c>
      <c r="K137" s="107">
        <v>10800</v>
      </c>
      <c r="L137" s="107"/>
      <c r="M137" s="101" t="s">
        <v>778</v>
      </c>
      <c r="N137" s="101" t="s">
        <v>779</v>
      </c>
      <c r="O137" s="101" t="s">
        <v>780</v>
      </c>
      <c r="P137" s="101" t="s">
        <v>781</v>
      </c>
      <c r="Q137" s="101" t="s">
        <v>192</v>
      </c>
      <c r="R137" s="101" t="s">
        <v>129</v>
      </c>
      <c r="S137" s="101" t="s">
        <v>129</v>
      </c>
      <c r="T137" s="17" t="s">
        <v>125</v>
      </c>
      <c r="U137" s="160" t="s">
        <v>255</v>
      </c>
      <c r="V137" s="17" t="s">
        <v>150</v>
      </c>
      <c r="W137" s="17" t="s">
        <v>150</v>
      </c>
      <c r="X137" s="17" t="s">
        <v>127</v>
      </c>
      <c r="Y137" s="58">
        <v>54831</v>
      </c>
      <c r="Z137" s="17">
        <v>192</v>
      </c>
      <c r="AA137" s="58">
        <f t="shared" si="129"/>
        <v>285.578125</v>
      </c>
      <c r="AB137" s="21">
        <f t="shared" si="125"/>
        <v>64</v>
      </c>
      <c r="AC137" s="21">
        <f t="shared" si="126"/>
        <v>64</v>
      </c>
      <c r="AD137" s="21">
        <f t="shared" si="127"/>
        <v>64</v>
      </c>
      <c r="AE137" s="17" t="s">
        <v>635</v>
      </c>
      <c r="AF137" s="17" t="s">
        <v>129</v>
      </c>
      <c r="AG137" s="17"/>
      <c r="AI137" s="17" t="s">
        <v>130</v>
      </c>
      <c r="AJ137" s="21">
        <v>0</v>
      </c>
      <c r="AK137" s="58">
        <v>0</v>
      </c>
      <c r="AL137" s="21">
        <v>0</v>
      </c>
      <c r="AM137" s="58">
        <f t="shared" si="114"/>
        <v>0</v>
      </c>
      <c r="AN137" s="21">
        <v>0</v>
      </c>
      <c r="AO137" s="58">
        <f t="shared" si="115"/>
        <v>0</v>
      </c>
      <c r="AP137" s="21">
        <v>0</v>
      </c>
      <c r="AQ137" s="58">
        <f t="shared" si="116"/>
        <v>0</v>
      </c>
      <c r="AR137" s="21">
        <v>0</v>
      </c>
      <c r="AS137" s="58">
        <f t="shared" si="117"/>
        <v>0</v>
      </c>
      <c r="AT137" s="21">
        <v>0</v>
      </c>
      <c r="AU137" s="58">
        <f t="shared" si="118"/>
        <v>0</v>
      </c>
      <c r="AV137" s="21">
        <v>0</v>
      </c>
      <c r="AW137" s="58">
        <v>0</v>
      </c>
      <c r="AX137" s="31">
        <v>0</v>
      </c>
      <c r="AY137" s="58">
        <v>0</v>
      </c>
      <c r="AZ137" s="31">
        <f>Table1[[#This Row],[Students Per Spring]]</f>
        <v>64</v>
      </c>
      <c r="BA137" s="58">
        <f>$AA137*AZ137</f>
        <v>18277</v>
      </c>
      <c r="BB137" s="31">
        <f>AV137+AX137+AZ137</f>
        <v>64</v>
      </c>
      <c r="BC137" s="58">
        <f>AW137+AY137+BA137</f>
        <v>18277</v>
      </c>
      <c r="BD137" s="31">
        <f>IF(Table1[[#This Row],[Sustainability Check 1 (2017-2018) Status]]="Continued", Table1[[#This Row],[Students Per Summer]], 0)</f>
        <v>64</v>
      </c>
      <c r="BE137" s="58">
        <f>$AA137*BD137</f>
        <v>18277</v>
      </c>
      <c r="BF137" s="31">
        <f>IF(Table1[[#This Row],[Sustainability Check 1 (2017-2018) Status]]="Continued", Table1[[#This Row],[Students Per Fall]], 0)</f>
        <v>64</v>
      </c>
      <c r="BG137" s="58">
        <f t="shared" si="120"/>
        <v>18277</v>
      </c>
      <c r="BH137" s="31">
        <f>IF(Table1[[#This Row],[Sustainability Check 1 (2017-2018) Status]]="Continued", Table1[[#This Row],[Students Per Spring]], 0)</f>
        <v>64</v>
      </c>
      <c r="BI137" s="58">
        <f t="shared" si="121"/>
        <v>18277</v>
      </c>
      <c r="BJ137" s="31">
        <f t="shared" si="122"/>
        <v>192</v>
      </c>
      <c r="BK137" s="58">
        <f t="shared" si="123"/>
        <v>54831</v>
      </c>
      <c r="BL137" s="58" t="s">
        <v>130</v>
      </c>
      <c r="BM137" s="31">
        <v>20</v>
      </c>
      <c r="BN137" s="31">
        <v>120</v>
      </c>
      <c r="BO137" s="31">
        <v>120</v>
      </c>
      <c r="BP137" s="31">
        <f t="shared" si="124"/>
        <v>260</v>
      </c>
      <c r="BQ137" s="96">
        <v>320.52999999999997</v>
      </c>
      <c r="BR137" s="58">
        <f>Table1[[#This Row],[Check 2 Students Total]]*Table1[[#This Row],[Summer 2018 Price Check]]</f>
        <v>83337.799999999988</v>
      </c>
      <c r="BS137" s="31">
        <f>IF(Table1[[#This Row],[Sustainability Check 2 (2018-2019) Status]]="Continued", Table1[[#This Row],[Check 2 Students Summer]], 0)</f>
        <v>20</v>
      </c>
      <c r="BT137" s="58">
        <f>Table1[[#This Row],[Summer 2018 Price Check]]*BS137</f>
        <v>6410.5999999999995</v>
      </c>
      <c r="BU137" s="31">
        <f>IF(Table1[[#This Row],[Sustainability Check 2 (2018-2019) Status]]="Continued", Table1[[#This Row],[Check 2 Students Fall]], 0)</f>
        <v>120</v>
      </c>
      <c r="BV137" s="58">
        <f>Table1[[#This Row],[Summer 2018 Price Check]]*BU137</f>
        <v>38463.599999999999</v>
      </c>
      <c r="BW137" s="21">
        <f>IF(Table1[[#This Row],[Sustainability Check 2 (2018-2019) Status]]="Continued", Table1[Check 2 Students Spring], 0)</f>
        <v>120</v>
      </c>
      <c r="BX137" s="58">
        <f>Table1[[#This Row],[Summer 2018 Price Check]]*Table1[[#This Row],[Spring 2019 Students]]</f>
        <v>38463.599999999999</v>
      </c>
      <c r="BY137" s="31">
        <f t="shared" si="130"/>
        <v>260</v>
      </c>
      <c r="BZ137" s="58">
        <f t="shared" si="131"/>
        <v>83337.799999999988</v>
      </c>
      <c r="CA137" s="58" t="s">
        <v>130</v>
      </c>
      <c r="CB137" s="21">
        <v>13</v>
      </c>
      <c r="CC137" s="21">
        <v>105</v>
      </c>
      <c r="CD137" s="21">
        <v>120</v>
      </c>
      <c r="CE137" s="21">
        <f t="shared" si="132"/>
        <v>238</v>
      </c>
      <c r="CF137" s="58">
        <v>110.29</v>
      </c>
      <c r="CG137" s="58">
        <f t="shared" si="133"/>
        <v>26249.02</v>
      </c>
      <c r="CH137" s="17" t="s">
        <v>635</v>
      </c>
      <c r="CI137" s="21">
        <f>IF(Table1[[#This Row],[Check 3 Status]]="Continued", Table1[[#This Row],[Check 3 Students Summer]], 0)</f>
        <v>13</v>
      </c>
      <c r="CJ137" s="58">
        <f>Table1[[#This Row],[Check 3 Per Student Savings]]*CI137</f>
        <v>1433.77</v>
      </c>
      <c r="CK137" s="21">
        <f>IF(Table1[[#This Row],[Check 3 Status]]="Continued", Table1[[#This Row],[Check 3 Students Fall]], 0)</f>
        <v>105</v>
      </c>
      <c r="CL137" s="58">
        <f>Table1[[#This Row],[Check 3 Per Student Savings]]*CK137</f>
        <v>11580.45</v>
      </c>
      <c r="CM137" s="21">
        <f>IF(Table1[[#This Row],[Check 3 Status]]="Continued", Table1[[#This Row],[Check 3 Students Spring]], 0)</f>
        <v>120</v>
      </c>
      <c r="CN137" s="58">
        <f>Table1[[#This Row],[Check 3 Per Student Savings]]*CM137</f>
        <v>13234.800000000001</v>
      </c>
      <c r="CO137" s="21">
        <f t="shared" si="134"/>
        <v>238</v>
      </c>
      <c r="CP137" s="58">
        <f t="shared" si="135"/>
        <v>26249.020000000004</v>
      </c>
      <c r="CQ137" s="58" t="s">
        <v>130</v>
      </c>
      <c r="CR137" s="21">
        <v>13</v>
      </c>
      <c r="CS137" s="21">
        <v>105</v>
      </c>
      <c r="CT137" s="21">
        <v>120</v>
      </c>
      <c r="CU137" s="21">
        <f t="shared" si="136"/>
        <v>238</v>
      </c>
      <c r="CV137" s="58">
        <v>110.29</v>
      </c>
      <c r="CW137" s="58">
        <f t="shared" si="137"/>
        <v>26249.02</v>
      </c>
      <c r="CX137" s="58"/>
      <c r="CY137" s="21">
        <f>IF(Table1[[#This Row],[Check 4 Status]]="Continued", Table1[[#This Row],[Check 4 Students Summer]], 0)</f>
        <v>13</v>
      </c>
      <c r="CZ137" s="58">
        <f>Table1[[#This Row],[Check 4 Per Student Savings]]*CY137</f>
        <v>1433.77</v>
      </c>
      <c r="DA137" s="21">
        <f>IF(Table1[[#This Row],[Check 4 Status]]="Continued", Table1[[#This Row],[Check 4 Students Fall]], 0)</f>
        <v>105</v>
      </c>
      <c r="DB137" s="58">
        <f>Table1[[#This Row],[Check 4 Per Student Savings]]*DA137</f>
        <v>11580.45</v>
      </c>
      <c r="DC137" s="21">
        <f>IF(Table1[[#This Row],[Check 4 Status]]="Continued", Table1[[#This Row],[Check 4 Students Spring]], 0)</f>
        <v>120</v>
      </c>
      <c r="DD137" s="58">
        <f>Table1[[#This Row],[Check 4 Per Student Savings]]*DC137</f>
        <v>13234.800000000001</v>
      </c>
      <c r="DE137" s="58">
        <f t="shared" si="138"/>
        <v>238</v>
      </c>
      <c r="DF137" s="58">
        <f t="shared" si="139"/>
        <v>26249.020000000004</v>
      </c>
      <c r="DG13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992</v>
      </c>
      <c r="DH13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208943.84000000003</v>
      </c>
      <c r="DI137" s="58">
        <f>Table1[[#This Row],[Grand Total Savings]]/Table1[[#This Row],[Total Award]]</f>
        <v>19.346651851851853</v>
      </c>
      <c r="DJ137" s="17"/>
      <c r="DK137" s="17"/>
      <c r="DL137" s="17"/>
      <c r="DM137" s="17"/>
      <c r="EC137" s="17"/>
      <c r="ED137" s="17"/>
      <c r="EE137" s="17"/>
      <c r="EF137" s="17"/>
    </row>
    <row r="138" spans="1:136" x14ac:dyDescent="0.25">
      <c r="A138" s="157">
        <v>276</v>
      </c>
      <c r="B138" s="17" t="s">
        <v>2011</v>
      </c>
      <c r="D138" s="97">
        <v>512028</v>
      </c>
      <c r="E138" s="158">
        <v>42794</v>
      </c>
      <c r="F138" s="165">
        <v>43109</v>
      </c>
      <c r="G138" s="159" t="s">
        <v>777</v>
      </c>
      <c r="H138" s="95" t="s">
        <v>8</v>
      </c>
      <c r="I138" s="226" t="s">
        <v>118</v>
      </c>
      <c r="J138" s="17" t="s">
        <v>388</v>
      </c>
      <c r="K138" s="107">
        <v>10800</v>
      </c>
      <c r="L138" s="107"/>
      <c r="M138" s="101" t="s">
        <v>782</v>
      </c>
      <c r="N138" s="101" t="s">
        <v>783</v>
      </c>
      <c r="O138" s="101" t="s">
        <v>784</v>
      </c>
      <c r="P138" s="101" t="s">
        <v>713</v>
      </c>
      <c r="Q138" s="101" t="s">
        <v>714</v>
      </c>
      <c r="R138" s="101" t="s">
        <v>715</v>
      </c>
      <c r="S138" s="101" t="s">
        <v>129</v>
      </c>
      <c r="T138" s="17" t="s">
        <v>129</v>
      </c>
      <c r="U138" s="160" t="s">
        <v>785</v>
      </c>
      <c r="V138" s="17" t="s">
        <v>150</v>
      </c>
      <c r="W138" s="17" t="s">
        <v>150</v>
      </c>
      <c r="X138" s="17" t="s">
        <v>127</v>
      </c>
      <c r="Y138" s="58">
        <v>60000</v>
      </c>
      <c r="Z138" s="17">
        <v>480</v>
      </c>
      <c r="AA138" s="58">
        <f t="shared" si="129"/>
        <v>125</v>
      </c>
      <c r="AB138" s="21">
        <f t="shared" si="125"/>
        <v>160</v>
      </c>
      <c r="AC138" s="21">
        <f t="shared" si="126"/>
        <v>160</v>
      </c>
      <c r="AD138" s="21">
        <f t="shared" si="127"/>
        <v>160</v>
      </c>
      <c r="AE138" s="17" t="s">
        <v>588</v>
      </c>
      <c r="AF138" s="17" t="s">
        <v>129</v>
      </c>
      <c r="AG138" s="17"/>
      <c r="AI138" s="17" t="s">
        <v>130</v>
      </c>
      <c r="AJ138" s="21">
        <v>0</v>
      </c>
      <c r="AK138" s="58">
        <v>0</v>
      </c>
      <c r="AL138" s="21">
        <v>0</v>
      </c>
      <c r="AM138" s="58">
        <f t="shared" si="114"/>
        <v>0</v>
      </c>
      <c r="AN138" s="21">
        <v>0</v>
      </c>
      <c r="AO138" s="58">
        <f t="shared" si="115"/>
        <v>0</v>
      </c>
      <c r="AP138" s="21">
        <v>0</v>
      </c>
      <c r="AQ138" s="58">
        <f t="shared" si="116"/>
        <v>0</v>
      </c>
      <c r="AR138" s="21">
        <v>0</v>
      </c>
      <c r="AS138" s="58">
        <f t="shared" si="117"/>
        <v>0</v>
      </c>
      <c r="AT138" s="21">
        <v>0</v>
      </c>
      <c r="AU138" s="58">
        <f t="shared" si="118"/>
        <v>0</v>
      </c>
      <c r="AV138" s="21">
        <v>0</v>
      </c>
      <c r="AW138" s="58">
        <v>0</v>
      </c>
      <c r="AX138" s="31">
        <v>0</v>
      </c>
      <c r="AY138" s="58">
        <v>0</v>
      </c>
      <c r="AZ138" s="31">
        <v>0</v>
      </c>
      <c r="BA138" s="58">
        <v>0</v>
      </c>
      <c r="BB138" s="31">
        <v>0</v>
      </c>
      <c r="BC138" s="58">
        <v>0</v>
      </c>
      <c r="BD138" s="31">
        <v>0</v>
      </c>
      <c r="BE138" s="58">
        <v>0</v>
      </c>
      <c r="BF138" s="31">
        <f>Table1[[#This Row],[Students Per Fall]]</f>
        <v>160</v>
      </c>
      <c r="BG138" s="58">
        <f t="shared" si="120"/>
        <v>20000</v>
      </c>
      <c r="BH138" s="31">
        <f>IF(Table1[[#This Row],[Sustainability Check 1 (2017-2018) Status]]="Continued", Table1[[#This Row],[Students Per Spring]], 0)</f>
        <v>160</v>
      </c>
      <c r="BI138" s="58">
        <f t="shared" si="121"/>
        <v>20000</v>
      </c>
      <c r="BJ138" s="31">
        <f t="shared" si="122"/>
        <v>320</v>
      </c>
      <c r="BK138" s="58">
        <f t="shared" si="123"/>
        <v>40000</v>
      </c>
      <c r="BL138" s="58" t="s">
        <v>130</v>
      </c>
      <c r="BM138" s="31">
        <v>80</v>
      </c>
      <c r="BN138" s="31">
        <v>200</v>
      </c>
      <c r="BO138" s="31">
        <v>200</v>
      </c>
      <c r="BP138" s="31">
        <f t="shared" si="124"/>
        <v>480</v>
      </c>
      <c r="BQ138" s="58">
        <v>125</v>
      </c>
      <c r="BR138" s="58">
        <f>Table1[[#This Row],[Check 2 Students Total]]*Table1[[#This Row],[Summer 2018 Price Check]]</f>
        <v>60000</v>
      </c>
      <c r="BS138" s="31">
        <f>IF(Table1[[#This Row],[Sustainability Check 2 (2018-2019) Status]]="Continued", Table1[[#This Row],[Check 2 Students Summer]], 0)</f>
        <v>80</v>
      </c>
      <c r="BT138" s="58">
        <f>Table1[[#This Row],[Summer 2018 Price Check]]*BS138</f>
        <v>10000</v>
      </c>
      <c r="BU138" s="31">
        <f>IF(Table1[[#This Row],[Sustainability Check 2 (2018-2019) Status]]="Continued", Table1[[#This Row],[Check 2 Students Fall]], 0)</f>
        <v>200</v>
      </c>
      <c r="BV138" s="58">
        <f>Table1[[#This Row],[Summer 2018 Price Check]]*BU138</f>
        <v>25000</v>
      </c>
      <c r="BW138" s="21">
        <f>IF(Table1[[#This Row],[Sustainability Check 2 (2018-2019) Status]]="Continued", Table1[Check 2 Students Spring], 0)</f>
        <v>200</v>
      </c>
      <c r="BX138" s="58">
        <f>Table1[[#This Row],[Summer 2018 Price Check]]*Table1[[#This Row],[Spring 2019 Students]]</f>
        <v>25000</v>
      </c>
      <c r="BY138" s="31">
        <f t="shared" si="130"/>
        <v>480</v>
      </c>
      <c r="BZ138" s="58">
        <f t="shared" si="131"/>
        <v>60000</v>
      </c>
      <c r="CA138" s="58" t="s">
        <v>130</v>
      </c>
      <c r="CB138" s="21">
        <v>30</v>
      </c>
      <c r="CC138" s="21">
        <v>220</v>
      </c>
      <c r="CD138" s="21">
        <v>220</v>
      </c>
      <c r="CE138" s="21">
        <f t="shared" si="132"/>
        <v>470</v>
      </c>
      <c r="CF138" s="58">
        <v>125</v>
      </c>
      <c r="CG138" s="58">
        <f t="shared" si="133"/>
        <v>58750</v>
      </c>
      <c r="CH138" s="17" t="s">
        <v>588</v>
      </c>
      <c r="CI138" s="21">
        <f>IF(Table1[[#This Row],[Check 3 Status]]="Continued", Table1[[#This Row],[Check 3 Students Summer]], 0)</f>
        <v>30</v>
      </c>
      <c r="CJ138" s="58">
        <f>Table1[[#This Row],[Check 3 Per Student Savings]]*CI138</f>
        <v>3750</v>
      </c>
      <c r="CK138" s="21">
        <f>IF(Table1[[#This Row],[Check 3 Status]]="Continued", Table1[[#This Row],[Check 3 Students Fall]], 0)</f>
        <v>220</v>
      </c>
      <c r="CL138" s="58">
        <f>Table1[[#This Row],[Check 3 Per Student Savings]]*CK138</f>
        <v>27500</v>
      </c>
      <c r="CM138" s="21">
        <f>IF(Table1[[#This Row],[Check 3 Status]]="Continued", Table1[[#This Row],[Check 3 Students Spring]], 0)</f>
        <v>220</v>
      </c>
      <c r="CN138" s="58">
        <f>Table1[[#This Row],[Check 3 Per Student Savings]]*CM138</f>
        <v>27500</v>
      </c>
      <c r="CO138" s="21">
        <f t="shared" si="134"/>
        <v>470</v>
      </c>
      <c r="CP138" s="58">
        <f t="shared" si="135"/>
        <v>58750</v>
      </c>
      <c r="CQ138" s="58" t="s">
        <v>130</v>
      </c>
      <c r="CR138" s="21">
        <v>30</v>
      </c>
      <c r="CS138" s="21">
        <v>220</v>
      </c>
      <c r="CT138" s="21">
        <v>220</v>
      </c>
      <c r="CU138" s="21">
        <f t="shared" si="136"/>
        <v>470</v>
      </c>
      <c r="CV138" s="58">
        <v>125</v>
      </c>
      <c r="CW138" s="58">
        <f t="shared" si="137"/>
        <v>58750</v>
      </c>
      <c r="CX138" s="58"/>
      <c r="CY138" s="21">
        <f>IF(Table1[[#This Row],[Check 4 Status]]="Continued", Table1[[#This Row],[Check 4 Students Summer]], 0)</f>
        <v>30</v>
      </c>
      <c r="CZ138" s="58">
        <f>Table1[[#This Row],[Check 4 Per Student Savings]]*CY138</f>
        <v>3750</v>
      </c>
      <c r="DA138" s="21">
        <f>IF(Table1[[#This Row],[Check 4 Status]]="Continued", Table1[[#This Row],[Check 4 Students Fall]], 0)</f>
        <v>220</v>
      </c>
      <c r="DB138" s="58">
        <f>Table1[[#This Row],[Check 4 Per Student Savings]]*DA138</f>
        <v>27500</v>
      </c>
      <c r="DC138" s="21">
        <f>IF(Table1[[#This Row],[Check 4 Status]]="Continued", Table1[[#This Row],[Check 4 Students Spring]], 0)</f>
        <v>220</v>
      </c>
      <c r="DD138" s="58">
        <f>Table1[[#This Row],[Check 4 Per Student Savings]]*DC138</f>
        <v>27500</v>
      </c>
      <c r="DE138" s="58">
        <f t="shared" si="138"/>
        <v>470</v>
      </c>
      <c r="DF138" s="58">
        <f t="shared" si="139"/>
        <v>58750</v>
      </c>
      <c r="DG13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1740</v>
      </c>
      <c r="DH13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217500</v>
      </c>
      <c r="DI138" s="58">
        <f>Table1[[#This Row],[Grand Total Savings]]/Table1[[#This Row],[Total Award]]</f>
        <v>20.138888888888889</v>
      </c>
      <c r="DJ138" s="17"/>
      <c r="DK138" s="17"/>
      <c r="DL138" s="17"/>
      <c r="DM138" s="17"/>
      <c r="EC138" s="17"/>
      <c r="ED138" s="17"/>
      <c r="EE138" s="17"/>
      <c r="EF138" s="17"/>
    </row>
    <row r="139" spans="1:136" x14ac:dyDescent="0.25">
      <c r="A139" s="157">
        <v>277</v>
      </c>
      <c r="B139" s="17" t="s">
        <v>2011</v>
      </c>
      <c r="D139" s="97">
        <v>501058</v>
      </c>
      <c r="E139" s="158">
        <v>42794</v>
      </c>
      <c r="F139" s="165">
        <v>43109</v>
      </c>
      <c r="G139" s="159" t="s">
        <v>777</v>
      </c>
      <c r="H139" s="95" t="s">
        <v>8</v>
      </c>
      <c r="I139" s="226" t="s">
        <v>118</v>
      </c>
      <c r="J139" s="17" t="s">
        <v>210</v>
      </c>
      <c r="K139" s="107">
        <v>10800</v>
      </c>
      <c r="L139" s="107"/>
      <c r="M139" s="101" t="s">
        <v>786</v>
      </c>
      <c r="N139" s="101" t="s">
        <v>787</v>
      </c>
      <c r="O139" s="101" t="s">
        <v>788</v>
      </c>
      <c r="P139" s="101" t="s">
        <v>789</v>
      </c>
      <c r="Q139" s="101" t="s">
        <v>148</v>
      </c>
      <c r="R139" s="101" t="s">
        <v>215</v>
      </c>
      <c r="S139" s="160" t="s">
        <v>36</v>
      </c>
      <c r="T139" s="17" t="s">
        <v>125</v>
      </c>
      <c r="U139" s="160" t="s">
        <v>790</v>
      </c>
      <c r="V139" s="17" t="s">
        <v>150</v>
      </c>
      <c r="W139" s="17" t="s">
        <v>127</v>
      </c>
      <c r="X139" s="17" t="s">
        <v>127</v>
      </c>
      <c r="Y139" s="58">
        <v>591125</v>
      </c>
      <c r="Z139" s="31">
        <v>3500</v>
      </c>
      <c r="AA139" s="58">
        <f t="shared" si="129"/>
        <v>168.89285714285714</v>
      </c>
      <c r="AB139" s="21">
        <f t="shared" si="125"/>
        <v>1166.6666666666667</v>
      </c>
      <c r="AC139" s="21">
        <f t="shared" si="126"/>
        <v>1166.6666666666667</v>
      </c>
      <c r="AD139" s="21">
        <f t="shared" si="127"/>
        <v>1166.6666666666667</v>
      </c>
      <c r="AE139" s="17" t="s">
        <v>588</v>
      </c>
      <c r="AF139" s="17" t="s">
        <v>129</v>
      </c>
      <c r="AG139" s="17"/>
      <c r="AI139" s="17" t="s">
        <v>130</v>
      </c>
      <c r="AJ139" s="21">
        <v>0</v>
      </c>
      <c r="AK139" s="58">
        <v>0</v>
      </c>
      <c r="AL139" s="21">
        <v>0</v>
      </c>
      <c r="AM139" s="58">
        <f t="shared" si="114"/>
        <v>0</v>
      </c>
      <c r="AN139" s="21">
        <v>0</v>
      </c>
      <c r="AO139" s="58">
        <f t="shared" si="115"/>
        <v>0</v>
      </c>
      <c r="AP139" s="21">
        <v>0</v>
      </c>
      <c r="AQ139" s="58">
        <f t="shared" si="116"/>
        <v>0</v>
      </c>
      <c r="AR139" s="21">
        <v>0</v>
      </c>
      <c r="AS139" s="58">
        <f t="shared" si="117"/>
        <v>0</v>
      </c>
      <c r="AT139" s="21">
        <v>0</v>
      </c>
      <c r="AU139" s="58">
        <f t="shared" si="118"/>
        <v>0</v>
      </c>
      <c r="AV139" s="21">
        <v>0</v>
      </c>
      <c r="AW139" s="58">
        <v>0</v>
      </c>
      <c r="AX139" s="31">
        <v>0</v>
      </c>
      <c r="AY139" s="58">
        <v>0</v>
      </c>
      <c r="AZ139" s="31">
        <v>0</v>
      </c>
      <c r="BA139" s="58">
        <v>0</v>
      </c>
      <c r="BB139" s="31">
        <v>0</v>
      </c>
      <c r="BC139" s="58">
        <v>0</v>
      </c>
      <c r="BD139" s="31">
        <v>0</v>
      </c>
      <c r="BE139" s="58">
        <v>0</v>
      </c>
      <c r="BF139" s="31">
        <f>Table1[[#This Row],[Students Per Fall]]</f>
        <v>1166.6666666666667</v>
      </c>
      <c r="BG139" s="58">
        <f t="shared" si="120"/>
        <v>197041.66666666669</v>
      </c>
      <c r="BH139" s="31">
        <f>IF(Table1[[#This Row],[Sustainability Check 1 (2017-2018) Status]]="Continued", Table1[[#This Row],[Students Per Spring]], 0)</f>
        <v>1166.6666666666667</v>
      </c>
      <c r="BI139" s="58">
        <f t="shared" si="121"/>
        <v>197041.66666666669</v>
      </c>
      <c r="BJ139" s="31">
        <f t="shared" si="122"/>
        <v>2333.3333333333335</v>
      </c>
      <c r="BK139" s="58">
        <f t="shared" si="123"/>
        <v>394083.33333333337</v>
      </c>
      <c r="BL139" s="58" t="s">
        <v>130</v>
      </c>
      <c r="BM139" s="31">
        <v>180</v>
      </c>
      <c r="BN139" s="31">
        <v>480</v>
      </c>
      <c r="BO139" s="31">
        <v>480</v>
      </c>
      <c r="BP139" s="31">
        <f t="shared" si="124"/>
        <v>1140</v>
      </c>
      <c r="BQ139" s="58">
        <v>252.91</v>
      </c>
      <c r="BR139" s="58">
        <f>Table1[[#This Row],[Check 2 Students Total]]*Table1[[#This Row],[Summer 2018 Price Check]]</f>
        <v>288317.40000000002</v>
      </c>
      <c r="BS139" s="31">
        <f>IF(Table1[[#This Row],[Sustainability Check 2 (2018-2019) Status]]="Continued", Table1[[#This Row],[Check 2 Students Summer]], 0)</f>
        <v>180</v>
      </c>
      <c r="BT139" s="58">
        <f>Table1[[#This Row],[Summer 2018 Price Check]]*BS139</f>
        <v>45523.8</v>
      </c>
      <c r="BU139" s="31">
        <f>IF(Table1[[#This Row],[Sustainability Check 2 (2018-2019) Status]]="Continued", Table1[[#This Row],[Check 2 Students Fall]], 0)</f>
        <v>480</v>
      </c>
      <c r="BV139" s="58">
        <f>Table1[[#This Row],[Summer 2018 Price Check]]*BU139</f>
        <v>121396.8</v>
      </c>
      <c r="BW139" s="21">
        <f>IF(Table1[[#This Row],[Sustainability Check 2 (2018-2019) Status]]="Continued", Table1[Check 2 Students Spring], 0)</f>
        <v>480</v>
      </c>
      <c r="BX139" s="58">
        <f>Table1[[#This Row],[Summer 2018 Price Check]]*Table1[[#This Row],[Spring 2019 Students]]</f>
        <v>121396.8</v>
      </c>
      <c r="BY139" s="31">
        <f t="shared" si="130"/>
        <v>1140</v>
      </c>
      <c r="BZ139" s="58">
        <f t="shared" si="131"/>
        <v>288317.40000000002</v>
      </c>
      <c r="CA139" s="58" t="s">
        <v>130</v>
      </c>
      <c r="CB139" s="21">
        <v>180</v>
      </c>
      <c r="CC139" s="21">
        <v>480</v>
      </c>
      <c r="CD139" s="21">
        <v>480</v>
      </c>
      <c r="CE139" s="21">
        <f t="shared" si="132"/>
        <v>1140</v>
      </c>
      <c r="CF139" s="58">
        <v>303.87</v>
      </c>
      <c r="CG139" s="58">
        <f t="shared" si="133"/>
        <v>346411.8</v>
      </c>
      <c r="CH139" s="17" t="s">
        <v>588</v>
      </c>
      <c r="CI139" s="21">
        <f>IF(Table1[[#This Row],[Check 3 Status]]="Continued", Table1[[#This Row],[Check 3 Students Summer]], 0)</f>
        <v>180</v>
      </c>
      <c r="CJ139" s="58">
        <f>Table1[[#This Row],[Check 3 Per Student Savings]]*CI139</f>
        <v>54696.6</v>
      </c>
      <c r="CK139" s="21">
        <f>IF(Table1[[#This Row],[Check 3 Status]]="Continued", Table1[[#This Row],[Check 3 Students Fall]], 0)</f>
        <v>480</v>
      </c>
      <c r="CL139" s="58">
        <f>Table1[[#This Row],[Check 3 Per Student Savings]]*CK139</f>
        <v>145857.60000000001</v>
      </c>
      <c r="CM139" s="21">
        <f>IF(Table1[[#This Row],[Check 3 Status]]="Continued", Table1[[#This Row],[Check 3 Students Spring]], 0)</f>
        <v>480</v>
      </c>
      <c r="CN139" s="58">
        <f>Table1[[#This Row],[Check 3 Per Student Savings]]*CM139</f>
        <v>145857.60000000001</v>
      </c>
      <c r="CO139" s="21">
        <f t="shared" si="134"/>
        <v>1140</v>
      </c>
      <c r="CP139" s="58">
        <f t="shared" si="135"/>
        <v>346411.80000000005</v>
      </c>
      <c r="CQ139" s="58" t="s">
        <v>130</v>
      </c>
      <c r="CR139" s="21">
        <v>180</v>
      </c>
      <c r="CS139" s="21">
        <v>480</v>
      </c>
      <c r="CT139" s="21">
        <v>480</v>
      </c>
      <c r="CU139" s="21">
        <f t="shared" si="136"/>
        <v>1140</v>
      </c>
      <c r="CV139" s="58">
        <v>303.87</v>
      </c>
      <c r="CW139" s="58">
        <f t="shared" si="137"/>
        <v>346411.8</v>
      </c>
      <c r="CX139" s="58"/>
      <c r="CY139" s="21">
        <f>IF(Table1[[#This Row],[Check 4 Status]]="Continued", Table1[[#This Row],[Check 4 Students Summer]], 0)</f>
        <v>180</v>
      </c>
      <c r="CZ139" s="58">
        <f>Table1[[#This Row],[Check 4 Per Student Savings]]*CY139</f>
        <v>54696.6</v>
      </c>
      <c r="DA139" s="21">
        <f>IF(Table1[[#This Row],[Check 4 Status]]="Continued", Table1[[#This Row],[Check 4 Students Fall]], 0)</f>
        <v>480</v>
      </c>
      <c r="DB139" s="58">
        <f>Table1[[#This Row],[Check 4 Per Student Savings]]*DA139</f>
        <v>145857.60000000001</v>
      </c>
      <c r="DC139" s="21">
        <f>IF(Table1[[#This Row],[Check 4 Status]]="Continued", Table1[[#This Row],[Check 4 Students Spring]], 0)</f>
        <v>480</v>
      </c>
      <c r="DD139" s="58">
        <f>Table1[[#This Row],[Check 4 Per Student Savings]]*DC139</f>
        <v>145857.60000000001</v>
      </c>
      <c r="DE139" s="58">
        <f t="shared" si="138"/>
        <v>1140</v>
      </c>
      <c r="DF139" s="58">
        <f t="shared" si="139"/>
        <v>346411.80000000005</v>
      </c>
      <c r="DG13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5753.3333333333339</v>
      </c>
      <c r="DH13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1375224.3333333335</v>
      </c>
      <c r="DI139" s="58">
        <f>Table1[[#This Row],[Grand Total Savings]]/Table1[[#This Row],[Total Award]]</f>
        <v>127.3355864197531</v>
      </c>
      <c r="DJ139" s="17"/>
      <c r="DK139" s="17"/>
      <c r="DL139" s="17"/>
      <c r="DM139" s="17"/>
      <c r="EC139" s="17"/>
      <c r="ED139" s="17"/>
      <c r="EE139" s="17"/>
      <c r="EF139" s="17"/>
    </row>
    <row r="140" spans="1:136" x14ac:dyDescent="0.25">
      <c r="A140" s="157">
        <v>279</v>
      </c>
      <c r="B140" s="17" t="s">
        <v>2011</v>
      </c>
      <c r="D140" s="97">
        <v>512018</v>
      </c>
      <c r="E140" s="158">
        <v>42824</v>
      </c>
      <c r="F140" s="165">
        <v>43109</v>
      </c>
      <c r="G140" s="159" t="s">
        <v>777</v>
      </c>
      <c r="H140" s="95" t="s">
        <v>8</v>
      </c>
      <c r="I140" s="226" t="s">
        <v>118</v>
      </c>
      <c r="J140" s="17" t="s">
        <v>499</v>
      </c>
      <c r="K140" s="107">
        <v>25800</v>
      </c>
      <c r="L140" s="107"/>
      <c r="M140" s="101" t="s">
        <v>791</v>
      </c>
      <c r="N140" s="101" t="s">
        <v>792</v>
      </c>
      <c r="O140" s="101" t="s">
        <v>793</v>
      </c>
      <c r="P140" s="101" t="s">
        <v>794</v>
      </c>
      <c r="Q140" s="101" t="s">
        <v>776</v>
      </c>
      <c r="R140" s="101" t="s">
        <v>793</v>
      </c>
      <c r="S140" s="101" t="s">
        <v>129</v>
      </c>
      <c r="T140" s="17" t="s">
        <v>129</v>
      </c>
      <c r="U140" s="160" t="s">
        <v>795</v>
      </c>
      <c r="V140" s="17" t="s">
        <v>127</v>
      </c>
      <c r="W140" s="17" t="s">
        <v>127</v>
      </c>
      <c r="X140" s="17" t="s">
        <v>150</v>
      </c>
      <c r="Y140" s="58">
        <v>133868</v>
      </c>
      <c r="Z140" s="17">
        <v>980</v>
      </c>
      <c r="AA140" s="58">
        <f t="shared" si="129"/>
        <v>136.6</v>
      </c>
      <c r="AB140" s="21">
        <f t="shared" si="125"/>
        <v>326.66666666666669</v>
      </c>
      <c r="AC140" s="21">
        <f t="shared" si="126"/>
        <v>326.66666666666669</v>
      </c>
      <c r="AD140" s="21">
        <f t="shared" si="127"/>
        <v>326.66666666666669</v>
      </c>
      <c r="AE140" s="17" t="s">
        <v>588</v>
      </c>
      <c r="AF140" s="17" t="s">
        <v>129</v>
      </c>
      <c r="AG140" s="17"/>
      <c r="AI140" s="17" t="s">
        <v>130</v>
      </c>
      <c r="AJ140" s="21">
        <v>0</v>
      </c>
      <c r="AK140" s="58">
        <v>0</v>
      </c>
      <c r="AL140" s="21">
        <v>0</v>
      </c>
      <c r="AM140" s="58">
        <f t="shared" si="114"/>
        <v>0</v>
      </c>
      <c r="AN140" s="21">
        <v>0</v>
      </c>
      <c r="AO140" s="58">
        <f t="shared" si="115"/>
        <v>0</v>
      </c>
      <c r="AP140" s="21">
        <v>0</v>
      </c>
      <c r="AQ140" s="58">
        <f t="shared" si="116"/>
        <v>0</v>
      </c>
      <c r="AR140" s="21">
        <v>0</v>
      </c>
      <c r="AS140" s="58">
        <f t="shared" si="117"/>
        <v>0</v>
      </c>
      <c r="AT140" s="21">
        <v>0</v>
      </c>
      <c r="AU140" s="58">
        <f t="shared" si="118"/>
        <v>0</v>
      </c>
      <c r="AV140" s="21">
        <v>0</v>
      </c>
      <c r="AW140" s="58">
        <v>0</v>
      </c>
      <c r="AX140" s="31">
        <v>0</v>
      </c>
      <c r="AY140" s="58">
        <v>0</v>
      </c>
      <c r="AZ140" s="31">
        <v>0</v>
      </c>
      <c r="BA140" s="58">
        <v>0</v>
      </c>
      <c r="BB140" s="31">
        <v>0</v>
      </c>
      <c r="BC140" s="58">
        <v>0</v>
      </c>
      <c r="BD140" s="31">
        <v>0</v>
      </c>
      <c r="BE140" s="58">
        <v>0</v>
      </c>
      <c r="BF140" s="31">
        <f>Table1[[#This Row],[Students Per Fall]]</f>
        <v>326.66666666666669</v>
      </c>
      <c r="BG140" s="58">
        <f t="shared" si="120"/>
        <v>44622.666666666664</v>
      </c>
      <c r="BH140" s="31">
        <f>IF(Table1[[#This Row],[Sustainability Check 1 (2017-2018) Status]]="Continued", Table1[[#This Row],[Students Per Spring]], 0)</f>
        <v>326.66666666666669</v>
      </c>
      <c r="BI140" s="58">
        <f t="shared" si="121"/>
        <v>44622.666666666664</v>
      </c>
      <c r="BJ140" s="31">
        <f t="shared" si="122"/>
        <v>653.33333333333337</v>
      </c>
      <c r="BK140" s="58">
        <f t="shared" si="123"/>
        <v>89245.333333333328</v>
      </c>
      <c r="BL140" s="58" t="s">
        <v>130</v>
      </c>
      <c r="BM140" s="31">
        <v>175</v>
      </c>
      <c r="BN140" s="31">
        <v>500</v>
      </c>
      <c r="BO140" s="31">
        <v>500</v>
      </c>
      <c r="BP140" s="31">
        <f t="shared" si="124"/>
        <v>1175</v>
      </c>
      <c r="BQ140" s="96">
        <v>140.80000000000001</v>
      </c>
      <c r="BR140" s="58">
        <f>Table1[[#This Row],[Check 2 Students Total]]*Table1[[#This Row],[Summer 2018 Price Check]]</f>
        <v>165440</v>
      </c>
      <c r="BS140" s="31">
        <f>IF(Table1[[#This Row],[Sustainability Check 2 (2018-2019) Status]]="Continued", Table1[[#This Row],[Check 2 Students Summer]], 0)</f>
        <v>175</v>
      </c>
      <c r="BT140" s="58">
        <f>Table1[[#This Row],[Summer 2018 Price Check]]*BS140</f>
        <v>24640.000000000004</v>
      </c>
      <c r="BU140" s="31">
        <f>IF(Table1[[#This Row],[Sustainability Check 2 (2018-2019) Status]]="Continued", Table1[[#This Row],[Check 2 Students Fall]], 0)</f>
        <v>500</v>
      </c>
      <c r="BV140" s="58">
        <f>Table1[[#This Row],[Summer 2018 Price Check]]*BU140</f>
        <v>70400</v>
      </c>
      <c r="BW140" s="21">
        <f>IF(Table1[[#This Row],[Sustainability Check 2 (2018-2019) Status]]="Continued", Table1[Check 2 Students Spring], 0)</f>
        <v>500</v>
      </c>
      <c r="BX140" s="58">
        <f>Table1[[#This Row],[Summer 2018 Price Check]]*Table1[[#This Row],[Spring 2019 Students]]</f>
        <v>70400</v>
      </c>
      <c r="BY140" s="31">
        <f t="shared" si="130"/>
        <v>1175</v>
      </c>
      <c r="BZ140" s="58">
        <f t="shared" si="131"/>
        <v>165440</v>
      </c>
      <c r="CA140" s="58" t="s">
        <v>130</v>
      </c>
      <c r="CB140" s="21">
        <v>144</v>
      </c>
      <c r="CC140" s="21">
        <v>644</v>
      </c>
      <c r="CD140" s="21">
        <v>616</v>
      </c>
      <c r="CE140" s="21">
        <f t="shared" si="132"/>
        <v>1404</v>
      </c>
      <c r="CF140" s="58">
        <v>127.97</v>
      </c>
      <c r="CG140" s="58">
        <f t="shared" si="133"/>
        <v>179669.88</v>
      </c>
      <c r="CH140" s="17" t="s">
        <v>588</v>
      </c>
      <c r="CI140" s="21">
        <f>IF(Table1[[#This Row],[Check 3 Status]]="Continued", Table1[[#This Row],[Check 3 Students Summer]], 0)</f>
        <v>144</v>
      </c>
      <c r="CJ140" s="58">
        <f>Table1[[#This Row],[Check 3 Per Student Savings]]*CI140</f>
        <v>18427.68</v>
      </c>
      <c r="CK140" s="21">
        <f>IF(Table1[[#This Row],[Check 3 Status]]="Continued", Table1[[#This Row],[Check 3 Students Fall]], 0)</f>
        <v>644</v>
      </c>
      <c r="CL140" s="58">
        <f>Table1[[#This Row],[Check 3 Per Student Savings]]*CK140</f>
        <v>82412.679999999993</v>
      </c>
      <c r="CM140" s="21">
        <f>IF(Table1[[#This Row],[Check 3 Status]]="Continued", Table1[[#This Row],[Check 3 Students Spring]], 0)</f>
        <v>616</v>
      </c>
      <c r="CN140" s="58">
        <f>Table1[[#This Row],[Check 3 Per Student Savings]]*CM140</f>
        <v>78829.52</v>
      </c>
      <c r="CO140" s="21">
        <f t="shared" si="134"/>
        <v>1404</v>
      </c>
      <c r="CP140" s="58">
        <f t="shared" si="135"/>
        <v>179669.88</v>
      </c>
      <c r="CQ140" s="58" t="s">
        <v>130</v>
      </c>
      <c r="CR140" s="21">
        <v>144</v>
      </c>
      <c r="CS140" s="21">
        <v>644</v>
      </c>
      <c r="CT140" s="21">
        <v>616</v>
      </c>
      <c r="CU140" s="21">
        <f t="shared" si="136"/>
        <v>1404</v>
      </c>
      <c r="CV140" s="58">
        <v>127.97</v>
      </c>
      <c r="CW140" s="58">
        <f t="shared" si="137"/>
        <v>179669.88</v>
      </c>
      <c r="CX140" s="58"/>
      <c r="CY140" s="21">
        <f>IF(Table1[[#This Row],[Check 4 Status]]="Continued", Table1[[#This Row],[Check 4 Students Summer]], 0)</f>
        <v>144</v>
      </c>
      <c r="CZ140" s="58">
        <f>Table1[[#This Row],[Check 4 Per Student Savings]]*CY140</f>
        <v>18427.68</v>
      </c>
      <c r="DA140" s="21">
        <f>IF(Table1[[#This Row],[Check 4 Status]]="Continued", Table1[[#This Row],[Check 4 Students Fall]], 0)</f>
        <v>644</v>
      </c>
      <c r="DB140" s="58">
        <f>Table1[[#This Row],[Check 4 Per Student Savings]]*DA140</f>
        <v>82412.679999999993</v>
      </c>
      <c r="DC140" s="21">
        <f>IF(Table1[[#This Row],[Check 4 Status]]="Continued", Table1[[#This Row],[Check 4 Students Spring]], 0)</f>
        <v>616</v>
      </c>
      <c r="DD140" s="58">
        <f>Table1[[#This Row],[Check 4 Per Student Savings]]*DC140</f>
        <v>78829.52</v>
      </c>
      <c r="DE140" s="58">
        <f t="shared" si="138"/>
        <v>1404</v>
      </c>
      <c r="DF140" s="58">
        <f t="shared" si="139"/>
        <v>179669.88</v>
      </c>
      <c r="DG14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4636.3333333333339</v>
      </c>
      <c r="DH14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614025.09333333327</v>
      </c>
      <c r="DI140" s="58">
        <f>Table1[[#This Row],[Grand Total Savings]]/Table1[[#This Row],[Total Award]]</f>
        <v>23.799422222222219</v>
      </c>
      <c r="DJ140" s="17"/>
      <c r="DK140" s="17"/>
      <c r="DL140" s="17"/>
      <c r="DM140" s="17"/>
      <c r="EC140" s="17"/>
      <c r="ED140" s="17"/>
      <c r="EE140" s="17"/>
      <c r="EF140" s="17"/>
    </row>
    <row r="141" spans="1:136" x14ac:dyDescent="0.25">
      <c r="A141" s="157">
        <v>280</v>
      </c>
      <c r="B141" s="17" t="s">
        <v>2011</v>
      </c>
      <c r="D141" s="97">
        <v>512047</v>
      </c>
      <c r="E141" s="158">
        <v>42782</v>
      </c>
      <c r="F141" s="165">
        <v>43109</v>
      </c>
      <c r="G141" s="159" t="s">
        <v>777</v>
      </c>
      <c r="H141" s="95" t="s">
        <v>8</v>
      </c>
      <c r="I141" s="226" t="s">
        <v>118</v>
      </c>
      <c r="J141" s="17" t="s">
        <v>210</v>
      </c>
      <c r="K141" s="107">
        <v>5800</v>
      </c>
      <c r="L141" s="107"/>
      <c r="M141" s="101" t="s">
        <v>796</v>
      </c>
      <c r="N141" s="101" t="s">
        <v>797</v>
      </c>
      <c r="O141" s="101" t="s">
        <v>798</v>
      </c>
      <c r="P141" s="101" t="s">
        <v>713</v>
      </c>
      <c r="Q141" s="101" t="s">
        <v>714</v>
      </c>
      <c r="R141" s="101" t="s">
        <v>715</v>
      </c>
      <c r="S141" s="160" t="s">
        <v>36</v>
      </c>
      <c r="T141" s="17" t="s">
        <v>129</v>
      </c>
      <c r="U141" s="160" t="s">
        <v>785</v>
      </c>
      <c r="V141" s="17" t="s">
        <v>150</v>
      </c>
      <c r="W141" s="17" t="s">
        <v>150</v>
      </c>
      <c r="X141" s="17" t="s">
        <v>150</v>
      </c>
      <c r="Y141" s="58">
        <v>24148</v>
      </c>
      <c r="Z141" s="17">
        <v>288</v>
      </c>
      <c r="AA141" s="58">
        <f t="shared" si="129"/>
        <v>83.847222222222229</v>
      </c>
      <c r="AB141" s="21">
        <f t="shared" si="125"/>
        <v>96</v>
      </c>
      <c r="AC141" s="21">
        <f t="shared" si="126"/>
        <v>96</v>
      </c>
      <c r="AD141" s="21">
        <f t="shared" si="127"/>
        <v>96</v>
      </c>
      <c r="AE141" s="17" t="s">
        <v>588</v>
      </c>
      <c r="AF141" s="17" t="s">
        <v>129</v>
      </c>
      <c r="AG141" s="17"/>
      <c r="AI141" s="17" t="s">
        <v>130</v>
      </c>
      <c r="AJ141" s="21">
        <v>0</v>
      </c>
      <c r="AK141" s="58">
        <v>0</v>
      </c>
      <c r="AL141" s="21">
        <v>0</v>
      </c>
      <c r="AM141" s="58">
        <f t="shared" si="114"/>
        <v>0</v>
      </c>
      <c r="AN141" s="21">
        <v>0</v>
      </c>
      <c r="AO141" s="58">
        <f t="shared" si="115"/>
        <v>0</v>
      </c>
      <c r="AP141" s="21">
        <v>0</v>
      </c>
      <c r="AQ141" s="58">
        <f t="shared" si="116"/>
        <v>0</v>
      </c>
      <c r="AR141" s="21">
        <v>0</v>
      </c>
      <c r="AS141" s="58">
        <f t="shared" si="117"/>
        <v>0</v>
      </c>
      <c r="AT141" s="21">
        <v>0</v>
      </c>
      <c r="AU141" s="58">
        <f t="shared" si="118"/>
        <v>0</v>
      </c>
      <c r="AV141" s="21">
        <v>0</v>
      </c>
      <c r="AW141" s="58">
        <v>0</v>
      </c>
      <c r="AX141" s="31">
        <v>0</v>
      </c>
      <c r="AY141" s="58">
        <v>0</v>
      </c>
      <c r="AZ141" s="31">
        <v>0</v>
      </c>
      <c r="BA141" s="58">
        <v>0</v>
      </c>
      <c r="BB141" s="31">
        <v>0</v>
      </c>
      <c r="BC141" s="58">
        <v>0</v>
      </c>
      <c r="BD141" s="31">
        <v>0</v>
      </c>
      <c r="BE141" s="58">
        <v>0</v>
      </c>
      <c r="BF141" s="31">
        <f>Table1[[#This Row],[Students Per Fall]]</f>
        <v>96</v>
      </c>
      <c r="BG141" s="58">
        <f t="shared" si="120"/>
        <v>8049.3333333333339</v>
      </c>
      <c r="BH141" s="31">
        <f>IF(Table1[[#This Row],[Sustainability Check 1 (2017-2018) Status]]="Continued", Table1[[#This Row],[Students Per Spring]], 0)</f>
        <v>96</v>
      </c>
      <c r="BI141" s="58">
        <f t="shared" si="121"/>
        <v>8049.3333333333339</v>
      </c>
      <c r="BJ141" s="31">
        <f t="shared" si="122"/>
        <v>192</v>
      </c>
      <c r="BK141" s="58">
        <f t="shared" si="123"/>
        <v>16098.666666666668</v>
      </c>
      <c r="BL141" s="58" t="s">
        <v>130</v>
      </c>
      <c r="BM141" s="31">
        <v>50</v>
      </c>
      <c r="BN141" s="31">
        <v>90</v>
      </c>
      <c r="BO141" s="31">
        <v>90</v>
      </c>
      <c r="BP141" s="31">
        <f t="shared" si="124"/>
        <v>230</v>
      </c>
      <c r="BQ141" s="96">
        <v>100</v>
      </c>
      <c r="BR141" s="58">
        <f>Table1[[#This Row],[Check 2 Students Total]]*Table1[[#This Row],[Summer 2018 Price Check]]</f>
        <v>23000</v>
      </c>
      <c r="BS141" s="31">
        <f>IF(Table1[[#This Row],[Sustainability Check 2 (2018-2019) Status]]="Continued", Table1[[#This Row],[Check 2 Students Summer]], 0)</f>
        <v>50</v>
      </c>
      <c r="BT141" s="58">
        <f>Table1[[#This Row],[Summer 2018 Price Check]]*BS141</f>
        <v>5000</v>
      </c>
      <c r="BU141" s="31">
        <f>IF(Table1[[#This Row],[Sustainability Check 2 (2018-2019) Status]]="Continued", Table1[[#This Row],[Check 2 Students Fall]], 0)</f>
        <v>90</v>
      </c>
      <c r="BV141" s="58">
        <f>Table1[[#This Row],[Summer 2018 Price Check]]*BU141</f>
        <v>9000</v>
      </c>
      <c r="BW141" s="21">
        <f>IF(Table1[[#This Row],[Sustainability Check 2 (2018-2019) Status]]="Continued", Table1[Check 2 Students Spring], 0)</f>
        <v>90</v>
      </c>
      <c r="BX141" s="58">
        <f>Table1[[#This Row],[Summer 2018 Price Check]]*Table1[[#This Row],[Spring 2019 Students]]</f>
        <v>9000</v>
      </c>
      <c r="BY141" s="31">
        <f t="shared" si="130"/>
        <v>230</v>
      </c>
      <c r="BZ141" s="58">
        <f t="shared" si="131"/>
        <v>23000</v>
      </c>
      <c r="CA141" s="58" t="s">
        <v>130</v>
      </c>
      <c r="CB141" s="21">
        <v>35</v>
      </c>
      <c r="CC141" s="21">
        <v>70</v>
      </c>
      <c r="CD141" s="21">
        <v>70</v>
      </c>
      <c r="CE141" s="21">
        <f t="shared" si="132"/>
        <v>175</v>
      </c>
      <c r="CF141" s="58">
        <v>83.85</v>
      </c>
      <c r="CG141" s="58">
        <f t="shared" si="133"/>
        <v>14673.749999999998</v>
      </c>
      <c r="CH141" s="17" t="s">
        <v>588</v>
      </c>
      <c r="CI141" s="21">
        <f>IF(Table1[[#This Row],[Check 3 Status]]="Continued", Table1[[#This Row],[Check 3 Students Summer]], 0)</f>
        <v>35</v>
      </c>
      <c r="CJ141" s="58">
        <f>Table1[[#This Row],[Check 3 Per Student Savings]]*CI141</f>
        <v>2934.75</v>
      </c>
      <c r="CK141" s="21">
        <f>IF(Table1[[#This Row],[Check 3 Status]]="Continued", Table1[[#This Row],[Check 3 Students Fall]], 0)</f>
        <v>70</v>
      </c>
      <c r="CL141" s="58">
        <f>Table1[[#This Row],[Check 3 Per Student Savings]]*CK141</f>
        <v>5869.5</v>
      </c>
      <c r="CM141" s="21">
        <f>IF(Table1[[#This Row],[Check 3 Status]]="Continued", Table1[[#This Row],[Check 3 Students Spring]], 0)</f>
        <v>70</v>
      </c>
      <c r="CN141" s="58">
        <f>Table1[[#This Row],[Check 3 Per Student Savings]]*CM141</f>
        <v>5869.5</v>
      </c>
      <c r="CO141" s="21">
        <f t="shared" si="134"/>
        <v>175</v>
      </c>
      <c r="CP141" s="58">
        <f t="shared" si="135"/>
        <v>14673.75</v>
      </c>
      <c r="CQ141" s="58" t="s">
        <v>130</v>
      </c>
      <c r="CR141" s="21">
        <v>35</v>
      </c>
      <c r="CS141" s="21">
        <v>70</v>
      </c>
      <c r="CT141" s="21">
        <v>70</v>
      </c>
      <c r="CU141" s="21">
        <f t="shared" si="136"/>
        <v>175</v>
      </c>
      <c r="CV141" s="58">
        <v>83.85</v>
      </c>
      <c r="CW141" s="58">
        <f t="shared" si="137"/>
        <v>14673.749999999998</v>
      </c>
      <c r="CX141" s="58"/>
      <c r="CY141" s="21">
        <f>IF(Table1[[#This Row],[Check 4 Status]]="Continued", Table1[[#This Row],[Check 4 Students Summer]], 0)</f>
        <v>35</v>
      </c>
      <c r="CZ141" s="58">
        <f>Table1[[#This Row],[Check 4 Per Student Savings]]*CY141</f>
        <v>2934.75</v>
      </c>
      <c r="DA141" s="21">
        <f>IF(Table1[[#This Row],[Check 4 Status]]="Continued", Table1[[#This Row],[Check 4 Students Fall]], 0)</f>
        <v>70</v>
      </c>
      <c r="DB141" s="58">
        <f>Table1[[#This Row],[Check 4 Per Student Savings]]*DA141</f>
        <v>5869.5</v>
      </c>
      <c r="DC141" s="21">
        <f>IF(Table1[[#This Row],[Check 4 Status]]="Continued", Table1[[#This Row],[Check 4 Students Spring]], 0)</f>
        <v>70</v>
      </c>
      <c r="DD141" s="58">
        <f>Table1[[#This Row],[Check 4 Per Student Savings]]*DC141</f>
        <v>5869.5</v>
      </c>
      <c r="DE141" s="58">
        <f t="shared" si="138"/>
        <v>175</v>
      </c>
      <c r="DF141" s="58">
        <f t="shared" si="139"/>
        <v>14673.75</v>
      </c>
      <c r="DG14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772</v>
      </c>
      <c r="DH14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68446.166666666672</v>
      </c>
      <c r="DI141" s="58">
        <f>Table1[[#This Row],[Grand Total Savings]]/Table1[[#This Row],[Total Award]]</f>
        <v>11.801063218390805</v>
      </c>
      <c r="DJ141" s="17"/>
      <c r="DK141" s="17"/>
      <c r="DL141" s="17"/>
      <c r="DM141" s="17"/>
      <c r="EC141" s="17"/>
      <c r="ED141" s="17"/>
      <c r="EE141" s="17"/>
      <c r="EF141" s="17"/>
    </row>
    <row r="142" spans="1:136" x14ac:dyDescent="0.25">
      <c r="A142" s="157">
        <v>281</v>
      </c>
      <c r="B142" s="17" t="s">
        <v>2011</v>
      </c>
      <c r="D142" s="97">
        <v>512019</v>
      </c>
      <c r="E142" s="158">
        <v>42780</v>
      </c>
      <c r="F142" s="165">
        <v>43109</v>
      </c>
      <c r="G142" s="159" t="s">
        <v>777</v>
      </c>
      <c r="H142" s="95" t="s">
        <v>8</v>
      </c>
      <c r="I142" s="226" t="s">
        <v>118</v>
      </c>
      <c r="J142" s="17" t="s">
        <v>499</v>
      </c>
      <c r="K142" s="107">
        <v>15800</v>
      </c>
      <c r="L142" s="107"/>
      <c r="M142" s="101" t="s">
        <v>799</v>
      </c>
      <c r="N142" s="101" t="s">
        <v>800</v>
      </c>
      <c r="O142" s="101" t="s">
        <v>801</v>
      </c>
      <c r="P142" s="101" t="s">
        <v>802</v>
      </c>
      <c r="Q142" s="101" t="s">
        <v>530</v>
      </c>
      <c r="R142" s="101" t="s">
        <v>803</v>
      </c>
      <c r="S142" s="101" t="s">
        <v>129</v>
      </c>
      <c r="T142" s="17" t="s">
        <v>129</v>
      </c>
      <c r="U142" s="101" t="s">
        <v>164</v>
      </c>
      <c r="V142" s="17" t="s">
        <v>150</v>
      </c>
      <c r="W142" s="17" t="s">
        <v>150</v>
      </c>
      <c r="X142" s="17" t="s">
        <v>150</v>
      </c>
      <c r="Y142" s="58">
        <v>55440</v>
      </c>
      <c r="Z142" s="17">
        <v>308</v>
      </c>
      <c r="AA142" s="58">
        <f t="shared" si="129"/>
        <v>180</v>
      </c>
      <c r="AB142" s="21">
        <f t="shared" si="125"/>
        <v>102.66666666666667</v>
      </c>
      <c r="AC142" s="21">
        <f t="shared" si="126"/>
        <v>102.66666666666667</v>
      </c>
      <c r="AD142" s="21">
        <f t="shared" si="127"/>
        <v>102.66666666666667</v>
      </c>
      <c r="AE142" s="17" t="s">
        <v>588</v>
      </c>
      <c r="AF142" s="17" t="s">
        <v>129</v>
      </c>
      <c r="AG142" s="17"/>
      <c r="AI142" s="17" t="s">
        <v>130</v>
      </c>
      <c r="AJ142" s="21">
        <v>0</v>
      </c>
      <c r="AK142" s="58">
        <v>0</v>
      </c>
      <c r="AL142" s="21">
        <v>0</v>
      </c>
      <c r="AM142" s="58">
        <f t="shared" si="114"/>
        <v>0</v>
      </c>
      <c r="AN142" s="21">
        <v>0</v>
      </c>
      <c r="AO142" s="58">
        <f t="shared" si="115"/>
        <v>0</v>
      </c>
      <c r="AP142" s="21">
        <v>0</v>
      </c>
      <c r="AQ142" s="58">
        <f t="shared" si="116"/>
        <v>0</v>
      </c>
      <c r="AR142" s="21">
        <v>0</v>
      </c>
      <c r="AS142" s="58">
        <f t="shared" si="117"/>
        <v>0</v>
      </c>
      <c r="AT142" s="21">
        <v>0</v>
      </c>
      <c r="AU142" s="58">
        <f t="shared" si="118"/>
        <v>0</v>
      </c>
      <c r="AV142" s="21">
        <v>0</v>
      </c>
      <c r="AW142" s="58">
        <v>0</v>
      </c>
      <c r="AX142" s="31">
        <v>0</v>
      </c>
      <c r="AY142" s="58">
        <v>0</v>
      </c>
      <c r="AZ142" s="31">
        <v>0</v>
      </c>
      <c r="BA142" s="58">
        <v>0</v>
      </c>
      <c r="BB142" s="31">
        <v>0</v>
      </c>
      <c r="BC142" s="58">
        <v>0</v>
      </c>
      <c r="BD142" s="31">
        <v>0</v>
      </c>
      <c r="BE142" s="58">
        <v>0</v>
      </c>
      <c r="BF142" s="31">
        <f>Table1[[#This Row],[Students Per Fall]]</f>
        <v>102.66666666666667</v>
      </c>
      <c r="BG142" s="58">
        <f t="shared" si="120"/>
        <v>18480</v>
      </c>
      <c r="BH142" s="31">
        <f>IF(Table1[[#This Row],[Sustainability Check 1 (2017-2018) Status]]="Continued", Table1[[#This Row],[Students Per Spring]], 0)</f>
        <v>102.66666666666667</v>
      </c>
      <c r="BI142" s="58">
        <f t="shared" si="121"/>
        <v>18480</v>
      </c>
      <c r="BJ142" s="31">
        <f t="shared" si="122"/>
        <v>205.33333333333334</v>
      </c>
      <c r="BK142" s="58">
        <f t="shared" si="123"/>
        <v>36960</v>
      </c>
      <c r="BL142" s="58" t="s">
        <v>130</v>
      </c>
      <c r="BM142" s="31">
        <v>70</v>
      </c>
      <c r="BN142" s="31">
        <v>200</v>
      </c>
      <c r="BO142" s="31">
        <v>200</v>
      </c>
      <c r="BP142" s="31">
        <f t="shared" si="124"/>
        <v>470</v>
      </c>
      <c r="BQ142" s="96">
        <v>130</v>
      </c>
      <c r="BR142" s="58">
        <f>Table1[[#This Row],[Check 2 Students Total]]*Table1[[#This Row],[Summer 2018 Price Check]]</f>
        <v>61100</v>
      </c>
      <c r="BS142" s="31">
        <f>IF(Table1[[#This Row],[Sustainability Check 2 (2018-2019) Status]]="Continued", Table1[[#This Row],[Check 2 Students Summer]], 0)</f>
        <v>70</v>
      </c>
      <c r="BT142" s="58">
        <f>Table1[[#This Row],[Summer 2018 Price Check]]*BS142</f>
        <v>9100</v>
      </c>
      <c r="BU142" s="31">
        <f>IF(Table1[[#This Row],[Sustainability Check 2 (2018-2019) Status]]="Continued", Table1[[#This Row],[Check 2 Students Fall]], 0)</f>
        <v>200</v>
      </c>
      <c r="BV142" s="58">
        <f>Table1[[#This Row],[Summer 2018 Price Check]]*BU142</f>
        <v>26000</v>
      </c>
      <c r="BW142" s="21">
        <f>IF(Table1[[#This Row],[Sustainability Check 2 (2018-2019) Status]]="Continued", Table1[Check 2 Students Spring], 0)</f>
        <v>200</v>
      </c>
      <c r="BX142" s="58">
        <f>Table1[[#This Row],[Summer 2018 Price Check]]*Table1[[#This Row],[Spring 2019 Students]]</f>
        <v>26000</v>
      </c>
      <c r="BY142" s="31">
        <f t="shared" si="130"/>
        <v>470</v>
      </c>
      <c r="BZ142" s="58">
        <f t="shared" si="131"/>
        <v>61100</v>
      </c>
      <c r="CA142" s="58" t="s">
        <v>130</v>
      </c>
      <c r="CB142" s="21">
        <v>168</v>
      </c>
      <c r="CC142" s="21">
        <v>476</v>
      </c>
      <c r="CD142" s="21">
        <v>448</v>
      </c>
      <c r="CE142" s="21">
        <f t="shared" si="132"/>
        <v>1092</v>
      </c>
      <c r="CF142" s="58">
        <v>285.7</v>
      </c>
      <c r="CG142" s="58">
        <f t="shared" si="133"/>
        <v>311984.39999999997</v>
      </c>
      <c r="CH142" s="17" t="s">
        <v>588</v>
      </c>
      <c r="CI142" s="21">
        <f>IF(Table1[[#This Row],[Check 3 Status]]="Continued", Table1[[#This Row],[Check 3 Students Summer]], 0)</f>
        <v>168</v>
      </c>
      <c r="CJ142" s="58">
        <f>Table1[[#This Row],[Check 3 Per Student Savings]]*CI142</f>
        <v>47997.599999999999</v>
      </c>
      <c r="CK142" s="21">
        <f>IF(Table1[[#This Row],[Check 3 Status]]="Continued", Table1[[#This Row],[Check 3 Students Fall]], 0)</f>
        <v>476</v>
      </c>
      <c r="CL142" s="58">
        <f>Table1[[#This Row],[Check 3 Per Student Savings]]*CK142</f>
        <v>135993.19999999998</v>
      </c>
      <c r="CM142" s="21">
        <f>IF(Table1[[#This Row],[Check 3 Status]]="Continued", Table1[[#This Row],[Check 3 Students Spring]], 0)</f>
        <v>448</v>
      </c>
      <c r="CN142" s="58">
        <f>Table1[[#This Row],[Check 3 Per Student Savings]]*CM142</f>
        <v>127993.59999999999</v>
      </c>
      <c r="CO142" s="21">
        <f t="shared" si="134"/>
        <v>1092</v>
      </c>
      <c r="CP142" s="58">
        <f t="shared" si="135"/>
        <v>311984.39999999997</v>
      </c>
      <c r="CQ142" s="58" t="s">
        <v>130</v>
      </c>
      <c r="CR142" s="21">
        <v>168</v>
      </c>
      <c r="CS142" s="21">
        <v>476</v>
      </c>
      <c r="CT142" s="21">
        <v>448</v>
      </c>
      <c r="CU142" s="21">
        <f t="shared" si="136"/>
        <v>1092</v>
      </c>
      <c r="CV142" s="58">
        <v>285.7</v>
      </c>
      <c r="CW142" s="58">
        <f t="shared" si="137"/>
        <v>311984.39999999997</v>
      </c>
      <c r="CX142" s="58"/>
      <c r="CY142" s="21">
        <f>IF(Table1[[#This Row],[Check 4 Status]]="Continued", Table1[[#This Row],[Check 4 Students Summer]], 0)</f>
        <v>168</v>
      </c>
      <c r="CZ142" s="58">
        <f>Table1[[#This Row],[Check 4 Per Student Savings]]*CY142</f>
        <v>47997.599999999999</v>
      </c>
      <c r="DA142" s="21">
        <f>IF(Table1[[#This Row],[Check 4 Status]]="Continued", Table1[[#This Row],[Check 4 Students Fall]], 0)</f>
        <v>476</v>
      </c>
      <c r="DB142" s="58">
        <f>Table1[[#This Row],[Check 4 Per Student Savings]]*DA142</f>
        <v>135993.19999999998</v>
      </c>
      <c r="DC142" s="21">
        <f>IF(Table1[[#This Row],[Check 4 Status]]="Continued", Table1[[#This Row],[Check 4 Students Spring]], 0)</f>
        <v>448</v>
      </c>
      <c r="DD142" s="58">
        <f>Table1[[#This Row],[Check 4 Per Student Savings]]*DC142</f>
        <v>127993.59999999999</v>
      </c>
      <c r="DE142" s="58">
        <f t="shared" si="138"/>
        <v>1092</v>
      </c>
      <c r="DF142" s="58">
        <f t="shared" si="139"/>
        <v>311984.39999999997</v>
      </c>
      <c r="DG14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2859.3333333333335</v>
      </c>
      <c r="DH14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722028.79999999993</v>
      </c>
      <c r="DI142" s="58">
        <f>Table1[[#This Row],[Grand Total Savings]]/Table1[[#This Row],[Total Award]]</f>
        <v>45.698025316455691</v>
      </c>
      <c r="DJ142" s="17"/>
      <c r="DK142" s="17"/>
      <c r="DL142" s="17"/>
      <c r="DM142" s="17"/>
      <c r="EC142" s="17"/>
      <c r="ED142" s="17"/>
      <c r="EE142" s="17"/>
      <c r="EF142" s="17"/>
    </row>
    <row r="143" spans="1:136" x14ac:dyDescent="0.25">
      <c r="A143" s="157">
        <v>283</v>
      </c>
      <c r="B143" s="17" t="s">
        <v>2011</v>
      </c>
      <c r="D143" s="97">
        <v>512125</v>
      </c>
      <c r="E143" s="158">
        <v>42823</v>
      </c>
      <c r="F143" s="165">
        <v>43109</v>
      </c>
      <c r="G143" s="159" t="s">
        <v>777</v>
      </c>
      <c r="H143" s="95" t="s">
        <v>8</v>
      </c>
      <c r="I143" s="226" t="s">
        <v>118</v>
      </c>
      <c r="J143" s="17" t="s">
        <v>243</v>
      </c>
      <c r="K143" s="107">
        <v>10800</v>
      </c>
      <c r="L143" s="107"/>
      <c r="M143" s="101" t="s">
        <v>804</v>
      </c>
      <c r="N143" s="101" t="s">
        <v>805</v>
      </c>
      <c r="O143" s="101" t="s">
        <v>806</v>
      </c>
      <c r="P143" s="101" t="s">
        <v>794</v>
      </c>
      <c r="Q143" s="101" t="s">
        <v>776</v>
      </c>
      <c r="R143" s="101" t="s">
        <v>793</v>
      </c>
      <c r="S143" s="101" t="s">
        <v>129</v>
      </c>
      <c r="T143" s="17" t="s">
        <v>129</v>
      </c>
      <c r="U143" s="160" t="s">
        <v>806</v>
      </c>
      <c r="V143" s="17" t="s">
        <v>150</v>
      </c>
      <c r="W143" s="17" t="s">
        <v>150</v>
      </c>
      <c r="X143" s="17" t="s">
        <v>150</v>
      </c>
      <c r="Y143" s="58">
        <v>35648</v>
      </c>
      <c r="Z143" s="17">
        <v>250</v>
      </c>
      <c r="AA143" s="58">
        <f t="shared" si="129"/>
        <v>142.59200000000001</v>
      </c>
      <c r="AB143" s="21">
        <f t="shared" si="125"/>
        <v>83.333333333333329</v>
      </c>
      <c r="AC143" s="21">
        <f t="shared" si="126"/>
        <v>83.333333333333329</v>
      </c>
      <c r="AD143" s="21">
        <f t="shared" si="127"/>
        <v>83.333333333333329</v>
      </c>
      <c r="AE143" s="17" t="s">
        <v>588</v>
      </c>
      <c r="AF143" s="17" t="s">
        <v>129</v>
      </c>
      <c r="AG143" s="17"/>
      <c r="AI143" s="17" t="s">
        <v>130</v>
      </c>
      <c r="AJ143" s="21">
        <v>0</v>
      </c>
      <c r="AK143" s="58">
        <v>0</v>
      </c>
      <c r="AL143" s="21">
        <v>0</v>
      </c>
      <c r="AM143" s="58">
        <f t="shared" si="114"/>
        <v>0</v>
      </c>
      <c r="AN143" s="21">
        <v>0</v>
      </c>
      <c r="AO143" s="58">
        <f t="shared" si="115"/>
        <v>0</v>
      </c>
      <c r="AP143" s="21">
        <v>0</v>
      </c>
      <c r="AQ143" s="58">
        <f t="shared" si="116"/>
        <v>0</v>
      </c>
      <c r="AR143" s="21">
        <v>0</v>
      </c>
      <c r="AS143" s="58">
        <f t="shared" si="117"/>
        <v>0</v>
      </c>
      <c r="AT143" s="21">
        <v>0</v>
      </c>
      <c r="AU143" s="58">
        <f t="shared" si="118"/>
        <v>0</v>
      </c>
      <c r="AV143" s="21">
        <v>0</v>
      </c>
      <c r="AW143" s="58">
        <v>0</v>
      </c>
      <c r="AX143" s="31">
        <v>0</v>
      </c>
      <c r="AY143" s="58">
        <v>0</v>
      </c>
      <c r="AZ143" s="31">
        <v>0</v>
      </c>
      <c r="BA143" s="58">
        <v>0</v>
      </c>
      <c r="BB143" s="31">
        <v>0</v>
      </c>
      <c r="BC143" s="58">
        <v>0</v>
      </c>
      <c r="BD143" s="31">
        <v>0</v>
      </c>
      <c r="BE143" s="58">
        <v>0</v>
      </c>
      <c r="BF143" s="31">
        <f>Table1[[#This Row],[Students Per Fall]]</f>
        <v>83.333333333333329</v>
      </c>
      <c r="BG143" s="58">
        <f t="shared" si="120"/>
        <v>11882.666666666668</v>
      </c>
      <c r="BH143" s="31">
        <f>IF(Table1[[#This Row],[Sustainability Check 1 (2017-2018) Status]]="Continued", Table1[[#This Row],[Students Per Spring]], 0)</f>
        <v>83.333333333333329</v>
      </c>
      <c r="BI143" s="58">
        <f t="shared" si="121"/>
        <v>11882.666666666668</v>
      </c>
      <c r="BJ143" s="31">
        <f t="shared" si="122"/>
        <v>166.66666666666666</v>
      </c>
      <c r="BK143" s="58">
        <f t="shared" si="123"/>
        <v>23765.333333333336</v>
      </c>
      <c r="BL143" s="58" t="s">
        <v>130</v>
      </c>
      <c r="BM143" s="31">
        <v>0</v>
      </c>
      <c r="BN143" s="31">
        <v>150</v>
      </c>
      <c r="BO143" s="31">
        <v>150</v>
      </c>
      <c r="BP143" s="31">
        <f t="shared" si="124"/>
        <v>300</v>
      </c>
      <c r="BQ143" s="96">
        <v>133.19</v>
      </c>
      <c r="BR143" s="58">
        <f>Table1[[#This Row],[Check 2 Students Total]]*Table1[[#This Row],[Summer 2018 Price Check]]</f>
        <v>39957</v>
      </c>
      <c r="BS143" s="31">
        <f>IF(Table1[[#This Row],[Sustainability Check 2 (2018-2019) Status]]="Continued", Table1[[#This Row],[Check 2 Students Summer]], 0)</f>
        <v>0</v>
      </c>
      <c r="BT143" s="58">
        <f>Table1[[#This Row],[Summer 2018 Price Check]]*BS143</f>
        <v>0</v>
      </c>
      <c r="BU143" s="31">
        <f>IF(Table1[[#This Row],[Sustainability Check 2 (2018-2019) Status]]="Continued", Table1[[#This Row],[Check 2 Students Fall]], 0)</f>
        <v>150</v>
      </c>
      <c r="BV143" s="58">
        <f>Table1[[#This Row],[Summer 2018 Price Check]]*BU143</f>
        <v>19978.5</v>
      </c>
      <c r="BW143" s="21">
        <f>IF(Table1[[#This Row],[Sustainability Check 2 (2018-2019) Status]]="Continued", Table1[Check 2 Students Spring], 0)</f>
        <v>150</v>
      </c>
      <c r="BX143" s="58">
        <f>Table1[[#This Row],[Summer 2018 Price Check]]*Table1[[#This Row],[Spring 2019 Students]]</f>
        <v>19978.5</v>
      </c>
      <c r="BY143" s="31">
        <f t="shared" si="130"/>
        <v>300</v>
      </c>
      <c r="BZ143" s="58">
        <f t="shared" si="131"/>
        <v>39957</v>
      </c>
      <c r="CA143" s="58" t="s">
        <v>130</v>
      </c>
      <c r="CB143" s="21">
        <v>0</v>
      </c>
      <c r="CC143" s="21">
        <v>160</v>
      </c>
      <c r="CD143" s="21">
        <v>160</v>
      </c>
      <c r="CE143" s="21">
        <f t="shared" si="132"/>
        <v>320</v>
      </c>
      <c r="CF143" s="58">
        <v>142.59</v>
      </c>
      <c r="CG143" s="58">
        <f t="shared" si="133"/>
        <v>45628.800000000003</v>
      </c>
      <c r="CH143" s="17" t="s">
        <v>588</v>
      </c>
      <c r="CI143" s="21">
        <f>IF(Table1[[#This Row],[Check 3 Status]]="Continued", Table1[[#This Row],[Check 3 Students Summer]], 0)</f>
        <v>0</v>
      </c>
      <c r="CJ143" s="58">
        <f>Table1[[#This Row],[Check 3 Per Student Savings]]*CI143</f>
        <v>0</v>
      </c>
      <c r="CK143" s="21">
        <f>IF(Table1[[#This Row],[Check 3 Status]]="Continued", Table1[[#This Row],[Check 3 Students Fall]], 0)</f>
        <v>160</v>
      </c>
      <c r="CL143" s="58">
        <f>Table1[[#This Row],[Check 3 Per Student Savings]]*CK143</f>
        <v>22814.400000000001</v>
      </c>
      <c r="CM143" s="21">
        <f>IF(Table1[[#This Row],[Check 3 Status]]="Continued", Table1[[#This Row],[Check 3 Students Spring]], 0)</f>
        <v>160</v>
      </c>
      <c r="CN143" s="58">
        <f>Table1[[#This Row],[Check 3 Per Student Savings]]*CM143</f>
        <v>22814.400000000001</v>
      </c>
      <c r="CO143" s="21">
        <f t="shared" si="134"/>
        <v>320</v>
      </c>
      <c r="CP143" s="58">
        <f t="shared" si="135"/>
        <v>45628.800000000003</v>
      </c>
      <c r="CQ143" s="58" t="s">
        <v>142</v>
      </c>
      <c r="CR143" s="21">
        <v>0</v>
      </c>
      <c r="CS143" s="21">
        <v>160</v>
      </c>
      <c r="CT143" s="21">
        <v>160</v>
      </c>
      <c r="CU143" s="21">
        <v>0</v>
      </c>
      <c r="CV143" s="58">
        <v>0</v>
      </c>
      <c r="CW143" s="58">
        <f t="shared" si="137"/>
        <v>0</v>
      </c>
      <c r="CX143" s="58"/>
      <c r="CY143" s="21">
        <f>IF(Table1[[#This Row],[Check 4 Status]]="Continued", Table1[[#This Row],[Check 4 Students Summer]], 0)</f>
        <v>0</v>
      </c>
      <c r="CZ143" s="58">
        <f>Table1[[#This Row],[Check 4 Per Student Savings]]*CY143</f>
        <v>0</v>
      </c>
      <c r="DA143" s="21">
        <f>IF(Table1[[#This Row],[Check 4 Status]]="Continued", Table1[[#This Row],[Check 4 Students Fall]], 0)</f>
        <v>0</v>
      </c>
      <c r="DB143" s="58">
        <f>Table1[[#This Row],[Check 4 Per Student Savings]]*DA143</f>
        <v>0</v>
      </c>
      <c r="DC143" s="21">
        <f>IF(Table1[[#This Row],[Check 4 Status]]="Continued", Table1[[#This Row],[Check 4 Students Spring]], 0)</f>
        <v>0</v>
      </c>
      <c r="DD143" s="58">
        <f>Table1[[#This Row],[Check 4 Per Student Savings]]*DC143</f>
        <v>0</v>
      </c>
      <c r="DE143" s="58">
        <f t="shared" si="138"/>
        <v>0</v>
      </c>
      <c r="DF143" s="58">
        <f t="shared" si="139"/>
        <v>0</v>
      </c>
      <c r="DG14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786.66666666666663</v>
      </c>
      <c r="DH14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109351.13333333333</v>
      </c>
      <c r="DI143" s="58">
        <f>Table1[[#This Row],[Grand Total Savings]]/Table1[[#This Row],[Total Award]]</f>
        <v>10.125104938271605</v>
      </c>
      <c r="DJ143" s="17"/>
      <c r="DK143" s="17"/>
      <c r="DL143" s="17"/>
      <c r="DM143" s="17"/>
      <c r="EC143" s="17"/>
      <c r="ED143" s="17"/>
      <c r="EE143" s="17"/>
      <c r="EF143" s="17"/>
    </row>
    <row r="144" spans="1:136" x14ac:dyDescent="0.25">
      <c r="A144" s="157">
        <v>285</v>
      </c>
      <c r="B144" s="17" t="s">
        <v>2011</v>
      </c>
      <c r="D144" s="97">
        <v>512030</v>
      </c>
      <c r="E144" s="158">
        <v>42794</v>
      </c>
      <c r="F144" s="165">
        <v>43109</v>
      </c>
      <c r="G144" s="159" t="s">
        <v>777</v>
      </c>
      <c r="H144" s="95" t="s">
        <v>8</v>
      </c>
      <c r="I144" s="226" t="s">
        <v>118</v>
      </c>
      <c r="J144" s="17" t="s">
        <v>210</v>
      </c>
      <c r="K144" s="107">
        <v>20800</v>
      </c>
      <c r="L144" s="107"/>
      <c r="M144" s="101" t="s">
        <v>807</v>
      </c>
      <c r="N144" s="101" t="s">
        <v>808</v>
      </c>
      <c r="O144" s="101" t="s">
        <v>809</v>
      </c>
      <c r="P144" s="101" t="s">
        <v>810</v>
      </c>
      <c r="Q144" s="101" t="s">
        <v>317</v>
      </c>
      <c r="R144" s="101" t="s">
        <v>811</v>
      </c>
      <c r="S144" s="160" t="s">
        <v>36</v>
      </c>
      <c r="T144" s="17" t="s">
        <v>125</v>
      </c>
      <c r="U144" s="160" t="s">
        <v>812</v>
      </c>
      <c r="V144" s="17" t="s">
        <v>150</v>
      </c>
      <c r="W144" s="17" t="s">
        <v>150</v>
      </c>
      <c r="X144" s="17" t="s">
        <v>150</v>
      </c>
      <c r="Y144" s="58">
        <v>206960</v>
      </c>
      <c r="Z144" s="31">
        <v>1040</v>
      </c>
      <c r="AA144" s="58">
        <f t="shared" si="129"/>
        <v>199</v>
      </c>
      <c r="AB144" s="21">
        <f t="shared" si="125"/>
        <v>346.66666666666669</v>
      </c>
      <c r="AC144" s="21">
        <f t="shared" si="126"/>
        <v>346.66666666666669</v>
      </c>
      <c r="AD144" s="21">
        <f t="shared" si="127"/>
        <v>346.66666666666669</v>
      </c>
      <c r="AE144" s="17" t="s">
        <v>813</v>
      </c>
      <c r="AF144" s="17" t="s">
        <v>129</v>
      </c>
      <c r="AG144" s="17"/>
      <c r="AI144" s="17" t="s">
        <v>130</v>
      </c>
      <c r="AJ144" s="21">
        <v>0</v>
      </c>
      <c r="AK144" s="58">
        <v>0</v>
      </c>
      <c r="AL144" s="21">
        <v>0</v>
      </c>
      <c r="AM144" s="58">
        <f t="shared" si="114"/>
        <v>0</v>
      </c>
      <c r="AN144" s="21">
        <v>0</v>
      </c>
      <c r="AO144" s="58">
        <f t="shared" si="115"/>
        <v>0</v>
      </c>
      <c r="AP144" s="21">
        <v>0</v>
      </c>
      <c r="AQ144" s="58">
        <f t="shared" si="116"/>
        <v>0</v>
      </c>
      <c r="AR144" s="21">
        <v>0</v>
      </c>
      <c r="AS144" s="58">
        <f t="shared" si="117"/>
        <v>0</v>
      </c>
      <c r="AT144" s="21">
        <v>0</v>
      </c>
      <c r="AU144" s="58">
        <f t="shared" si="118"/>
        <v>0</v>
      </c>
      <c r="AV144" s="21">
        <v>0</v>
      </c>
      <c r="AW144" s="58">
        <v>0</v>
      </c>
      <c r="AX144" s="31">
        <v>0</v>
      </c>
      <c r="AY144" s="58">
        <v>0</v>
      </c>
      <c r="AZ144" s="31">
        <v>0</v>
      </c>
      <c r="BA144" s="58">
        <v>0</v>
      </c>
      <c r="BB144" s="31">
        <v>0</v>
      </c>
      <c r="BC144" s="58">
        <v>0</v>
      </c>
      <c r="BD144" s="31">
        <f>IF(Table1[[#This Row],[Sustainability Check 1 (2017-2018) Status]]="Continued", Table1[[#This Row],[Students Per Summer]], 0)</f>
        <v>346.66666666666669</v>
      </c>
      <c r="BE144" s="58">
        <f>$AA144*BD144</f>
        <v>68986.666666666672</v>
      </c>
      <c r="BF144" s="31">
        <f>IF(Table1[[#This Row],[Sustainability Check 1 (2017-2018) Status]]="Continued", Table1[[#This Row],[Students Per Fall]], 0)</f>
        <v>346.66666666666669</v>
      </c>
      <c r="BG144" s="58">
        <f t="shared" si="120"/>
        <v>68986.666666666672</v>
      </c>
      <c r="BH144" s="31">
        <f>IF(Table1[[#This Row],[Sustainability Check 1 (2017-2018) Status]]="Continued", Table1[[#This Row],[Students Per Spring]], 0)</f>
        <v>346.66666666666669</v>
      </c>
      <c r="BI144" s="58">
        <f t="shared" si="121"/>
        <v>68986.666666666672</v>
      </c>
      <c r="BJ144" s="31">
        <f t="shared" si="122"/>
        <v>1040</v>
      </c>
      <c r="BK144" s="58">
        <f t="shared" si="123"/>
        <v>206960</v>
      </c>
      <c r="BL144" s="58" t="s">
        <v>130</v>
      </c>
      <c r="BM144" s="31">
        <v>100</v>
      </c>
      <c r="BN144" s="31">
        <v>400</v>
      </c>
      <c r="BO144" s="31">
        <v>360</v>
      </c>
      <c r="BP144" s="31">
        <f t="shared" si="124"/>
        <v>860</v>
      </c>
      <c r="BQ144" s="58">
        <v>244.72</v>
      </c>
      <c r="BR144" s="58">
        <f>Table1[[#This Row],[Check 2 Students Total]]*Table1[[#This Row],[Summer 2018 Price Check]]</f>
        <v>210459.2</v>
      </c>
      <c r="BS144" s="31">
        <f>IF(Table1[[#This Row],[Sustainability Check 2 (2018-2019) Status]]="Continued", Table1[[#This Row],[Check 2 Students Summer]], 0)</f>
        <v>100</v>
      </c>
      <c r="BT144" s="58">
        <f>Table1[[#This Row],[Summer 2018 Price Check]]*BS144</f>
        <v>24472</v>
      </c>
      <c r="BU144" s="31">
        <f>IF(Table1[[#This Row],[Sustainability Check 2 (2018-2019) Status]]="Continued", Table1[[#This Row],[Check 2 Students Fall]], 0)</f>
        <v>400</v>
      </c>
      <c r="BV144" s="58">
        <f>Table1[[#This Row],[Summer 2018 Price Check]]*BU144</f>
        <v>97888</v>
      </c>
      <c r="BW144" s="21">
        <f>IF(Table1[[#This Row],[Sustainability Check 2 (2018-2019) Status]]="Continued", Table1[Check 2 Students Spring], 0)</f>
        <v>360</v>
      </c>
      <c r="BX144" s="58">
        <f>Table1[[#This Row],[Summer 2018 Price Check]]*Table1[[#This Row],[Spring 2019 Students]]</f>
        <v>88099.199999999997</v>
      </c>
      <c r="BY144" s="31">
        <f t="shared" si="130"/>
        <v>860</v>
      </c>
      <c r="BZ144" s="58">
        <f t="shared" si="131"/>
        <v>210459.2</v>
      </c>
      <c r="CA144" s="58" t="s">
        <v>130</v>
      </c>
      <c r="CB144" s="21">
        <v>211</v>
      </c>
      <c r="CC144" s="21">
        <v>639</v>
      </c>
      <c r="CD144" s="21">
        <v>550</v>
      </c>
      <c r="CE144" s="21">
        <f t="shared" si="132"/>
        <v>1400</v>
      </c>
      <c r="CF144" s="58">
        <v>199</v>
      </c>
      <c r="CG144" s="58">
        <f t="shared" si="133"/>
        <v>278600</v>
      </c>
      <c r="CH144" s="17" t="s">
        <v>813</v>
      </c>
      <c r="CI144" s="21">
        <f>IF(Table1[[#This Row],[Check 3 Status]]="Continued", Table1[[#This Row],[Check 3 Students Summer]], 0)</f>
        <v>211</v>
      </c>
      <c r="CJ144" s="58">
        <f>Table1[[#This Row],[Check 3 Per Student Savings]]*CI144</f>
        <v>41989</v>
      </c>
      <c r="CK144" s="21">
        <f>IF(Table1[[#This Row],[Check 3 Status]]="Continued", Table1[[#This Row],[Check 3 Students Fall]], 0)</f>
        <v>639</v>
      </c>
      <c r="CL144" s="58">
        <f>Table1[[#This Row],[Check 3 Per Student Savings]]*CK144</f>
        <v>127161</v>
      </c>
      <c r="CM144" s="21">
        <f>IF(Table1[[#This Row],[Check 3 Status]]="Continued", Table1[[#This Row],[Check 3 Students Spring]], 0)</f>
        <v>550</v>
      </c>
      <c r="CN144" s="58">
        <f>Table1[[#This Row],[Check 3 Per Student Savings]]*CM144</f>
        <v>109450</v>
      </c>
      <c r="CO144" s="21">
        <f t="shared" si="134"/>
        <v>1400</v>
      </c>
      <c r="CP144" s="58">
        <f t="shared" si="135"/>
        <v>278600</v>
      </c>
      <c r="CQ144" s="58" t="s">
        <v>1777</v>
      </c>
      <c r="CR144" s="21">
        <v>211</v>
      </c>
      <c r="CS144" s="21">
        <v>639</v>
      </c>
      <c r="CT144" s="21">
        <v>550</v>
      </c>
      <c r="CU144" s="21">
        <v>0</v>
      </c>
      <c r="CV144" s="58">
        <v>0</v>
      </c>
      <c r="CW144" s="58">
        <f t="shared" si="137"/>
        <v>0</v>
      </c>
      <c r="CX144" s="58"/>
      <c r="CY144" s="21">
        <f>IF(Table1[[#This Row],[Check 4 Status]]="Continued", Table1[[#This Row],[Check 4 Students Summer]], 0)</f>
        <v>0</v>
      </c>
      <c r="CZ144" s="58">
        <f>Table1[[#This Row],[Check 4 Per Student Savings]]*CY144</f>
        <v>0</v>
      </c>
      <c r="DA144" s="21">
        <f>IF(Table1[[#This Row],[Check 4 Status]]="Continued", Table1[[#This Row],[Check 4 Students Fall]], 0)</f>
        <v>0</v>
      </c>
      <c r="DB144" s="58">
        <f>Table1[[#This Row],[Check 4 Per Student Savings]]*DA144</f>
        <v>0</v>
      </c>
      <c r="DC144" s="21">
        <f>IF(Table1[[#This Row],[Check 4 Status]]="Continued", Table1[[#This Row],[Check 4 Students Spring]], 0)</f>
        <v>0</v>
      </c>
      <c r="DD144" s="58">
        <f>Table1[[#This Row],[Check 4 Per Student Savings]]*DC144</f>
        <v>0</v>
      </c>
      <c r="DE144" s="58">
        <f t="shared" si="138"/>
        <v>0</v>
      </c>
      <c r="DF144" s="58">
        <f t="shared" si="139"/>
        <v>0</v>
      </c>
      <c r="DG14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3300</v>
      </c>
      <c r="DH14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696019.2</v>
      </c>
      <c r="DI144" s="58">
        <f>Table1[[#This Row],[Grand Total Savings]]/Table1[[#This Row],[Total Award]]</f>
        <v>33.46246153846154</v>
      </c>
      <c r="DJ144" s="17"/>
      <c r="DK144" s="17"/>
      <c r="DL144" s="17"/>
      <c r="DM144" s="17"/>
      <c r="EC144" s="17"/>
      <c r="ED144" s="17"/>
      <c r="EE144" s="17"/>
      <c r="EF144" s="17"/>
    </row>
    <row r="145" spans="1:136" x14ac:dyDescent="0.25">
      <c r="A145" s="157">
        <v>291</v>
      </c>
      <c r="B145" s="17" t="s">
        <v>2011</v>
      </c>
      <c r="D145" s="97">
        <v>512050</v>
      </c>
      <c r="E145" s="158">
        <v>42780</v>
      </c>
      <c r="F145" s="165">
        <v>43109</v>
      </c>
      <c r="G145" s="159" t="s">
        <v>777</v>
      </c>
      <c r="H145" s="95" t="s">
        <v>8</v>
      </c>
      <c r="I145" s="226" t="s">
        <v>118</v>
      </c>
      <c r="J145" s="17" t="s">
        <v>585</v>
      </c>
      <c r="K145" s="107">
        <v>26800</v>
      </c>
      <c r="L145" s="107"/>
      <c r="M145" s="101" t="s">
        <v>586</v>
      </c>
      <c r="N145" s="101" t="s">
        <v>814</v>
      </c>
      <c r="O145" s="101" t="s">
        <v>204</v>
      </c>
      <c r="P145" s="101" t="s">
        <v>205</v>
      </c>
      <c r="Q145" s="101" t="s">
        <v>206</v>
      </c>
      <c r="R145" s="101" t="s">
        <v>204</v>
      </c>
      <c r="S145" s="160" t="s">
        <v>36</v>
      </c>
      <c r="T145" s="17" t="s">
        <v>125</v>
      </c>
      <c r="U145" s="160" t="s">
        <v>367</v>
      </c>
      <c r="V145" s="17" t="s">
        <v>150</v>
      </c>
      <c r="W145" s="17" t="s">
        <v>150</v>
      </c>
      <c r="X145" s="17" t="s">
        <v>150</v>
      </c>
      <c r="Y145" s="58">
        <v>460000</v>
      </c>
      <c r="Z145" s="31">
        <v>2300</v>
      </c>
      <c r="AA145" s="58">
        <f t="shared" si="129"/>
        <v>200</v>
      </c>
      <c r="AB145" s="21">
        <f t="shared" si="125"/>
        <v>766.66666666666663</v>
      </c>
      <c r="AC145" s="21">
        <f t="shared" si="126"/>
        <v>766.66666666666663</v>
      </c>
      <c r="AD145" s="21">
        <f t="shared" si="127"/>
        <v>766.66666666666663</v>
      </c>
      <c r="AE145" s="17" t="s">
        <v>588</v>
      </c>
      <c r="AF145" s="17" t="s">
        <v>129</v>
      </c>
      <c r="AG145" s="17"/>
      <c r="AI145" s="17" t="s">
        <v>130</v>
      </c>
      <c r="AJ145" s="21">
        <v>0</v>
      </c>
      <c r="AK145" s="58">
        <v>0</v>
      </c>
      <c r="AL145" s="21">
        <v>0</v>
      </c>
      <c r="AM145" s="58">
        <f t="shared" ref="AM145:AM176" si="140">AK145</f>
        <v>0</v>
      </c>
      <c r="AN145" s="21">
        <v>0</v>
      </c>
      <c r="AO145" s="58">
        <f t="shared" ref="AO145:AO176" si="141">$AA145*AN145</f>
        <v>0</v>
      </c>
      <c r="AP145" s="21">
        <v>0</v>
      </c>
      <c r="AQ145" s="58">
        <f t="shared" ref="AQ145:AQ176" si="142">$AA145*AP145</f>
        <v>0</v>
      </c>
      <c r="AR145" s="21">
        <v>0</v>
      </c>
      <c r="AS145" s="58">
        <f t="shared" ref="AS145:AS176" si="143">$AA145*AR145</f>
        <v>0</v>
      </c>
      <c r="AT145" s="21">
        <v>0</v>
      </c>
      <c r="AU145" s="58">
        <f t="shared" ref="AU145:AU176" si="144">AO145+AQ145+AS145</f>
        <v>0</v>
      </c>
      <c r="AV145" s="21">
        <v>0</v>
      </c>
      <c r="AW145" s="58">
        <v>0</v>
      </c>
      <c r="AX145" s="31">
        <v>0</v>
      </c>
      <c r="AY145" s="58">
        <v>0</v>
      </c>
      <c r="AZ145" s="31">
        <v>0</v>
      </c>
      <c r="BA145" s="58">
        <v>0</v>
      </c>
      <c r="BB145" s="31">
        <v>0</v>
      </c>
      <c r="BC145" s="58">
        <v>0</v>
      </c>
      <c r="BD145" s="31">
        <v>0</v>
      </c>
      <c r="BE145" s="58">
        <v>0</v>
      </c>
      <c r="BF145" s="31">
        <f>Table1[[#This Row],[Students Per Fall]]</f>
        <v>766.66666666666663</v>
      </c>
      <c r="BG145" s="58">
        <f t="shared" si="120"/>
        <v>153333.33333333331</v>
      </c>
      <c r="BH145" s="31">
        <f>IF(Table1[[#This Row],[Sustainability Check 1 (2017-2018) Status]]="Continued", Table1[[#This Row],[Students Per Spring]], 0)</f>
        <v>766.66666666666663</v>
      </c>
      <c r="BI145" s="58">
        <f t="shared" ref="BI145:BI169" si="145">$AA145*BH145</f>
        <v>153333.33333333331</v>
      </c>
      <c r="BJ145" s="31">
        <f t="shared" ref="BJ145:BJ169" si="146">BD145+BF145+BH145</f>
        <v>1533.3333333333333</v>
      </c>
      <c r="BK145" s="58">
        <f t="shared" ref="BK145:BK169" si="147">BE145+BG145+BI145</f>
        <v>306666.66666666663</v>
      </c>
      <c r="BL145" s="58" t="s">
        <v>130</v>
      </c>
      <c r="BM145" s="31">
        <v>200</v>
      </c>
      <c r="BN145" s="31">
        <v>200</v>
      </c>
      <c r="BO145" s="31">
        <v>200</v>
      </c>
      <c r="BP145" s="31">
        <f t="shared" si="124"/>
        <v>600</v>
      </c>
      <c r="BQ145" s="96">
        <v>242.2</v>
      </c>
      <c r="BR145" s="58">
        <f>Table1[[#This Row],[Check 2 Students Total]]*Table1[[#This Row],[Summer 2018 Price Check]]</f>
        <v>145320</v>
      </c>
      <c r="BS145" s="31">
        <f>IF(Table1[[#This Row],[Sustainability Check 2 (2018-2019) Status]]="Continued", Table1[[#This Row],[Check 2 Students Summer]], 0)</f>
        <v>200</v>
      </c>
      <c r="BT145" s="58">
        <f>Table1[[#This Row],[Summer 2018 Price Check]]*BS145</f>
        <v>48440</v>
      </c>
      <c r="BU145" s="31">
        <f>IF(Table1[[#This Row],[Sustainability Check 2 (2018-2019) Status]]="Continued", Table1[[#This Row],[Check 2 Students Fall]], 0)</f>
        <v>200</v>
      </c>
      <c r="BV145" s="58">
        <f>Table1[[#This Row],[Summer 2018 Price Check]]*BU145</f>
        <v>48440</v>
      </c>
      <c r="BW145" s="21">
        <f>IF(Table1[[#This Row],[Sustainability Check 2 (2018-2019) Status]]="Continued", Table1[Check 2 Students Spring], 0)</f>
        <v>200</v>
      </c>
      <c r="BX145" s="58">
        <f>Table1[[#This Row],[Summer 2018 Price Check]]*Table1[[#This Row],[Spring 2019 Students]]</f>
        <v>48440</v>
      </c>
      <c r="BY145" s="31">
        <f t="shared" si="130"/>
        <v>600</v>
      </c>
      <c r="BZ145" s="58">
        <f t="shared" si="131"/>
        <v>145320</v>
      </c>
      <c r="CA145" s="58" t="s">
        <v>142</v>
      </c>
      <c r="CB145" s="21">
        <v>0</v>
      </c>
      <c r="CC145" s="21">
        <v>0</v>
      </c>
      <c r="CD145" s="21">
        <v>0</v>
      </c>
      <c r="CE145" s="21">
        <f t="shared" si="132"/>
        <v>0</v>
      </c>
      <c r="CF145" s="58"/>
      <c r="CG145" s="58">
        <f t="shared" si="133"/>
        <v>0</v>
      </c>
      <c r="CH145" s="17" t="s">
        <v>588</v>
      </c>
      <c r="CI145" s="21">
        <f>IF(Table1[[#This Row],[Check 3 Status]]="Continued", Table1[[#This Row],[Check 3 Students Summer]], 0)</f>
        <v>0</v>
      </c>
      <c r="CJ145" s="58">
        <f>Table1[[#This Row],[Check 3 Per Student Savings]]*CI145</f>
        <v>0</v>
      </c>
      <c r="CK145" s="21">
        <f>IF(Table1[[#This Row],[Check 3 Status]]="Continued", Table1[[#This Row],[Check 3 Students Fall]], 0)</f>
        <v>0</v>
      </c>
      <c r="CL145" s="58">
        <f>Table1[[#This Row],[Check 3 Per Student Savings]]*CK145</f>
        <v>0</v>
      </c>
      <c r="CM145" s="21">
        <f>IF(Table1[[#This Row],[Check 3 Status]]="Continued", Table1[[#This Row],[Check 3 Students Spring]], 0)</f>
        <v>0</v>
      </c>
      <c r="CN145" s="58">
        <f>Table1[[#This Row],[Check 3 Per Student Savings]]*CM145</f>
        <v>0</v>
      </c>
      <c r="CO145" s="21">
        <f t="shared" si="134"/>
        <v>0</v>
      </c>
      <c r="CP145" s="58">
        <f t="shared" si="135"/>
        <v>0</v>
      </c>
      <c r="CQ145" s="58" t="s">
        <v>142</v>
      </c>
      <c r="CR145" s="21">
        <v>0</v>
      </c>
      <c r="CS145" s="21">
        <v>0</v>
      </c>
      <c r="CT145" s="21">
        <v>0</v>
      </c>
      <c r="CU145" s="21">
        <f t="shared" si="136"/>
        <v>0</v>
      </c>
      <c r="CV145" s="58">
        <v>0</v>
      </c>
      <c r="CW145" s="58">
        <f t="shared" si="137"/>
        <v>0</v>
      </c>
      <c r="CX145" s="58"/>
      <c r="CY145" s="21">
        <f>IF(Table1[[#This Row],[Check 4 Status]]="Continued", Table1[[#This Row],[Check 4 Students Summer]], 0)</f>
        <v>0</v>
      </c>
      <c r="CZ145" s="58">
        <f>Table1[[#This Row],[Check 4 Per Student Savings]]*CY145</f>
        <v>0</v>
      </c>
      <c r="DA145" s="21">
        <f>IF(Table1[[#This Row],[Check 4 Status]]="Continued", Table1[[#This Row],[Check 4 Students Fall]], 0)</f>
        <v>0</v>
      </c>
      <c r="DB145" s="58">
        <f>Table1[[#This Row],[Check 4 Per Student Savings]]*DA145</f>
        <v>0</v>
      </c>
      <c r="DC145" s="21">
        <f>IF(Table1[[#This Row],[Check 4 Status]]="Continued", Table1[[#This Row],[Check 4 Students Spring]], 0)</f>
        <v>0</v>
      </c>
      <c r="DD145" s="58">
        <f>Table1[[#This Row],[Check 4 Per Student Savings]]*DC145</f>
        <v>0</v>
      </c>
      <c r="DE145" s="58">
        <f t="shared" si="138"/>
        <v>0</v>
      </c>
      <c r="DF145" s="58">
        <f t="shared" si="139"/>
        <v>0</v>
      </c>
      <c r="DG14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2133.333333333333</v>
      </c>
      <c r="DH14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451986.66666666663</v>
      </c>
      <c r="DI145" s="58">
        <f>Table1[[#This Row],[Grand Total Savings]]/Table1[[#This Row],[Total Award]]</f>
        <v>16.865174129353232</v>
      </c>
      <c r="DJ145" s="17"/>
      <c r="DK145" s="17"/>
      <c r="DL145" s="17"/>
      <c r="DM145" s="17"/>
      <c r="EC145" s="17"/>
      <c r="ED145" s="17"/>
      <c r="EE145" s="17"/>
      <c r="EF145" s="17"/>
    </row>
    <row r="146" spans="1:136" x14ac:dyDescent="0.25">
      <c r="A146" s="157">
        <v>292</v>
      </c>
      <c r="B146" s="17" t="s">
        <v>2011</v>
      </c>
      <c r="D146" s="97">
        <v>512377</v>
      </c>
      <c r="E146" s="158">
        <v>42858</v>
      </c>
      <c r="F146" s="165">
        <v>43109</v>
      </c>
      <c r="G146" s="159" t="s">
        <v>777</v>
      </c>
      <c r="H146" s="95" t="s">
        <v>8</v>
      </c>
      <c r="I146" s="226" t="s">
        <v>118</v>
      </c>
      <c r="J146" s="17" t="s">
        <v>119</v>
      </c>
      <c r="K146" s="107">
        <v>24900</v>
      </c>
      <c r="L146" s="107"/>
      <c r="M146" s="101" t="s">
        <v>152</v>
      </c>
      <c r="N146" s="101" t="s">
        <v>153</v>
      </c>
      <c r="O146" s="101" t="s">
        <v>815</v>
      </c>
      <c r="P146" s="101" t="s">
        <v>816</v>
      </c>
      <c r="Q146" s="101" t="s">
        <v>156</v>
      </c>
      <c r="R146" s="101" t="s">
        <v>129</v>
      </c>
      <c r="S146" s="101" t="s">
        <v>129</v>
      </c>
      <c r="T146" s="17" t="s">
        <v>129</v>
      </c>
      <c r="U146" s="101" t="s">
        <v>157</v>
      </c>
      <c r="V146" s="17" t="s">
        <v>150</v>
      </c>
      <c r="W146" s="17" t="s">
        <v>127</v>
      </c>
      <c r="X146" s="17" t="s">
        <v>150</v>
      </c>
      <c r="Y146" s="58">
        <v>134610</v>
      </c>
      <c r="Z146" s="17">
        <v>420</v>
      </c>
      <c r="AA146" s="58">
        <f t="shared" si="129"/>
        <v>320.5</v>
      </c>
      <c r="AB146" s="21">
        <f t="shared" si="125"/>
        <v>140</v>
      </c>
      <c r="AC146" s="21">
        <f t="shared" si="126"/>
        <v>140</v>
      </c>
      <c r="AD146" s="21">
        <f t="shared" si="127"/>
        <v>140</v>
      </c>
      <c r="AE146" s="17" t="s">
        <v>588</v>
      </c>
      <c r="AF146" s="17" t="s">
        <v>129</v>
      </c>
      <c r="AG146" s="17"/>
      <c r="AI146" s="17" t="s">
        <v>130</v>
      </c>
      <c r="AJ146" s="21">
        <v>0</v>
      </c>
      <c r="AK146" s="58">
        <v>0</v>
      </c>
      <c r="AL146" s="21">
        <v>0</v>
      </c>
      <c r="AM146" s="58">
        <f t="shared" si="140"/>
        <v>0</v>
      </c>
      <c r="AN146" s="21">
        <v>0</v>
      </c>
      <c r="AO146" s="58">
        <f t="shared" si="141"/>
        <v>0</v>
      </c>
      <c r="AP146" s="21">
        <v>0</v>
      </c>
      <c r="AQ146" s="58">
        <f t="shared" si="142"/>
        <v>0</v>
      </c>
      <c r="AR146" s="21">
        <v>0</v>
      </c>
      <c r="AS146" s="58">
        <f t="shared" si="143"/>
        <v>0</v>
      </c>
      <c r="AT146" s="21">
        <v>0</v>
      </c>
      <c r="AU146" s="58">
        <f t="shared" si="144"/>
        <v>0</v>
      </c>
      <c r="AV146" s="21">
        <v>0</v>
      </c>
      <c r="AW146" s="58">
        <v>0</v>
      </c>
      <c r="AX146" s="31">
        <v>0</v>
      </c>
      <c r="AY146" s="58">
        <v>0</v>
      </c>
      <c r="AZ146" s="31">
        <v>0</v>
      </c>
      <c r="BA146" s="58">
        <v>0</v>
      </c>
      <c r="BB146" s="31">
        <v>0</v>
      </c>
      <c r="BC146" s="58">
        <v>0</v>
      </c>
      <c r="BD146" s="31">
        <v>0</v>
      </c>
      <c r="BE146" s="58">
        <v>0</v>
      </c>
      <c r="BF146" s="31">
        <f>Table1[[#This Row],[Students Per Fall]]</f>
        <v>140</v>
      </c>
      <c r="BG146" s="58">
        <f t="shared" si="120"/>
        <v>44870</v>
      </c>
      <c r="BH146" s="31">
        <f>IF(Table1[[#This Row],[Sustainability Check 1 (2017-2018) Status]]="Continued", Table1[[#This Row],[Students Per Spring]], 0)</f>
        <v>140</v>
      </c>
      <c r="BI146" s="58">
        <f t="shared" si="145"/>
        <v>44870</v>
      </c>
      <c r="BJ146" s="31">
        <f t="shared" si="146"/>
        <v>280</v>
      </c>
      <c r="BK146" s="58">
        <f t="shared" si="147"/>
        <v>89740</v>
      </c>
      <c r="BL146" s="58" t="s">
        <v>130</v>
      </c>
      <c r="BM146" s="31">
        <v>150</v>
      </c>
      <c r="BN146" s="31">
        <v>150</v>
      </c>
      <c r="BO146" s="31">
        <v>150</v>
      </c>
      <c r="BP146" s="31">
        <f t="shared" si="124"/>
        <v>450</v>
      </c>
      <c r="BQ146" s="58">
        <v>168</v>
      </c>
      <c r="BR146" s="58">
        <f>Table1[[#This Row],[Check 2 Students Total]]*Table1[[#This Row],[Summer 2018 Price Check]]</f>
        <v>75600</v>
      </c>
      <c r="BS146" s="31">
        <f>IF(Table1[[#This Row],[Sustainability Check 2 (2018-2019) Status]]="Continued", Table1[[#This Row],[Check 2 Students Summer]], 0)</f>
        <v>150</v>
      </c>
      <c r="BT146" s="58">
        <f>Table1[[#This Row],[Summer 2018 Price Check]]*BS146</f>
        <v>25200</v>
      </c>
      <c r="BU146" s="31">
        <f>IF(Table1[[#This Row],[Sustainability Check 2 (2018-2019) Status]]="Continued", Table1[[#This Row],[Check 2 Students Fall]], 0)</f>
        <v>150</v>
      </c>
      <c r="BV146" s="58">
        <f>Table1[[#This Row],[Summer 2018 Price Check]]*BU146</f>
        <v>25200</v>
      </c>
      <c r="BW146" s="21">
        <f>IF(Table1[[#This Row],[Sustainability Check 2 (2018-2019) Status]]="Continued", Table1[Check 2 Students Spring], 0)</f>
        <v>150</v>
      </c>
      <c r="BX146" s="58">
        <f>Table1[[#This Row],[Summer 2018 Price Check]]*Table1[[#This Row],[Spring 2019 Students]]</f>
        <v>25200</v>
      </c>
      <c r="BY146" s="31">
        <f t="shared" si="130"/>
        <v>450</v>
      </c>
      <c r="BZ146" s="58">
        <f t="shared" si="131"/>
        <v>75600</v>
      </c>
      <c r="CA146" s="58" t="s">
        <v>130</v>
      </c>
      <c r="CB146" s="31">
        <v>150</v>
      </c>
      <c r="CC146" s="31">
        <v>150</v>
      </c>
      <c r="CD146" s="31">
        <v>150</v>
      </c>
      <c r="CE146" s="21">
        <f t="shared" si="132"/>
        <v>450</v>
      </c>
      <c r="CF146" s="58">
        <v>168</v>
      </c>
      <c r="CG146" s="58">
        <f t="shared" si="133"/>
        <v>75600</v>
      </c>
      <c r="CH146" s="17" t="s">
        <v>588</v>
      </c>
      <c r="CI146" s="21">
        <f>IF(Table1[[#This Row],[Check 3 Status]]="Continued", Table1[[#This Row],[Check 3 Students Summer]], 0)</f>
        <v>150</v>
      </c>
      <c r="CJ146" s="58">
        <f>Table1[[#This Row],[Check 3 Per Student Savings]]*CI146</f>
        <v>25200</v>
      </c>
      <c r="CK146" s="21">
        <f>IF(Table1[[#This Row],[Check 3 Status]]="Continued", Table1[[#This Row],[Check 3 Students Fall]], 0)</f>
        <v>150</v>
      </c>
      <c r="CL146" s="58">
        <f>Table1[[#This Row],[Check 3 Per Student Savings]]*CK146</f>
        <v>25200</v>
      </c>
      <c r="CM146" s="21">
        <f>IF(Table1[[#This Row],[Check 3 Status]]="Continued", Table1[[#This Row],[Check 3 Students Spring]], 0)</f>
        <v>150</v>
      </c>
      <c r="CN146" s="58">
        <f>Table1[[#This Row],[Check 3 Per Student Savings]]*CM146</f>
        <v>25200</v>
      </c>
      <c r="CO146" s="21">
        <f t="shared" si="134"/>
        <v>450</v>
      </c>
      <c r="CP146" s="58">
        <f t="shared" si="135"/>
        <v>75600</v>
      </c>
      <c r="CQ146" s="58" t="s">
        <v>130</v>
      </c>
      <c r="CR146" s="21">
        <v>150</v>
      </c>
      <c r="CS146" s="21">
        <v>150</v>
      </c>
      <c r="CT146" s="21">
        <v>150</v>
      </c>
      <c r="CU146" s="21">
        <f t="shared" si="136"/>
        <v>450</v>
      </c>
      <c r="CV146" s="58">
        <v>168</v>
      </c>
      <c r="CW146" s="58">
        <f t="shared" si="137"/>
        <v>75600</v>
      </c>
      <c r="CX146" s="58"/>
      <c r="CY146" s="21">
        <f>IF(Table1[[#This Row],[Check 4 Status]]="Continued", Table1[[#This Row],[Check 4 Students Summer]], 0)</f>
        <v>150</v>
      </c>
      <c r="CZ146" s="58">
        <f>Table1[[#This Row],[Check 4 Per Student Savings]]*CY146</f>
        <v>25200</v>
      </c>
      <c r="DA146" s="21">
        <f>IF(Table1[[#This Row],[Check 4 Status]]="Continued", Table1[[#This Row],[Check 4 Students Fall]], 0)</f>
        <v>150</v>
      </c>
      <c r="DB146" s="58">
        <f>Table1[[#This Row],[Check 4 Per Student Savings]]*DA146</f>
        <v>25200</v>
      </c>
      <c r="DC146" s="21">
        <f>IF(Table1[[#This Row],[Check 4 Status]]="Continued", Table1[[#This Row],[Check 4 Students Spring]], 0)</f>
        <v>150</v>
      </c>
      <c r="DD146" s="58">
        <f>Table1[[#This Row],[Check 4 Per Student Savings]]*DC146</f>
        <v>25200</v>
      </c>
      <c r="DE146" s="58">
        <f t="shared" si="138"/>
        <v>450</v>
      </c>
      <c r="DF146" s="58">
        <f t="shared" si="139"/>
        <v>75600</v>
      </c>
      <c r="DG14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1630</v>
      </c>
      <c r="DH14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316540</v>
      </c>
      <c r="DI146" s="58">
        <f>Table1[[#This Row],[Grand Total Savings]]/Table1[[#This Row],[Total Award]]</f>
        <v>12.712449799196786</v>
      </c>
      <c r="DJ146" s="17"/>
      <c r="DK146" s="17"/>
      <c r="DL146" s="17"/>
      <c r="DM146" s="17"/>
      <c r="EC146" s="17"/>
      <c r="ED146" s="17"/>
      <c r="EE146" s="17"/>
      <c r="EF146" s="17"/>
    </row>
    <row r="147" spans="1:136" x14ac:dyDescent="0.25">
      <c r="A147" s="157">
        <v>294</v>
      </c>
      <c r="B147" s="17" t="s">
        <v>2011</v>
      </c>
      <c r="D147" s="97">
        <v>512202</v>
      </c>
      <c r="E147" s="158">
        <v>42843</v>
      </c>
      <c r="F147" s="165">
        <v>43109</v>
      </c>
      <c r="G147" s="159" t="s">
        <v>777</v>
      </c>
      <c r="H147" s="95" t="s">
        <v>8</v>
      </c>
      <c r="I147" s="226" t="s">
        <v>118</v>
      </c>
      <c r="J147" s="17" t="s">
        <v>172</v>
      </c>
      <c r="K147" s="107">
        <v>10800</v>
      </c>
      <c r="L147" s="107"/>
      <c r="M147" s="101" t="s">
        <v>817</v>
      </c>
      <c r="N147" s="101" t="s">
        <v>818</v>
      </c>
      <c r="O147" s="101" t="s">
        <v>819</v>
      </c>
      <c r="P147" s="101" t="s">
        <v>820</v>
      </c>
      <c r="Q147" s="101" t="s">
        <v>821</v>
      </c>
      <c r="R147" s="101" t="s">
        <v>129</v>
      </c>
      <c r="S147" s="160" t="s">
        <v>36</v>
      </c>
      <c r="T147" s="17" t="s">
        <v>129</v>
      </c>
      <c r="U147" s="101" t="s">
        <v>157</v>
      </c>
      <c r="V147" s="17" t="s">
        <v>150</v>
      </c>
      <c r="W147" s="17" t="s">
        <v>150</v>
      </c>
      <c r="X147" s="17" t="s">
        <v>127</v>
      </c>
      <c r="Y147" s="58">
        <v>50000</v>
      </c>
      <c r="Z147" s="17">
        <v>400</v>
      </c>
      <c r="AA147" s="58">
        <f t="shared" si="129"/>
        <v>125</v>
      </c>
      <c r="AB147" s="21">
        <f t="shared" si="125"/>
        <v>133.33333333333334</v>
      </c>
      <c r="AC147" s="21">
        <f t="shared" si="126"/>
        <v>133.33333333333334</v>
      </c>
      <c r="AD147" s="21">
        <f t="shared" si="127"/>
        <v>133.33333333333334</v>
      </c>
      <c r="AE147" s="17" t="s">
        <v>813</v>
      </c>
      <c r="AF147" s="17" t="s">
        <v>129</v>
      </c>
      <c r="AG147" s="17"/>
      <c r="AI147" s="17" t="s">
        <v>130</v>
      </c>
      <c r="AJ147" s="21">
        <v>0</v>
      </c>
      <c r="AK147" s="58">
        <v>0</v>
      </c>
      <c r="AL147" s="21">
        <v>0</v>
      </c>
      <c r="AM147" s="58">
        <f t="shared" si="140"/>
        <v>0</v>
      </c>
      <c r="AN147" s="21">
        <v>0</v>
      </c>
      <c r="AO147" s="58">
        <f t="shared" si="141"/>
        <v>0</v>
      </c>
      <c r="AP147" s="21">
        <v>0</v>
      </c>
      <c r="AQ147" s="58">
        <f t="shared" si="142"/>
        <v>0</v>
      </c>
      <c r="AR147" s="21">
        <v>0</v>
      </c>
      <c r="AS147" s="58">
        <f t="shared" si="143"/>
        <v>0</v>
      </c>
      <c r="AT147" s="21">
        <v>0</v>
      </c>
      <c r="AU147" s="58">
        <f t="shared" si="144"/>
        <v>0</v>
      </c>
      <c r="AV147" s="21">
        <v>0</v>
      </c>
      <c r="AW147" s="58">
        <v>0</v>
      </c>
      <c r="AX147" s="31">
        <v>0</v>
      </c>
      <c r="AY147" s="58">
        <v>0</v>
      </c>
      <c r="AZ147" s="31">
        <v>0</v>
      </c>
      <c r="BA147" s="58">
        <v>0</v>
      </c>
      <c r="BB147" s="31">
        <v>0</v>
      </c>
      <c r="BC147" s="58">
        <v>0</v>
      </c>
      <c r="BD147" s="31">
        <f>IF(Table1[[#This Row],[Sustainability Check 1 (2017-2018) Status]]="Continued", Table1[[#This Row],[Students Per Summer]], 0)</f>
        <v>133.33333333333334</v>
      </c>
      <c r="BE147" s="58">
        <f>$AA147*BD147</f>
        <v>16666.666666666668</v>
      </c>
      <c r="BF147" s="31">
        <f>IF(Table1[[#This Row],[Sustainability Check 1 (2017-2018) Status]]="Continued", Table1[[#This Row],[Students Per Fall]], 0)</f>
        <v>133.33333333333334</v>
      </c>
      <c r="BG147" s="58">
        <f t="shared" si="120"/>
        <v>16666.666666666668</v>
      </c>
      <c r="BH147" s="31">
        <f>IF(Table1[[#This Row],[Sustainability Check 1 (2017-2018) Status]]="Continued", Table1[[#This Row],[Students Per Spring]], 0)</f>
        <v>133.33333333333334</v>
      </c>
      <c r="BI147" s="58">
        <f t="shared" si="145"/>
        <v>16666.666666666668</v>
      </c>
      <c r="BJ147" s="31">
        <f t="shared" si="146"/>
        <v>400</v>
      </c>
      <c r="BK147" s="58">
        <f t="shared" si="147"/>
        <v>50000</v>
      </c>
      <c r="BL147" s="58" t="s">
        <v>130</v>
      </c>
      <c r="BM147" s="31">
        <v>120</v>
      </c>
      <c r="BN147" s="31">
        <v>360</v>
      </c>
      <c r="BO147" s="31">
        <v>360</v>
      </c>
      <c r="BP147" s="31">
        <f t="shared" si="124"/>
        <v>840</v>
      </c>
      <c r="BQ147" s="96">
        <v>170.67</v>
      </c>
      <c r="BR147" s="58">
        <f>Table1[[#This Row],[Check 2 Students Total]]*Table1[[#This Row],[Summer 2018 Price Check]]</f>
        <v>143362.79999999999</v>
      </c>
      <c r="BS147" s="31">
        <f>IF(Table1[[#This Row],[Sustainability Check 2 (2018-2019) Status]]="Continued", Table1[[#This Row],[Check 2 Students Summer]], 0)</f>
        <v>120</v>
      </c>
      <c r="BT147" s="58">
        <f>Table1[[#This Row],[Summer 2018 Price Check]]*BS147</f>
        <v>20480.399999999998</v>
      </c>
      <c r="BU147" s="31">
        <f>IF(Table1[[#This Row],[Sustainability Check 2 (2018-2019) Status]]="Continued", Table1[[#This Row],[Check 2 Students Fall]], 0)</f>
        <v>360</v>
      </c>
      <c r="BV147" s="58">
        <f>Table1[[#This Row],[Summer 2018 Price Check]]*BU147</f>
        <v>61441.2</v>
      </c>
      <c r="BW147" s="21">
        <f>IF(Table1[[#This Row],[Sustainability Check 2 (2018-2019) Status]]="Continued", Table1[Check 2 Students Spring], 0)</f>
        <v>360</v>
      </c>
      <c r="BX147" s="58">
        <f>Table1[[#This Row],[Summer 2018 Price Check]]*Table1[[#This Row],[Spring 2019 Students]]</f>
        <v>61441.2</v>
      </c>
      <c r="BY147" s="31">
        <f t="shared" si="130"/>
        <v>840</v>
      </c>
      <c r="BZ147" s="58">
        <f t="shared" si="131"/>
        <v>143362.79999999999</v>
      </c>
      <c r="CA147" s="58" t="s">
        <v>130</v>
      </c>
      <c r="CB147" s="21">
        <v>90</v>
      </c>
      <c r="CC147" s="21">
        <v>180</v>
      </c>
      <c r="CD147" s="21">
        <v>180</v>
      </c>
      <c r="CE147" s="21">
        <f t="shared" si="132"/>
        <v>450</v>
      </c>
      <c r="CF147" s="58">
        <v>150</v>
      </c>
      <c r="CG147" s="58">
        <f t="shared" si="133"/>
        <v>67500</v>
      </c>
      <c r="CH147" s="17" t="s">
        <v>813</v>
      </c>
      <c r="CI147" s="21">
        <f>IF(Table1[[#This Row],[Check 3 Status]]="Continued", Table1[[#This Row],[Check 3 Students Summer]], 0)</f>
        <v>90</v>
      </c>
      <c r="CJ147" s="58">
        <f>Table1[[#This Row],[Check 3 Per Student Savings]]*CI147</f>
        <v>13500</v>
      </c>
      <c r="CK147" s="21">
        <f>IF(Table1[[#This Row],[Check 3 Status]]="Continued", Table1[[#This Row],[Check 3 Students Fall]], 0)</f>
        <v>180</v>
      </c>
      <c r="CL147" s="58">
        <f>Table1[[#This Row],[Check 3 Per Student Savings]]*CK147</f>
        <v>27000</v>
      </c>
      <c r="CM147" s="21">
        <f>IF(Table1[[#This Row],[Check 3 Status]]="Continued", Table1[[#This Row],[Check 3 Students Spring]], 0)</f>
        <v>180</v>
      </c>
      <c r="CN147" s="58">
        <f>Table1[[#This Row],[Check 3 Per Student Savings]]*CM147</f>
        <v>27000</v>
      </c>
      <c r="CO147" s="21">
        <f t="shared" si="134"/>
        <v>450</v>
      </c>
      <c r="CP147" s="58">
        <f t="shared" si="135"/>
        <v>67500</v>
      </c>
      <c r="CQ147" s="58" t="s">
        <v>130</v>
      </c>
      <c r="CR147" s="21">
        <v>90</v>
      </c>
      <c r="CS147" s="21">
        <v>180</v>
      </c>
      <c r="CT147" s="21">
        <v>180</v>
      </c>
      <c r="CU147" s="21">
        <f t="shared" si="136"/>
        <v>450</v>
      </c>
      <c r="CV147" s="58">
        <v>150</v>
      </c>
      <c r="CW147" s="58">
        <f t="shared" si="137"/>
        <v>67500</v>
      </c>
      <c r="CX147" s="58"/>
      <c r="CY147" s="21">
        <f>IF(Table1[[#This Row],[Check 4 Status]]="Continued", Table1[[#This Row],[Check 4 Students Summer]], 0)</f>
        <v>90</v>
      </c>
      <c r="CZ147" s="58">
        <f>Table1[[#This Row],[Check 4 Per Student Savings]]*CY147</f>
        <v>13500</v>
      </c>
      <c r="DA147" s="21">
        <f>IF(Table1[[#This Row],[Check 4 Status]]="Continued", Table1[[#This Row],[Check 4 Students Fall]], 0)</f>
        <v>180</v>
      </c>
      <c r="DB147" s="58">
        <f>Table1[[#This Row],[Check 4 Per Student Savings]]*DA147</f>
        <v>27000</v>
      </c>
      <c r="DC147" s="21">
        <f>IF(Table1[[#This Row],[Check 4 Status]]="Continued", Table1[[#This Row],[Check 4 Students Spring]], 0)</f>
        <v>180</v>
      </c>
      <c r="DD147" s="58">
        <f>Table1[[#This Row],[Check 4 Per Student Savings]]*DC147</f>
        <v>27000</v>
      </c>
      <c r="DE147" s="58">
        <f t="shared" si="138"/>
        <v>450</v>
      </c>
      <c r="DF147" s="58">
        <f t="shared" si="139"/>
        <v>67500</v>
      </c>
      <c r="DG14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2140</v>
      </c>
      <c r="DH14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328362.8</v>
      </c>
      <c r="DI147" s="58">
        <f>Table1[[#This Row],[Grand Total Savings]]/Table1[[#This Row],[Total Award]]</f>
        <v>30.403962962962961</v>
      </c>
      <c r="DJ147" s="17"/>
      <c r="DK147" s="17"/>
      <c r="DL147" s="17"/>
      <c r="DM147" s="17"/>
      <c r="EC147" s="17"/>
      <c r="ED147" s="17"/>
      <c r="EE147" s="17"/>
      <c r="EF147" s="17"/>
    </row>
    <row r="148" spans="1:136" x14ac:dyDescent="0.25">
      <c r="A148" s="157">
        <v>296</v>
      </c>
      <c r="B148" s="17" t="s">
        <v>2011</v>
      </c>
      <c r="D148" s="97">
        <v>512203</v>
      </c>
      <c r="E148" s="158">
        <v>42823</v>
      </c>
      <c r="F148" s="165">
        <v>43109</v>
      </c>
      <c r="G148" s="159" t="s">
        <v>777</v>
      </c>
      <c r="H148" s="95" t="s">
        <v>8</v>
      </c>
      <c r="I148" s="226" t="s">
        <v>118</v>
      </c>
      <c r="J148" s="17" t="s">
        <v>236</v>
      </c>
      <c r="K148" s="107">
        <v>30000</v>
      </c>
      <c r="L148" s="107"/>
      <c r="M148" s="101" t="s">
        <v>822</v>
      </c>
      <c r="N148" s="160" t="s">
        <v>823</v>
      </c>
      <c r="O148" s="101" t="s">
        <v>824</v>
      </c>
      <c r="P148" s="101" t="s">
        <v>825</v>
      </c>
      <c r="Q148" s="101" t="s">
        <v>192</v>
      </c>
      <c r="R148" s="101" t="s">
        <v>129</v>
      </c>
      <c r="S148" s="160" t="s">
        <v>36</v>
      </c>
      <c r="T148" s="17" t="s">
        <v>125</v>
      </c>
      <c r="U148" s="160" t="s">
        <v>348</v>
      </c>
      <c r="V148" s="17" t="s">
        <v>150</v>
      </c>
      <c r="W148" s="17" t="s">
        <v>150</v>
      </c>
      <c r="X148" s="17" t="s">
        <v>150</v>
      </c>
      <c r="Y148" s="58">
        <v>184057</v>
      </c>
      <c r="Z148" s="17">
        <v>840</v>
      </c>
      <c r="AA148" s="58">
        <f t="shared" si="129"/>
        <v>219.11547619047619</v>
      </c>
      <c r="AB148" s="21">
        <f t="shared" si="125"/>
        <v>280</v>
      </c>
      <c r="AC148" s="21">
        <f t="shared" si="126"/>
        <v>280</v>
      </c>
      <c r="AD148" s="21">
        <f t="shared" si="127"/>
        <v>280</v>
      </c>
      <c r="AE148" s="17" t="s">
        <v>588</v>
      </c>
      <c r="AF148" s="17" t="s">
        <v>129</v>
      </c>
      <c r="AG148" s="17"/>
      <c r="AI148" s="17" t="s">
        <v>130</v>
      </c>
      <c r="AJ148" s="21">
        <v>0</v>
      </c>
      <c r="AK148" s="58">
        <v>0</v>
      </c>
      <c r="AL148" s="21">
        <v>0</v>
      </c>
      <c r="AM148" s="58">
        <f t="shared" si="140"/>
        <v>0</v>
      </c>
      <c r="AN148" s="21">
        <v>0</v>
      </c>
      <c r="AO148" s="58">
        <f t="shared" si="141"/>
        <v>0</v>
      </c>
      <c r="AP148" s="21">
        <v>0</v>
      </c>
      <c r="AQ148" s="58">
        <f t="shared" si="142"/>
        <v>0</v>
      </c>
      <c r="AR148" s="21">
        <v>0</v>
      </c>
      <c r="AS148" s="58">
        <f t="shared" si="143"/>
        <v>0</v>
      </c>
      <c r="AT148" s="21">
        <v>0</v>
      </c>
      <c r="AU148" s="58">
        <f t="shared" si="144"/>
        <v>0</v>
      </c>
      <c r="AV148" s="21">
        <v>0</v>
      </c>
      <c r="AW148" s="58">
        <v>0</v>
      </c>
      <c r="AX148" s="31">
        <v>0</v>
      </c>
      <c r="AY148" s="58">
        <v>0</v>
      </c>
      <c r="AZ148" s="31">
        <v>0</v>
      </c>
      <c r="BA148" s="58">
        <v>0</v>
      </c>
      <c r="BB148" s="31">
        <v>0</v>
      </c>
      <c r="BC148" s="58">
        <v>0</v>
      </c>
      <c r="BD148" s="31">
        <v>0</v>
      </c>
      <c r="BE148" s="58">
        <v>0</v>
      </c>
      <c r="BF148" s="31">
        <f>Table1[[#This Row],[Students Per Fall]]</f>
        <v>280</v>
      </c>
      <c r="BG148" s="58">
        <f t="shared" si="120"/>
        <v>61352.333333333336</v>
      </c>
      <c r="BH148" s="31">
        <f>IF(Table1[[#This Row],[Sustainability Check 1 (2017-2018) Status]]="Continued", Table1[[#This Row],[Students Per Spring]], 0)</f>
        <v>280</v>
      </c>
      <c r="BI148" s="58">
        <f t="shared" si="145"/>
        <v>61352.333333333336</v>
      </c>
      <c r="BJ148" s="31">
        <f t="shared" si="146"/>
        <v>560</v>
      </c>
      <c r="BK148" s="58">
        <f t="shared" si="147"/>
        <v>122704.66666666667</v>
      </c>
      <c r="BL148" s="58" t="s">
        <v>130</v>
      </c>
      <c r="BM148" s="31">
        <v>165</v>
      </c>
      <c r="BN148" s="31">
        <v>165</v>
      </c>
      <c r="BO148" s="31">
        <v>165</v>
      </c>
      <c r="BP148" s="31">
        <f t="shared" si="124"/>
        <v>495</v>
      </c>
      <c r="BQ148" s="58">
        <v>215.8</v>
      </c>
      <c r="BR148" s="58">
        <f>Table1[[#This Row],[Check 2 Students Total]]*Table1[[#This Row],[Summer 2018 Price Check]]</f>
        <v>106821</v>
      </c>
      <c r="BS148" s="31">
        <f>IF(Table1[[#This Row],[Sustainability Check 2 (2018-2019) Status]]="Continued", Table1[[#This Row],[Check 2 Students Summer]], 0)</f>
        <v>165</v>
      </c>
      <c r="BT148" s="58">
        <f>Table1[[#This Row],[Summer 2018 Price Check]]*BS148</f>
        <v>35607</v>
      </c>
      <c r="BU148" s="31">
        <f>IF(Table1[[#This Row],[Sustainability Check 2 (2018-2019) Status]]="Continued", Table1[[#This Row],[Check 2 Students Fall]], 0)</f>
        <v>165</v>
      </c>
      <c r="BV148" s="58">
        <f>Table1[[#This Row],[Summer 2018 Price Check]]*BU148</f>
        <v>35607</v>
      </c>
      <c r="BW148" s="21">
        <f>IF(Table1[[#This Row],[Sustainability Check 2 (2018-2019) Status]]="Continued", Table1[Check 2 Students Spring], 0)</f>
        <v>165</v>
      </c>
      <c r="BX148" s="58">
        <f>Table1[[#This Row],[Summer 2018 Price Check]]*Table1[[#This Row],[Spring 2019 Students]]</f>
        <v>35607</v>
      </c>
      <c r="BY148" s="31">
        <f t="shared" si="130"/>
        <v>495</v>
      </c>
      <c r="BZ148" s="58">
        <f t="shared" si="131"/>
        <v>106821</v>
      </c>
      <c r="CA148" s="58" t="s">
        <v>130</v>
      </c>
      <c r="CB148" s="21">
        <v>48</v>
      </c>
      <c r="CC148" s="21">
        <v>240</v>
      </c>
      <c r="CD148" s="21">
        <v>144</v>
      </c>
      <c r="CE148" s="21">
        <f t="shared" si="132"/>
        <v>432</v>
      </c>
      <c r="CF148" s="58">
        <v>200</v>
      </c>
      <c r="CG148" s="58">
        <f t="shared" si="133"/>
        <v>86400</v>
      </c>
      <c r="CH148" s="17" t="s">
        <v>588</v>
      </c>
      <c r="CI148" s="21">
        <f>IF(Table1[[#This Row],[Check 3 Status]]="Continued", Table1[[#This Row],[Check 3 Students Summer]], 0)</f>
        <v>48</v>
      </c>
      <c r="CJ148" s="58">
        <f>Table1[[#This Row],[Check 3 Per Student Savings]]*CI148</f>
        <v>9600</v>
      </c>
      <c r="CK148" s="21">
        <f>IF(Table1[[#This Row],[Check 3 Status]]="Continued", Table1[[#This Row],[Check 3 Students Fall]], 0)</f>
        <v>240</v>
      </c>
      <c r="CL148" s="58">
        <f>Table1[[#This Row],[Check 3 Per Student Savings]]*CK148</f>
        <v>48000</v>
      </c>
      <c r="CM148" s="21">
        <f>IF(Table1[[#This Row],[Check 3 Status]]="Continued", Table1[[#This Row],[Check 3 Students Spring]], 0)</f>
        <v>144</v>
      </c>
      <c r="CN148" s="58">
        <f>Table1[[#This Row],[Check 3 Per Student Savings]]*CM148</f>
        <v>28800</v>
      </c>
      <c r="CO148" s="21">
        <f t="shared" si="134"/>
        <v>432</v>
      </c>
      <c r="CP148" s="58">
        <f t="shared" si="135"/>
        <v>86400</v>
      </c>
      <c r="CQ148" s="58" t="s">
        <v>130</v>
      </c>
      <c r="CR148" s="21">
        <v>100</v>
      </c>
      <c r="CS148" s="21">
        <v>300</v>
      </c>
      <c r="CT148" s="21">
        <v>300</v>
      </c>
      <c r="CU148" s="21">
        <f t="shared" si="136"/>
        <v>700</v>
      </c>
      <c r="CV148" s="58">
        <v>200</v>
      </c>
      <c r="CW148" s="58">
        <f t="shared" si="137"/>
        <v>140000</v>
      </c>
      <c r="CX148" s="58"/>
      <c r="CY148" s="21">
        <f>IF(Table1[[#This Row],[Check 4 Status]]="Continued", Table1[[#This Row],[Check 4 Students Summer]], 0)</f>
        <v>100</v>
      </c>
      <c r="CZ148" s="58">
        <f>Table1[[#This Row],[Check 4 Per Student Savings]]*CY148</f>
        <v>20000</v>
      </c>
      <c r="DA148" s="21">
        <f>IF(Table1[[#This Row],[Check 4 Status]]="Continued", Table1[[#This Row],[Check 4 Students Fall]], 0)</f>
        <v>300</v>
      </c>
      <c r="DB148" s="58">
        <f>Table1[[#This Row],[Check 4 Per Student Savings]]*DA148</f>
        <v>60000</v>
      </c>
      <c r="DC148" s="21">
        <f>IF(Table1[[#This Row],[Check 4 Status]]="Continued", Table1[[#This Row],[Check 4 Students Spring]], 0)</f>
        <v>300</v>
      </c>
      <c r="DD148" s="58">
        <f>Table1[[#This Row],[Check 4 Per Student Savings]]*DC148</f>
        <v>60000</v>
      </c>
      <c r="DE148" s="58">
        <f t="shared" si="138"/>
        <v>700</v>
      </c>
      <c r="DF148" s="58">
        <f t="shared" si="139"/>
        <v>140000</v>
      </c>
      <c r="DG14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2187</v>
      </c>
      <c r="DH14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455925.66666666669</v>
      </c>
      <c r="DI148" s="58">
        <f>Table1[[#This Row],[Grand Total Savings]]/Table1[[#This Row],[Total Award]]</f>
        <v>15.197522222222222</v>
      </c>
      <c r="DJ148" s="17"/>
      <c r="DK148" s="17"/>
      <c r="DL148" s="17"/>
      <c r="DM148" s="17"/>
      <c r="EC148" s="17"/>
      <c r="ED148" s="17"/>
      <c r="EE148" s="17"/>
      <c r="EF148" s="17"/>
    </row>
    <row r="149" spans="1:136" x14ac:dyDescent="0.25">
      <c r="A149" s="157">
        <v>300</v>
      </c>
      <c r="B149" s="17" t="s">
        <v>2011</v>
      </c>
      <c r="D149" s="97">
        <v>512100</v>
      </c>
      <c r="E149" s="158">
        <v>42823</v>
      </c>
      <c r="F149" s="165">
        <v>43109</v>
      </c>
      <c r="G149" s="159" t="s">
        <v>777</v>
      </c>
      <c r="H149" s="95" t="s">
        <v>8</v>
      </c>
      <c r="I149" s="226" t="s">
        <v>118</v>
      </c>
      <c r="J149" s="17" t="s">
        <v>276</v>
      </c>
      <c r="K149" s="107">
        <v>29000</v>
      </c>
      <c r="L149" s="107"/>
      <c r="M149" s="101" t="s">
        <v>826</v>
      </c>
      <c r="N149" s="101" t="s">
        <v>827</v>
      </c>
      <c r="O149" s="101" t="s">
        <v>828</v>
      </c>
      <c r="P149" s="101" t="s">
        <v>829</v>
      </c>
      <c r="Q149" s="101" t="s">
        <v>714</v>
      </c>
      <c r="R149" s="101" t="s">
        <v>830</v>
      </c>
      <c r="S149" s="101" t="s">
        <v>129</v>
      </c>
      <c r="T149" s="17" t="s">
        <v>129</v>
      </c>
      <c r="U149" s="160" t="s">
        <v>831</v>
      </c>
      <c r="V149" s="17" t="s">
        <v>150</v>
      </c>
      <c r="W149" s="17" t="s">
        <v>127</v>
      </c>
      <c r="X149" s="17" t="s">
        <v>139</v>
      </c>
      <c r="Y149" s="58">
        <v>124800</v>
      </c>
      <c r="Z149" s="31">
        <v>2040</v>
      </c>
      <c r="AA149" s="58">
        <f t="shared" si="129"/>
        <v>61.176470588235297</v>
      </c>
      <c r="AB149" s="21">
        <f t="shared" si="125"/>
        <v>680</v>
      </c>
      <c r="AC149" s="21">
        <f t="shared" si="126"/>
        <v>680</v>
      </c>
      <c r="AD149" s="21">
        <f t="shared" si="127"/>
        <v>680</v>
      </c>
      <c r="AE149" s="17" t="s">
        <v>588</v>
      </c>
      <c r="AF149" s="17" t="s">
        <v>129</v>
      </c>
      <c r="AG149" s="17"/>
      <c r="AI149" s="17" t="s">
        <v>130</v>
      </c>
      <c r="AJ149" s="21">
        <v>0</v>
      </c>
      <c r="AK149" s="58">
        <v>0</v>
      </c>
      <c r="AL149" s="21">
        <v>0</v>
      </c>
      <c r="AM149" s="58">
        <f t="shared" si="140"/>
        <v>0</v>
      </c>
      <c r="AN149" s="21">
        <v>0</v>
      </c>
      <c r="AO149" s="58">
        <f t="shared" si="141"/>
        <v>0</v>
      </c>
      <c r="AP149" s="21">
        <v>0</v>
      </c>
      <c r="AQ149" s="58">
        <f t="shared" si="142"/>
        <v>0</v>
      </c>
      <c r="AR149" s="21">
        <v>0</v>
      </c>
      <c r="AS149" s="58">
        <f t="shared" si="143"/>
        <v>0</v>
      </c>
      <c r="AT149" s="21">
        <v>0</v>
      </c>
      <c r="AU149" s="58">
        <f t="shared" si="144"/>
        <v>0</v>
      </c>
      <c r="AV149" s="21">
        <v>0</v>
      </c>
      <c r="AW149" s="58">
        <v>0</v>
      </c>
      <c r="AX149" s="31">
        <v>0</v>
      </c>
      <c r="AY149" s="58">
        <v>0</v>
      </c>
      <c r="AZ149" s="31">
        <v>0</v>
      </c>
      <c r="BA149" s="58">
        <v>0</v>
      </c>
      <c r="BB149" s="31">
        <v>0</v>
      </c>
      <c r="BC149" s="58">
        <v>0</v>
      </c>
      <c r="BD149" s="31">
        <v>0</v>
      </c>
      <c r="BE149" s="58">
        <v>0</v>
      </c>
      <c r="BF149" s="31">
        <f>Table1[[#This Row],[Students Per Fall]]</f>
        <v>680</v>
      </c>
      <c r="BG149" s="58">
        <f t="shared" si="120"/>
        <v>41600</v>
      </c>
      <c r="BH149" s="31">
        <f>IF(Table1[[#This Row],[Sustainability Check 1 (2017-2018) Status]]="Continued", Table1[[#This Row],[Students Per Spring]], 0)</f>
        <v>680</v>
      </c>
      <c r="BI149" s="58">
        <f t="shared" si="145"/>
        <v>41600</v>
      </c>
      <c r="BJ149" s="31">
        <f t="shared" si="146"/>
        <v>1360</v>
      </c>
      <c r="BK149" s="58">
        <f t="shared" si="147"/>
        <v>83200</v>
      </c>
      <c r="BL149" s="58" t="s">
        <v>130</v>
      </c>
      <c r="BM149" s="31">
        <v>128</v>
      </c>
      <c r="BN149" s="31">
        <v>560</v>
      </c>
      <c r="BO149" s="31">
        <v>560</v>
      </c>
      <c r="BP149" s="31">
        <f t="shared" ref="BP149:BP180" si="148">SUM(BM149:BO149)</f>
        <v>1248</v>
      </c>
      <c r="BQ149" s="96">
        <v>71.25</v>
      </c>
      <c r="BR149" s="58">
        <f>Table1[[#This Row],[Check 2 Students Total]]*Table1[[#This Row],[Summer 2018 Price Check]]</f>
        <v>88920</v>
      </c>
      <c r="BS149" s="31">
        <f>IF(Table1[[#This Row],[Sustainability Check 2 (2018-2019) Status]]="Continued", Table1[[#This Row],[Check 2 Students Summer]], 0)</f>
        <v>128</v>
      </c>
      <c r="BT149" s="58">
        <f>Table1[[#This Row],[Summer 2018 Price Check]]*BS149</f>
        <v>9120</v>
      </c>
      <c r="BU149" s="31">
        <f>IF(Table1[[#This Row],[Sustainability Check 2 (2018-2019) Status]]="Continued", Table1[[#This Row],[Check 2 Students Fall]], 0)</f>
        <v>560</v>
      </c>
      <c r="BV149" s="58">
        <f>Table1[[#This Row],[Summer 2018 Price Check]]*BU149</f>
        <v>39900</v>
      </c>
      <c r="BW149" s="21">
        <f>IF(Table1[[#This Row],[Sustainability Check 2 (2018-2019) Status]]="Continued", Table1[Check 2 Students Spring], 0)</f>
        <v>560</v>
      </c>
      <c r="BX149" s="58">
        <f>Table1[[#This Row],[Summer 2018 Price Check]]*Table1[[#This Row],[Spring 2019 Students]]</f>
        <v>39900</v>
      </c>
      <c r="BY149" s="31">
        <f t="shared" si="130"/>
        <v>1248</v>
      </c>
      <c r="BZ149" s="58">
        <f t="shared" si="131"/>
        <v>88920</v>
      </c>
      <c r="CA149" s="58" t="s">
        <v>130</v>
      </c>
      <c r="CB149" s="21">
        <v>99</v>
      </c>
      <c r="CC149" s="21">
        <v>378</v>
      </c>
      <c r="CD149" s="21">
        <v>400</v>
      </c>
      <c r="CE149" s="21">
        <f t="shared" si="132"/>
        <v>877</v>
      </c>
      <c r="CF149" s="58">
        <v>50</v>
      </c>
      <c r="CG149" s="58">
        <f t="shared" si="133"/>
        <v>43850</v>
      </c>
      <c r="CH149" s="17" t="s">
        <v>588</v>
      </c>
      <c r="CI149" s="21">
        <f>IF(Table1[[#This Row],[Check 3 Status]]="Continued", Table1[[#This Row],[Check 3 Students Summer]], 0)</f>
        <v>99</v>
      </c>
      <c r="CJ149" s="58">
        <f>Table1[[#This Row],[Check 3 Per Student Savings]]*CI149</f>
        <v>4950</v>
      </c>
      <c r="CK149" s="21">
        <f>IF(Table1[[#This Row],[Check 3 Status]]="Continued", Table1[[#This Row],[Check 3 Students Fall]], 0)</f>
        <v>378</v>
      </c>
      <c r="CL149" s="58">
        <f>Table1[[#This Row],[Check 3 Per Student Savings]]*CK149</f>
        <v>18900</v>
      </c>
      <c r="CM149" s="21">
        <f>IF(Table1[[#This Row],[Check 3 Status]]="Continued", Table1[[#This Row],[Check 3 Students Spring]], 0)</f>
        <v>400</v>
      </c>
      <c r="CN149" s="58">
        <f>Table1[[#This Row],[Check 3 Per Student Savings]]*CM149</f>
        <v>20000</v>
      </c>
      <c r="CO149" s="21">
        <f t="shared" si="134"/>
        <v>877</v>
      </c>
      <c r="CP149" s="58">
        <f t="shared" si="135"/>
        <v>43850</v>
      </c>
      <c r="CQ149" s="58" t="s">
        <v>1777</v>
      </c>
      <c r="CR149" s="21">
        <v>99</v>
      </c>
      <c r="CS149" s="21">
        <v>378</v>
      </c>
      <c r="CT149" s="21">
        <v>400</v>
      </c>
      <c r="CU149" s="21">
        <v>0</v>
      </c>
      <c r="CV149" s="58">
        <v>0</v>
      </c>
      <c r="CW149" s="58">
        <f t="shared" si="137"/>
        <v>0</v>
      </c>
      <c r="CX149" s="58"/>
      <c r="CY149" s="21">
        <f>IF(Table1[[#This Row],[Check 4 Status]]="Continued", Table1[[#This Row],[Check 4 Students Summer]], 0)</f>
        <v>0</v>
      </c>
      <c r="CZ149" s="58">
        <f>Table1[[#This Row],[Check 4 Per Student Savings]]*CY149</f>
        <v>0</v>
      </c>
      <c r="DA149" s="21">
        <f>IF(Table1[[#This Row],[Check 4 Status]]="Continued", Table1[[#This Row],[Check 4 Students Fall]], 0)</f>
        <v>0</v>
      </c>
      <c r="DB149" s="58">
        <f>Table1[[#This Row],[Check 4 Per Student Savings]]*DA149</f>
        <v>0</v>
      </c>
      <c r="DC149" s="21">
        <f>IF(Table1[[#This Row],[Check 4 Status]]="Continued", Table1[[#This Row],[Check 4 Students Spring]], 0)</f>
        <v>0</v>
      </c>
      <c r="DD149" s="58">
        <f>Table1[[#This Row],[Check 4 Per Student Savings]]*DC149</f>
        <v>0</v>
      </c>
      <c r="DE149" s="58">
        <f t="shared" si="138"/>
        <v>0</v>
      </c>
      <c r="DF149" s="58">
        <f t="shared" si="139"/>
        <v>0</v>
      </c>
      <c r="DG14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3485</v>
      </c>
      <c r="DH14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215970</v>
      </c>
      <c r="DI149" s="58">
        <f>Table1[[#This Row],[Grand Total Savings]]/Table1[[#This Row],[Total Award]]</f>
        <v>7.4472413793103449</v>
      </c>
      <c r="DJ149" s="17"/>
      <c r="DK149" s="17"/>
      <c r="DL149" s="17"/>
      <c r="DM149" s="17"/>
      <c r="EC149" s="17"/>
      <c r="ED149" s="17"/>
      <c r="EE149" s="17"/>
      <c r="EF149" s="17"/>
    </row>
    <row r="150" spans="1:136" x14ac:dyDescent="0.25">
      <c r="A150" s="157">
        <v>302</v>
      </c>
      <c r="B150" s="17" t="s">
        <v>2011</v>
      </c>
      <c r="D150" s="97">
        <v>512432</v>
      </c>
      <c r="E150" s="17" t="s">
        <v>832</v>
      </c>
      <c r="F150" s="165">
        <v>43109</v>
      </c>
      <c r="G150" s="159" t="s">
        <v>777</v>
      </c>
      <c r="H150" s="95" t="s">
        <v>8</v>
      </c>
      <c r="I150" s="226" t="s">
        <v>118</v>
      </c>
      <c r="J150" s="17" t="s">
        <v>132</v>
      </c>
      <c r="K150" s="107">
        <v>30000</v>
      </c>
      <c r="L150" s="107"/>
      <c r="M150" s="101" t="s">
        <v>435</v>
      </c>
      <c r="N150" s="101" t="s">
        <v>436</v>
      </c>
      <c r="O150" s="101" t="s">
        <v>833</v>
      </c>
      <c r="P150" s="101" t="s">
        <v>834</v>
      </c>
      <c r="Q150" s="101" t="s">
        <v>177</v>
      </c>
      <c r="R150" s="101" t="s">
        <v>129</v>
      </c>
      <c r="S150" s="172" t="s">
        <v>129</v>
      </c>
      <c r="T150" s="17" t="s">
        <v>129</v>
      </c>
      <c r="U150" s="101" t="s">
        <v>157</v>
      </c>
      <c r="V150" s="17" t="s">
        <v>150</v>
      </c>
      <c r="W150" s="17" t="s">
        <v>127</v>
      </c>
      <c r="X150" s="17" t="s">
        <v>127</v>
      </c>
      <c r="Y150" s="58">
        <v>117844</v>
      </c>
      <c r="Z150" s="17">
        <v>855</v>
      </c>
      <c r="AA150" s="58">
        <f t="shared" si="129"/>
        <v>137.82923976608188</v>
      </c>
      <c r="AB150" s="21">
        <f t="shared" si="125"/>
        <v>285</v>
      </c>
      <c r="AC150" s="21">
        <f t="shared" si="126"/>
        <v>285</v>
      </c>
      <c r="AD150" s="21">
        <f t="shared" si="127"/>
        <v>285</v>
      </c>
      <c r="AE150" s="17" t="s">
        <v>813</v>
      </c>
      <c r="AF150" s="17" t="s">
        <v>129</v>
      </c>
      <c r="AG150" s="17"/>
      <c r="AI150" s="17" t="s">
        <v>130</v>
      </c>
      <c r="AJ150" s="21">
        <v>0</v>
      </c>
      <c r="AK150" s="58">
        <v>0</v>
      </c>
      <c r="AL150" s="21">
        <v>0</v>
      </c>
      <c r="AM150" s="58">
        <f t="shared" si="140"/>
        <v>0</v>
      </c>
      <c r="AN150" s="21">
        <v>0</v>
      </c>
      <c r="AO150" s="58">
        <f t="shared" si="141"/>
        <v>0</v>
      </c>
      <c r="AP150" s="21">
        <v>0</v>
      </c>
      <c r="AQ150" s="58">
        <f t="shared" si="142"/>
        <v>0</v>
      </c>
      <c r="AR150" s="21">
        <v>0</v>
      </c>
      <c r="AS150" s="58">
        <f t="shared" si="143"/>
        <v>0</v>
      </c>
      <c r="AT150" s="21">
        <v>0</v>
      </c>
      <c r="AU150" s="58">
        <f t="shared" si="144"/>
        <v>0</v>
      </c>
      <c r="AV150" s="21">
        <v>0</v>
      </c>
      <c r="AW150" s="58">
        <v>0</v>
      </c>
      <c r="AX150" s="31">
        <v>0</v>
      </c>
      <c r="AY150" s="58">
        <v>0</v>
      </c>
      <c r="AZ150" s="31">
        <v>0</v>
      </c>
      <c r="BA150" s="58">
        <v>0</v>
      </c>
      <c r="BB150" s="31">
        <v>0</v>
      </c>
      <c r="BC150" s="58">
        <v>0</v>
      </c>
      <c r="BD150" s="31">
        <f>IF(Table1[[#This Row],[Sustainability Check 1 (2017-2018) Status]]="Continued", Table1[[#This Row],[Students Per Summer]], 0)</f>
        <v>285</v>
      </c>
      <c r="BE150" s="58">
        <f>$AA150*BD150</f>
        <v>39281.333333333336</v>
      </c>
      <c r="BF150" s="31">
        <f>IF(Table1[[#This Row],[Sustainability Check 1 (2017-2018) Status]]="Continued", Table1[[#This Row],[Students Per Fall]], 0)</f>
        <v>285</v>
      </c>
      <c r="BG150" s="58">
        <f t="shared" si="120"/>
        <v>39281.333333333336</v>
      </c>
      <c r="BH150" s="31">
        <f>IF(Table1[[#This Row],[Sustainability Check 1 (2017-2018) Status]]="Continued", Table1[[#This Row],[Students Per Spring]], 0)</f>
        <v>285</v>
      </c>
      <c r="BI150" s="58">
        <f t="shared" si="145"/>
        <v>39281.333333333336</v>
      </c>
      <c r="BJ150" s="31">
        <f t="shared" si="146"/>
        <v>855</v>
      </c>
      <c r="BK150" s="58">
        <f t="shared" si="147"/>
        <v>117844</v>
      </c>
      <c r="BL150" s="58" t="s">
        <v>130</v>
      </c>
      <c r="BM150" s="31">
        <v>226</v>
      </c>
      <c r="BN150" s="31">
        <v>139</v>
      </c>
      <c r="BO150" s="31">
        <v>262</v>
      </c>
      <c r="BP150" s="31">
        <f t="shared" si="148"/>
        <v>627</v>
      </c>
      <c r="BQ150" s="58">
        <v>152.66</v>
      </c>
      <c r="BR150" s="58">
        <f>Table1[[#This Row],[Check 2 Students Total]]*Table1[[#This Row],[Summer 2018 Price Check]]</f>
        <v>95717.819999999992</v>
      </c>
      <c r="BS150" s="31">
        <f>IF(Table1[[#This Row],[Sustainability Check 2 (2018-2019) Status]]="Continued", Table1[[#This Row],[Check 2 Students Summer]], 0)</f>
        <v>226</v>
      </c>
      <c r="BT150" s="58">
        <f>Table1[[#This Row],[Summer 2018 Price Check]]*BS150</f>
        <v>34501.159999999996</v>
      </c>
      <c r="BU150" s="31">
        <f>IF(Table1[[#This Row],[Sustainability Check 2 (2018-2019) Status]]="Continued", Table1[[#This Row],[Check 2 Students Fall]], 0)</f>
        <v>139</v>
      </c>
      <c r="BV150" s="58">
        <f>Table1[[#This Row],[Summer 2018 Price Check]]*BU150</f>
        <v>21219.739999999998</v>
      </c>
      <c r="BW150" s="21">
        <f>IF(Table1[[#This Row],[Sustainability Check 2 (2018-2019) Status]]="Continued", Table1[Check 2 Students Spring], 0)</f>
        <v>262</v>
      </c>
      <c r="BX150" s="58">
        <f>Table1[[#This Row],[Summer 2018 Price Check]]*Table1[[#This Row],[Spring 2019 Students]]</f>
        <v>39996.92</v>
      </c>
      <c r="BY150" s="31">
        <f t="shared" si="130"/>
        <v>627</v>
      </c>
      <c r="BZ150" s="58">
        <f t="shared" si="131"/>
        <v>95717.819999999992</v>
      </c>
      <c r="CA150" s="58" t="s">
        <v>130</v>
      </c>
      <c r="CB150" s="21">
        <v>313</v>
      </c>
      <c r="CC150" s="21">
        <v>276</v>
      </c>
      <c r="CD150" s="21">
        <v>338</v>
      </c>
      <c r="CE150" s="21">
        <f t="shared" si="132"/>
        <v>927</v>
      </c>
      <c r="CF150" s="58">
        <v>137.83000000000001</v>
      </c>
      <c r="CG150" s="58">
        <f t="shared" si="133"/>
        <v>127768.41000000002</v>
      </c>
      <c r="CH150" s="17" t="s">
        <v>813</v>
      </c>
      <c r="CI150" s="21">
        <f>IF(Table1[[#This Row],[Check 3 Status]]="Continued", Table1[[#This Row],[Check 3 Students Summer]], 0)</f>
        <v>313</v>
      </c>
      <c r="CJ150" s="58">
        <f>Table1[[#This Row],[Check 3 Per Student Savings]]*CI150</f>
        <v>43140.79</v>
      </c>
      <c r="CK150" s="21">
        <f>IF(Table1[[#This Row],[Check 3 Status]]="Continued", Table1[[#This Row],[Check 3 Students Fall]], 0)</f>
        <v>276</v>
      </c>
      <c r="CL150" s="58">
        <f>Table1[[#This Row],[Check 3 Per Student Savings]]*CK150</f>
        <v>38041.08</v>
      </c>
      <c r="CM150" s="21">
        <f>IF(Table1[[#This Row],[Check 3 Status]]="Continued", Table1[[#This Row],[Check 3 Students Spring]], 0)</f>
        <v>338</v>
      </c>
      <c r="CN150" s="58">
        <f>Table1[[#This Row],[Check 3 Per Student Savings]]*CM150</f>
        <v>46586.54</v>
      </c>
      <c r="CO150" s="21">
        <f t="shared" si="134"/>
        <v>927</v>
      </c>
      <c r="CP150" s="58">
        <f t="shared" si="135"/>
        <v>127768.41</v>
      </c>
      <c r="CQ150" s="58" t="s">
        <v>130</v>
      </c>
      <c r="CR150" s="21">
        <v>313</v>
      </c>
      <c r="CS150" s="21">
        <v>276</v>
      </c>
      <c r="CT150" s="21">
        <v>338</v>
      </c>
      <c r="CU150" s="21">
        <f t="shared" si="136"/>
        <v>927</v>
      </c>
      <c r="CV150" s="58">
        <v>137.83000000000001</v>
      </c>
      <c r="CW150" s="58">
        <f t="shared" si="137"/>
        <v>127768.41000000002</v>
      </c>
      <c r="CX150" s="58"/>
      <c r="CY150" s="21">
        <f>IF(Table1[[#This Row],[Check 4 Status]]="Continued", Table1[[#This Row],[Check 4 Students Summer]], 0)</f>
        <v>313</v>
      </c>
      <c r="CZ150" s="58">
        <f>Table1[[#This Row],[Check 4 Per Student Savings]]*CY150</f>
        <v>43140.79</v>
      </c>
      <c r="DA150" s="21">
        <f>IF(Table1[[#This Row],[Check 4 Status]]="Continued", Table1[[#This Row],[Check 4 Students Fall]], 0)</f>
        <v>276</v>
      </c>
      <c r="DB150" s="58">
        <f>Table1[[#This Row],[Check 4 Per Student Savings]]*DA150</f>
        <v>38041.08</v>
      </c>
      <c r="DC150" s="21">
        <f>IF(Table1[[#This Row],[Check 4 Status]]="Continued", Table1[[#This Row],[Check 4 Students Spring]], 0)</f>
        <v>338</v>
      </c>
      <c r="DD150" s="58">
        <f>Table1[[#This Row],[Check 4 Per Student Savings]]*DC150</f>
        <v>46586.54</v>
      </c>
      <c r="DE150" s="58">
        <f t="shared" si="138"/>
        <v>927</v>
      </c>
      <c r="DF150" s="58">
        <f t="shared" si="139"/>
        <v>127768.41</v>
      </c>
      <c r="DG15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3336</v>
      </c>
      <c r="DH15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469098.64</v>
      </c>
      <c r="DI150" s="58">
        <f>Table1[[#This Row],[Grand Total Savings]]/Table1[[#This Row],[Total Award]]</f>
        <v>15.636621333333334</v>
      </c>
      <c r="DJ150" s="17"/>
      <c r="DK150" s="17"/>
      <c r="DL150" s="17"/>
      <c r="DM150" s="17"/>
      <c r="EC150" s="17"/>
      <c r="ED150" s="17"/>
      <c r="EE150" s="17"/>
      <c r="EF150" s="17"/>
    </row>
    <row r="151" spans="1:136" x14ac:dyDescent="0.25">
      <c r="A151" s="157">
        <v>304</v>
      </c>
      <c r="B151" s="17" t="s">
        <v>2011</v>
      </c>
      <c r="D151" s="97">
        <v>512102</v>
      </c>
      <c r="E151" s="158">
        <v>42823</v>
      </c>
      <c r="F151" s="165">
        <v>43109</v>
      </c>
      <c r="G151" s="159" t="s">
        <v>777</v>
      </c>
      <c r="H151" s="95" t="s">
        <v>8</v>
      </c>
      <c r="I151" s="226" t="s">
        <v>118</v>
      </c>
      <c r="J151" s="17" t="s">
        <v>276</v>
      </c>
      <c r="K151" s="107">
        <v>29826</v>
      </c>
      <c r="L151" s="107"/>
      <c r="M151" s="101" t="s">
        <v>835</v>
      </c>
      <c r="N151" s="101" t="s">
        <v>836</v>
      </c>
      <c r="O151" s="101" t="s">
        <v>352</v>
      </c>
      <c r="P151" s="101" t="s">
        <v>353</v>
      </c>
      <c r="Q151" s="101" t="s">
        <v>304</v>
      </c>
      <c r="R151" s="101" t="s">
        <v>354</v>
      </c>
      <c r="S151" s="160" t="s">
        <v>36</v>
      </c>
      <c r="T151" s="17" t="s">
        <v>125</v>
      </c>
      <c r="U151" s="160" t="s">
        <v>355</v>
      </c>
      <c r="V151" s="17" t="s">
        <v>150</v>
      </c>
      <c r="W151" s="17" t="s">
        <v>127</v>
      </c>
      <c r="X151" s="17" t="s">
        <v>150</v>
      </c>
      <c r="Y151" s="58">
        <v>132664</v>
      </c>
      <c r="Z151" s="17">
        <v>736</v>
      </c>
      <c r="AA151" s="58">
        <f t="shared" si="129"/>
        <v>180.25</v>
      </c>
      <c r="AB151" s="21">
        <f t="shared" si="125"/>
        <v>245.33333333333334</v>
      </c>
      <c r="AC151" s="21">
        <f t="shared" si="126"/>
        <v>245.33333333333334</v>
      </c>
      <c r="AD151" s="21">
        <f t="shared" si="127"/>
        <v>245.33333333333334</v>
      </c>
      <c r="AE151" s="17" t="s">
        <v>588</v>
      </c>
      <c r="AF151" s="17" t="s">
        <v>129</v>
      </c>
      <c r="AG151" s="17"/>
      <c r="AI151" s="17" t="s">
        <v>130</v>
      </c>
      <c r="AJ151" s="21">
        <v>0</v>
      </c>
      <c r="AK151" s="58">
        <v>0</v>
      </c>
      <c r="AL151" s="21">
        <v>0</v>
      </c>
      <c r="AM151" s="58">
        <f t="shared" si="140"/>
        <v>0</v>
      </c>
      <c r="AN151" s="21">
        <v>0</v>
      </c>
      <c r="AO151" s="58">
        <f t="shared" si="141"/>
        <v>0</v>
      </c>
      <c r="AP151" s="21">
        <v>0</v>
      </c>
      <c r="AQ151" s="58">
        <f t="shared" si="142"/>
        <v>0</v>
      </c>
      <c r="AR151" s="21">
        <v>0</v>
      </c>
      <c r="AS151" s="58">
        <f t="shared" si="143"/>
        <v>0</v>
      </c>
      <c r="AT151" s="21">
        <v>0</v>
      </c>
      <c r="AU151" s="58">
        <f t="shared" si="144"/>
        <v>0</v>
      </c>
      <c r="AV151" s="21">
        <v>0</v>
      </c>
      <c r="AW151" s="58">
        <v>0</v>
      </c>
      <c r="AX151" s="31">
        <v>0</v>
      </c>
      <c r="AY151" s="58">
        <v>0</v>
      </c>
      <c r="AZ151" s="31">
        <v>0</v>
      </c>
      <c r="BA151" s="58">
        <v>0</v>
      </c>
      <c r="BB151" s="31">
        <v>0</v>
      </c>
      <c r="BC151" s="58">
        <v>0</v>
      </c>
      <c r="BD151" s="31">
        <v>0</v>
      </c>
      <c r="BE151" s="58">
        <v>0</v>
      </c>
      <c r="BF151" s="31">
        <f>Table1[[#This Row],[Students Per Fall]]</f>
        <v>245.33333333333334</v>
      </c>
      <c r="BG151" s="58">
        <f t="shared" si="120"/>
        <v>44221.333333333336</v>
      </c>
      <c r="BH151" s="31">
        <f>IF(Table1[[#This Row],[Sustainability Check 1 (2017-2018) Status]]="Continued", Table1[[#This Row],[Students Per Spring]], 0)</f>
        <v>245.33333333333334</v>
      </c>
      <c r="BI151" s="58">
        <f t="shared" si="145"/>
        <v>44221.333333333336</v>
      </c>
      <c r="BJ151" s="31">
        <f t="shared" si="146"/>
        <v>490.66666666666669</v>
      </c>
      <c r="BK151" s="58">
        <f t="shared" si="147"/>
        <v>88442.666666666672</v>
      </c>
      <c r="BL151" s="58" t="s">
        <v>130</v>
      </c>
      <c r="BM151" s="31">
        <v>100</v>
      </c>
      <c r="BN151" s="31">
        <v>300</v>
      </c>
      <c r="BO151" s="31">
        <v>400</v>
      </c>
      <c r="BP151" s="31">
        <f t="shared" si="148"/>
        <v>800</v>
      </c>
      <c r="BQ151" s="58">
        <v>180.25</v>
      </c>
      <c r="BR151" s="58">
        <f>Table1[[#This Row],[Check 2 Students Total]]*Table1[[#This Row],[Summer 2018 Price Check]]</f>
        <v>144200</v>
      </c>
      <c r="BS151" s="31">
        <f>IF(Table1[[#This Row],[Sustainability Check 2 (2018-2019) Status]]="Continued", Table1[[#This Row],[Check 2 Students Summer]], 0)</f>
        <v>100</v>
      </c>
      <c r="BT151" s="58">
        <f>Table1[[#This Row],[Summer 2018 Price Check]]*BS151</f>
        <v>18025</v>
      </c>
      <c r="BU151" s="31">
        <f>IF(Table1[[#This Row],[Sustainability Check 2 (2018-2019) Status]]="Continued", Table1[[#This Row],[Check 2 Students Fall]], 0)</f>
        <v>300</v>
      </c>
      <c r="BV151" s="58">
        <f>Table1[[#This Row],[Summer 2018 Price Check]]*BU151</f>
        <v>54075</v>
      </c>
      <c r="BW151" s="21">
        <f>IF(Table1[[#This Row],[Sustainability Check 2 (2018-2019) Status]]="Continued", Table1[Check 2 Students Spring], 0)</f>
        <v>400</v>
      </c>
      <c r="BX151" s="58">
        <f>Table1[[#This Row],[Summer 2018 Price Check]]*Table1[[#This Row],[Spring 2019 Students]]</f>
        <v>72100</v>
      </c>
      <c r="BY151" s="31">
        <f t="shared" si="130"/>
        <v>800</v>
      </c>
      <c r="BZ151" s="58">
        <f t="shared" si="131"/>
        <v>144200</v>
      </c>
      <c r="CA151" s="58" t="s">
        <v>130</v>
      </c>
      <c r="CB151" s="21">
        <v>100</v>
      </c>
      <c r="CC151" s="21">
        <v>319</v>
      </c>
      <c r="CD151" s="21">
        <v>415</v>
      </c>
      <c r="CE151" s="21">
        <f t="shared" si="132"/>
        <v>834</v>
      </c>
      <c r="CF151" s="58">
        <v>180.25</v>
      </c>
      <c r="CG151" s="58">
        <f t="shared" si="133"/>
        <v>150328.5</v>
      </c>
      <c r="CH151" s="17" t="s">
        <v>588</v>
      </c>
      <c r="CI151" s="21">
        <f>IF(Table1[[#This Row],[Check 3 Status]]="Continued", Table1[[#This Row],[Check 3 Students Summer]], 0)</f>
        <v>100</v>
      </c>
      <c r="CJ151" s="58">
        <f>Table1[[#This Row],[Check 3 Per Student Savings]]*CI151</f>
        <v>18025</v>
      </c>
      <c r="CK151" s="21">
        <f>IF(Table1[[#This Row],[Check 3 Status]]="Continued", Table1[[#This Row],[Check 3 Students Fall]], 0)</f>
        <v>319</v>
      </c>
      <c r="CL151" s="58">
        <f>Table1[[#This Row],[Check 3 Per Student Savings]]*CK151</f>
        <v>57499.75</v>
      </c>
      <c r="CM151" s="21">
        <f>IF(Table1[[#This Row],[Check 3 Status]]="Continued", Table1[[#This Row],[Check 3 Students Spring]], 0)</f>
        <v>415</v>
      </c>
      <c r="CN151" s="58">
        <f>Table1[[#This Row],[Check 3 Per Student Savings]]*CM151</f>
        <v>74803.75</v>
      </c>
      <c r="CO151" s="21">
        <f t="shared" si="134"/>
        <v>834</v>
      </c>
      <c r="CP151" s="58">
        <f t="shared" si="135"/>
        <v>150328.5</v>
      </c>
      <c r="CQ151" s="58" t="s">
        <v>130</v>
      </c>
      <c r="CR151" s="21">
        <v>100</v>
      </c>
      <c r="CS151" s="21">
        <v>319</v>
      </c>
      <c r="CT151" s="21">
        <v>415</v>
      </c>
      <c r="CU151" s="21">
        <f t="shared" si="136"/>
        <v>834</v>
      </c>
      <c r="CV151" s="58">
        <v>180.25</v>
      </c>
      <c r="CW151" s="58">
        <f t="shared" si="137"/>
        <v>150328.5</v>
      </c>
      <c r="CX151" s="58"/>
      <c r="CY151" s="21">
        <f>IF(Table1[[#This Row],[Check 4 Status]]="Continued", Table1[[#This Row],[Check 4 Students Summer]], 0)</f>
        <v>100</v>
      </c>
      <c r="CZ151" s="58">
        <f>Table1[[#This Row],[Check 4 Per Student Savings]]*CY151</f>
        <v>18025</v>
      </c>
      <c r="DA151" s="21">
        <f>IF(Table1[[#This Row],[Check 4 Status]]="Continued", Table1[[#This Row],[Check 4 Students Fall]], 0)</f>
        <v>319</v>
      </c>
      <c r="DB151" s="58">
        <f>Table1[[#This Row],[Check 4 Per Student Savings]]*DA151</f>
        <v>57499.75</v>
      </c>
      <c r="DC151" s="21">
        <f>IF(Table1[[#This Row],[Check 4 Status]]="Continued", Table1[[#This Row],[Check 4 Students Spring]], 0)</f>
        <v>415</v>
      </c>
      <c r="DD151" s="58">
        <f>Table1[[#This Row],[Check 4 Per Student Savings]]*DC151</f>
        <v>74803.75</v>
      </c>
      <c r="DE151" s="58">
        <f t="shared" si="138"/>
        <v>834</v>
      </c>
      <c r="DF151" s="58">
        <f t="shared" si="139"/>
        <v>150328.5</v>
      </c>
      <c r="DG15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2958.666666666667</v>
      </c>
      <c r="DH15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533299.66666666674</v>
      </c>
      <c r="DI151" s="58">
        <f>Table1[[#This Row],[Grand Total Savings]]/Table1[[#This Row],[Total Award]]</f>
        <v>17.880361653143794</v>
      </c>
      <c r="DJ151" s="17"/>
      <c r="DK151" s="17"/>
      <c r="DL151" s="17"/>
      <c r="DM151" s="17"/>
      <c r="EC151" s="17"/>
      <c r="ED151" s="17"/>
      <c r="EE151" s="17"/>
      <c r="EF151" s="17"/>
    </row>
    <row r="152" spans="1:136" x14ac:dyDescent="0.25">
      <c r="A152" s="157">
        <v>308</v>
      </c>
      <c r="B152" s="17" t="s">
        <v>2011</v>
      </c>
      <c r="D152" s="97">
        <v>512201</v>
      </c>
      <c r="E152" s="158">
        <v>42832</v>
      </c>
      <c r="F152" s="165">
        <v>43109</v>
      </c>
      <c r="G152" s="159" t="s">
        <v>777</v>
      </c>
      <c r="H152" s="95" t="s">
        <v>8</v>
      </c>
      <c r="I152" s="226" t="s">
        <v>118</v>
      </c>
      <c r="J152" s="17" t="s">
        <v>172</v>
      </c>
      <c r="K152" s="107">
        <v>10800</v>
      </c>
      <c r="L152" s="107"/>
      <c r="M152" s="101" t="s">
        <v>837</v>
      </c>
      <c r="N152" s="101" t="s">
        <v>838</v>
      </c>
      <c r="O152" s="101" t="s">
        <v>839</v>
      </c>
      <c r="P152" s="101" t="s">
        <v>840</v>
      </c>
      <c r="Q152" s="101" t="s">
        <v>177</v>
      </c>
      <c r="R152" s="101" t="s">
        <v>129</v>
      </c>
      <c r="S152" s="101" t="s">
        <v>129</v>
      </c>
      <c r="T152" s="17" t="s">
        <v>129</v>
      </c>
      <c r="U152" s="101" t="s">
        <v>755</v>
      </c>
      <c r="V152" s="17" t="s">
        <v>150</v>
      </c>
      <c r="W152" s="17" t="s">
        <v>150</v>
      </c>
      <c r="X152" s="17" t="s">
        <v>150</v>
      </c>
      <c r="Y152" s="58">
        <v>161998</v>
      </c>
      <c r="Z152" s="31">
        <v>3028</v>
      </c>
      <c r="AA152" s="58">
        <f t="shared" si="129"/>
        <v>53.5</v>
      </c>
      <c r="AB152" s="21">
        <f t="shared" ref="AB152:AB169" si="149">Z152/3</f>
        <v>1009.3333333333334</v>
      </c>
      <c r="AC152" s="21">
        <f t="shared" ref="AC152:AC169" si="150">Z152/3</f>
        <v>1009.3333333333334</v>
      </c>
      <c r="AD152" s="21">
        <f t="shared" ref="AD152:AD169" si="151">Z152/3</f>
        <v>1009.3333333333334</v>
      </c>
      <c r="AE152" s="17" t="s">
        <v>588</v>
      </c>
      <c r="AF152" s="17" t="s">
        <v>129</v>
      </c>
      <c r="AG152" s="17"/>
      <c r="AI152" s="17" t="s">
        <v>130</v>
      </c>
      <c r="AJ152" s="21">
        <v>0</v>
      </c>
      <c r="AK152" s="58">
        <v>0</v>
      </c>
      <c r="AL152" s="21">
        <v>0</v>
      </c>
      <c r="AM152" s="58">
        <f t="shared" si="140"/>
        <v>0</v>
      </c>
      <c r="AN152" s="21">
        <v>0</v>
      </c>
      <c r="AO152" s="58">
        <f t="shared" si="141"/>
        <v>0</v>
      </c>
      <c r="AP152" s="21">
        <v>0</v>
      </c>
      <c r="AQ152" s="58">
        <f t="shared" si="142"/>
        <v>0</v>
      </c>
      <c r="AR152" s="21">
        <v>0</v>
      </c>
      <c r="AS152" s="58">
        <f t="shared" si="143"/>
        <v>0</v>
      </c>
      <c r="AT152" s="21">
        <v>0</v>
      </c>
      <c r="AU152" s="58">
        <f t="shared" si="144"/>
        <v>0</v>
      </c>
      <c r="AV152" s="21">
        <v>0</v>
      </c>
      <c r="AW152" s="58">
        <v>0</v>
      </c>
      <c r="AX152" s="31">
        <v>0</v>
      </c>
      <c r="AY152" s="58">
        <v>0</v>
      </c>
      <c r="AZ152" s="31">
        <v>0</v>
      </c>
      <c r="BA152" s="58">
        <v>0</v>
      </c>
      <c r="BB152" s="31">
        <v>0</v>
      </c>
      <c r="BC152" s="58">
        <v>0</v>
      </c>
      <c r="BD152" s="31">
        <v>0</v>
      </c>
      <c r="BE152" s="58">
        <v>0</v>
      </c>
      <c r="BF152" s="31">
        <f>Table1[[#This Row],[Students Per Fall]]</f>
        <v>1009.3333333333334</v>
      </c>
      <c r="BG152" s="58">
        <f t="shared" si="120"/>
        <v>53999.333333333336</v>
      </c>
      <c r="BH152" s="31">
        <f>IF(Table1[[#This Row],[Sustainability Check 1 (2017-2018) Status]]="Continued", Table1[[#This Row],[Students Per Spring]], 0)</f>
        <v>1009.3333333333334</v>
      </c>
      <c r="BI152" s="58">
        <f t="shared" si="145"/>
        <v>53999.333333333336</v>
      </c>
      <c r="BJ152" s="31">
        <f t="shared" si="146"/>
        <v>2018.6666666666667</v>
      </c>
      <c r="BK152" s="58">
        <f t="shared" si="147"/>
        <v>107998.66666666667</v>
      </c>
      <c r="BL152" s="58" t="s">
        <v>130</v>
      </c>
      <c r="BM152" s="31">
        <v>281</v>
      </c>
      <c r="BN152" s="31">
        <v>576</v>
      </c>
      <c r="BO152" s="31">
        <v>633</v>
      </c>
      <c r="BP152" s="31">
        <f t="shared" si="148"/>
        <v>1490</v>
      </c>
      <c r="BQ152" s="58">
        <v>131.25</v>
      </c>
      <c r="BR152" s="58">
        <f>Table1[[#This Row],[Check 2 Students Total]]*Table1[[#This Row],[Summer 2018 Price Check]]</f>
        <v>195562.5</v>
      </c>
      <c r="BS152" s="31">
        <f>IF(Table1[[#This Row],[Sustainability Check 2 (2018-2019) Status]]="Continued", Table1[[#This Row],[Check 2 Students Summer]], 0)</f>
        <v>281</v>
      </c>
      <c r="BT152" s="58">
        <f>Table1[[#This Row],[Summer 2018 Price Check]]*BS152</f>
        <v>36881.25</v>
      </c>
      <c r="BU152" s="31">
        <f>IF(Table1[[#This Row],[Sustainability Check 2 (2018-2019) Status]]="Continued", Table1[[#This Row],[Check 2 Students Fall]], 0)</f>
        <v>576</v>
      </c>
      <c r="BV152" s="58">
        <f>Table1[[#This Row],[Summer 2018 Price Check]]*BU152</f>
        <v>75600</v>
      </c>
      <c r="BW152" s="21">
        <f>IF(Table1[[#This Row],[Sustainability Check 2 (2018-2019) Status]]="Continued", Table1[Check 2 Students Spring], 0)</f>
        <v>633</v>
      </c>
      <c r="BX152" s="58">
        <f>Table1[[#This Row],[Summer 2018 Price Check]]*Table1[[#This Row],[Spring 2019 Students]]</f>
        <v>83081.25</v>
      </c>
      <c r="BY152" s="31">
        <f t="shared" si="130"/>
        <v>1490</v>
      </c>
      <c r="BZ152" s="58">
        <f t="shared" si="131"/>
        <v>195562.5</v>
      </c>
      <c r="CA152" s="58" t="s">
        <v>130</v>
      </c>
      <c r="CB152" s="21">
        <v>281</v>
      </c>
      <c r="CC152" s="21">
        <v>576</v>
      </c>
      <c r="CD152" s="21">
        <v>633</v>
      </c>
      <c r="CE152" s="21">
        <f t="shared" si="132"/>
        <v>1490</v>
      </c>
      <c r="CF152" s="58">
        <v>100</v>
      </c>
      <c r="CG152" s="58">
        <f t="shared" si="133"/>
        <v>149000</v>
      </c>
      <c r="CH152" s="17" t="s">
        <v>588</v>
      </c>
      <c r="CI152" s="21">
        <f>IF(Table1[[#This Row],[Check 3 Status]]="Continued", Table1[[#This Row],[Check 3 Students Summer]], 0)</f>
        <v>281</v>
      </c>
      <c r="CJ152" s="58">
        <f>Table1[[#This Row],[Check 3 Per Student Savings]]*CI152</f>
        <v>28100</v>
      </c>
      <c r="CK152" s="21">
        <f>IF(Table1[[#This Row],[Check 3 Status]]="Continued", Table1[[#This Row],[Check 3 Students Fall]], 0)</f>
        <v>576</v>
      </c>
      <c r="CL152" s="58">
        <f>Table1[[#This Row],[Check 3 Per Student Savings]]*CK152</f>
        <v>57600</v>
      </c>
      <c r="CM152" s="21">
        <f>IF(Table1[[#This Row],[Check 3 Status]]="Continued", Table1[[#This Row],[Check 3 Students Spring]], 0)</f>
        <v>633</v>
      </c>
      <c r="CN152" s="58">
        <f>Table1[[#This Row],[Check 3 Per Student Savings]]*CM152</f>
        <v>63300</v>
      </c>
      <c r="CO152" s="21">
        <f t="shared" si="134"/>
        <v>1490</v>
      </c>
      <c r="CP152" s="58">
        <f t="shared" si="135"/>
        <v>149000</v>
      </c>
      <c r="CQ152" s="58" t="s">
        <v>142</v>
      </c>
      <c r="CR152" s="21">
        <v>281</v>
      </c>
      <c r="CS152" s="21">
        <v>576</v>
      </c>
      <c r="CT152" s="21">
        <v>633</v>
      </c>
      <c r="CU152" s="21">
        <v>0</v>
      </c>
      <c r="CV152" s="58">
        <v>0</v>
      </c>
      <c r="CW152" s="58">
        <f t="shared" si="137"/>
        <v>0</v>
      </c>
      <c r="CX152" s="58"/>
      <c r="CY152" s="21">
        <f>IF(Table1[[#This Row],[Check 4 Status]]="Continued", Table1[[#This Row],[Check 4 Students Summer]], 0)</f>
        <v>0</v>
      </c>
      <c r="CZ152" s="58">
        <f>Table1[[#This Row],[Check 4 Per Student Savings]]*CY152</f>
        <v>0</v>
      </c>
      <c r="DA152" s="21">
        <f>IF(Table1[[#This Row],[Check 4 Status]]="Continued", Table1[[#This Row],[Check 4 Students Fall]], 0)</f>
        <v>0</v>
      </c>
      <c r="DB152" s="58">
        <f>Table1[[#This Row],[Check 4 Per Student Savings]]*DA152</f>
        <v>0</v>
      </c>
      <c r="DC152" s="21">
        <f>IF(Table1[[#This Row],[Check 4 Status]]="Continued", Table1[[#This Row],[Check 4 Students Spring]], 0)</f>
        <v>0</v>
      </c>
      <c r="DD152" s="58">
        <f>Table1[[#This Row],[Check 4 Per Student Savings]]*DC152</f>
        <v>0</v>
      </c>
      <c r="DE152" s="58">
        <f t="shared" si="138"/>
        <v>0</v>
      </c>
      <c r="DF152" s="58">
        <f t="shared" si="139"/>
        <v>0</v>
      </c>
      <c r="DG15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4998.666666666667</v>
      </c>
      <c r="DH15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452561.16666666669</v>
      </c>
      <c r="DI152" s="58">
        <f>Table1[[#This Row],[Grand Total Savings]]/Table1[[#This Row],[Total Award]]</f>
        <v>41.903811728395063</v>
      </c>
      <c r="DJ152" s="17"/>
      <c r="DK152" s="17"/>
      <c r="DL152" s="17"/>
      <c r="DM152" s="17"/>
      <c r="EC152" s="17"/>
      <c r="ED152" s="17"/>
      <c r="EE152" s="17"/>
      <c r="EF152" s="17"/>
    </row>
    <row r="153" spans="1:136" x14ac:dyDescent="0.25">
      <c r="A153" s="157">
        <v>309</v>
      </c>
      <c r="B153" s="17" t="s">
        <v>2011</v>
      </c>
      <c r="D153" s="97">
        <v>512601</v>
      </c>
      <c r="E153" s="158">
        <v>42912</v>
      </c>
      <c r="F153" s="165">
        <v>43250</v>
      </c>
      <c r="G153" s="159" t="s">
        <v>841</v>
      </c>
      <c r="H153" s="95" t="s">
        <v>8</v>
      </c>
      <c r="I153" s="226" t="s">
        <v>118</v>
      </c>
      <c r="J153" s="17" t="s">
        <v>276</v>
      </c>
      <c r="K153" s="107">
        <v>10800</v>
      </c>
      <c r="L153" s="107"/>
      <c r="M153" s="101" t="s">
        <v>842</v>
      </c>
      <c r="N153" s="160" t="s">
        <v>843</v>
      </c>
      <c r="O153" s="101" t="s">
        <v>844</v>
      </c>
      <c r="P153" s="101" t="s">
        <v>845</v>
      </c>
      <c r="Q153" s="101" t="s">
        <v>192</v>
      </c>
      <c r="R153" s="101" t="s">
        <v>129</v>
      </c>
      <c r="S153" s="128" t="s">
        <v>36</v>
      </c>
      <c r="T153" s="17" t="s">
        <v>125</v>
      </c>
      <c r="U153" s="128" t="s">
        <v>725</v>
      </c>
      <c r="V153" s="17" t="s">
        <v>150</v>
      </c>
      <c r="W153" s="17" t="s">
        <v>150</v>
      </c>
      <c r="X153" s="17" t="s">
        <v>127</v>
      </c>
      <c r="Y153" s="58">
        <v>92225</v>
      </c>
      <c r="Z153" s="17">
        <v>340</v>
      </c>
      <c r="AA153" s="58">
        <f t="shared" si="129"/>
        <v>271.25</v>
      </c>
      <c r="AB153" s="21">
        <f t="shared" si="149"/>
        <v>113.33333333333333</v>
      </c>
      <c r="AC153" s="21">
        <f t="shared" si="150"/>
        <v>113.33333333333333</v>
      </c>
      <c r="AD153" s="21">
        <f t="shared" si="151"/>
        <v>113.33333333333333</v>
      </c>
      <c r="AE153" s="17" t="s">
        <v>588</v>
      </c>
      <c r="AF153" s="17" t="s">
        <v>129</v>
      </c>
      <c r="AG153" s="17"/>
      <c r="AI153" s="17" t="s">
        <v>130</v>
      </c>
      <c r="AJ153" s="21">
        <v>0</v>
      </c>
      <c r="AK153" s="58">
        <v>0</v>
      </c>
      <c r="AL153" s="21">
        <v>0</v>
      </c>
      <c r="AM153" s="58">
        <f t="shared" si="140"/>
        <v>0</v>
      </c>
      <c r="AN153" s="21">
        <v>0</v>
      </c>
      <c r="AO153" s="58">
        <f t="shared" si="141"/>
        <v>0</v>
      </c>
      <c r="AP153" s="21">
        <v>0</v>
      </c>
      <c r="AQ153" s="58">
        <f t="shared" si="142"/>
        <v>0</v>
      </c>
      <c r="AR153" s="21">
        <v>0</v>
      </c>
      <c r="AS153" s="58">
        <f t="shared" si="143"/>
        <v>0</v>
      </c>
      <c r="AT153" s="21">
        <v>0</v>
      </c>
      <c r="AU153" s="58">
        <f t="shared" si="144"/>
        <v>0</v>
      </c>
      <c r="AV153" s="21">
        <v>0</v>
      </c>
      <c r="AW153" s="58">
        <v>0</v>
      </c>
      <c r="AX153" s="31">
        <v>0</v>
      </c>
      <c r="AY153" s="58">
        <v>0</v>
      </c>
      <c r="AZ153" s="31">
        <v>0</v>
      </c>
      <c r="BA153" s="58">
        <v>0</v>
      </c>
      <c r="BB153" s="31">
        <v>0</v>
      </c>
      <c r="BC153" s="58">
        <v>0</v>
      </c>
      <c r="BD153" s="31">
        <v>0</v>
      </c>
      <c r="BE153" s="58">
        <v>0</v>
      </c>
      <c r="BF153" s="31">
        <f>Table1[[#This Row],[Students Per Fall]]</f>
        <v>113.33333333333333</v>
      </c>
      <c r="BG153" s="58">
        <f t="shared" si="120"/>
        <v>30741.666666666664</v>
      </c>
      <c r="BH153" s="31">
        <f>IF(Table1[[#This Row],[Sustainability Check 1 (2017-2018) Status]]="Continued", Table1[[#This Row],[Students Per Spring]], 0)</f>
        <v>113.33333333333333</v>
      </c>
      <c r="BI153" s="58">
        <f t="shared" si="145"/>
        <v>30741.666666666664</v>
      </c>
      <c r="BJ153" s="31">
        <f t="shared" si="146"/>
        <v>226.66666666666666</v>
      </c>
      <c r="BK153" s="58">
        <f t="shared" si="147"/>
        <v>61483.333333333328</v>
      </c>
      <c r="BL153" s="58" t="s">
        <v>130</v>
      </c>
      <c r="BM153" s="31">
        <v>120</v>
      </c>
      <c r="BN153" s="31">
        <v>120</v>
      </c>
      <c r="BO153" s="31">
        <v>120</v>
      </c>
      <c r="BP153" s="31">
        <f t="shared" si="148"/>
        <v>360</v>
      </c>
      <c r="BQ153" s="96">
        <v>266.2</v>
      </c>
      <c r="BR153" s="58">
        <f>Table1[[#This Row],[Check 2 Students Total]]*Table1[[#This Row],[Summer 2018 Price Check]]</f>
        <v>95832</v>
      </c>
      <c r="BS153" s="31">
        <f>IF(Table1[[#This Row],[Sustainability Check 2 (2018-2019) Status]]="Continued", Table1[[#This Row],[Check 2 Students Summer]], 0)</f>
        <v>120</v>
      </c>
      <c r="BT153" s="58">
        <f>Table1[[#This Row],[Summer 2018 Price Check]]*BS153</f>
        <v>31944</v>
      </c>
      <c r="BU153" s="31">
        <f>IF(Table1[[#This Row],[Sustainability Check 2 (2018-2019) Status]]="Continued", Table1[[#This Row],[Check 2 Students Fall]], 0)</f>
        <v>120</v>
      </c>
      <c r="BV153" s="58">
        <f>Table1[[#This Row],[Summer 2018 Price Check]]*BU153</f>
        <v>31944</v>
      </c>
      <c r="BW153" s="21">
        <f>IF(Table1[[#This Row],[Sustainability Check 2 (2018-2019) Status]]="Continued", Table1[Check 2 Students Spring], 0)</f>
        <v>120</v>
      </c>
      <c r="BX153" s="58">
        <f>Table1[[#This Row],[Summer 2018 Price Check]]*Table1[[#This Row],[Spring 2019 Students]]</f>
        <v>31944</v>
      </c>
      <c r="BY153" s="31">
        <f t="shared" si="130"/>
        <v>360</v>
      </c>
      <c r="BZ153" s="58">
        <f t="shared" si="131"/>
        <v>95832</v>
      </c>
      <c r="CA153" s="58" t="s">
        <v>130</v>
      </c>
      <c r="CB153" s="21">
        <v>36</v>
      </c>
      <c r="CC153" s="21">
        <v>135</v>
      </c>
      <c r="CD153" s="21">
        <v>140</v>
      </c>
      <c r="CE153" s="21">
        <f t="shared" si="132"/>
        <v>311</v>
      </c>
      <c r="CF153" s="58">
        <v>271.25</v>
      </c>
      <c r="CG153" s="58">
        <f t="shared" si="133"/>
        <v>84358.75</v>
      </c>
      <c r="CH153" s="17" t="s">
        <v>588</v>
      </c>
      <c r="CI153" s="21">
        <f>IF(Table1[[#This Row],[Check 3 Status]]="Continued", Table1[[#This Row],[Check 3 Students Summer]], 0)</f>
        <v>36</v>
      </c>
      <c r="CJ153" s="58">
        <f>Table1[[#This Row],[Check 3 Per Student Savings]]*CI153</f>
        <v>9765</v>
      </c>
      <c r="CK153" s="21">
        <f>IF(Table1[[#This Row],[Check 3 Status]]="Continued", Table1[[#This Row],[Check 3 Students Fall]], 0)</f>
        <v>135</v>
      </c>
      <c r="CL153" s="58">
        <f>Table1[[#This Row],[Check 3 Per Student Savings]]*CK153</f>
        <v>36618.75</v>
      </c>
      <c r="CM153" s="21">
        <f>IF(Table1[[#This Row],[Check 3 Status]]="Continued", Table1[[#This Row],[Check 3 Students Spring]], 0)</f>
        <v>140</v>
      </c>
      <c r="CN153" s="58">
        <f>Table1[[#This Row],[Check 3 Per Student Savings]]*CM153</f>
        <v>37975</v>
      </c>
      <c r="CO153" s="21">
        <f t="shared" si="134"/>
        <v>311</v>
      </c>
      <c r="CP153" s="58">
        <f t="shared" si="135"/>
        <v>84358.75</v>
      </c>
      <c r="CQ153" s="58" t="s">
        <v>130</v>
      </c>
      <c r="CR153" s="21">
        <v>36</v>
      </c>
      <c r="CS153" s="21">
        <v>135</v>
      </c>
      <c r="CT153" s="21">
        <v>140</v>
      </c>
      <c r="CU153" s="21">
        <f t="shared" si="136"/>
        <v>311</v>
      </c>
      <c r="CV153" s="58">
        <v>271.25</v>
      </c>
      <c r="CW153" s="58">
        <f t="shared" si="137"/>
        <v>84358.75</v>
      </c>
      <c r="CX153" s="58"/>
      <c r="CY153" s="21">
        <f>IF(Table1[[#This Row],[Check 4 Status]]="Continued", Table1[[#This Row],[Check 4 Students Summer]], 0)</f>
        <v>36</v>
      </c>
      <c r="CZ153" s="58">
        <f>Table1[[#This Row],[Check 4 Per Student Savings]]*CY153</f>
        <v>9765</v>
      </c>
      <c r="DA153" s="21">
        <f>IF(Table1[[#This Row],[Check 4 Status]]="Continued", Table1[[#This Row],[Check 4 Students Fall]], 0)</f>
        <v>135</v>
      </c>
      <c r="DB153" s="58">
        <f>Table1[[#This Row],[Check 4 Per Student Savings]]*DA153</f>
        <v>36618.75</v>
      </c>
      <c r="DC153" s="21">
        <f>IF(Table1[[#This Row],[Check 4 Status]]="Continued", Table1[[#This Row],[Check 4 Students Spring]], 0)</f>
        <v>140</v>
      </c>
      <c r="DD153" s="58">
        <f>Table1[[#This Row],[Check 4 Per Student Savings]]*DC153</f>
        <v>37975</v>
      </c>
      <c r="DE153" s="58">
        <f t="shared" si="138"/>
        <v>311</v>
      </c>
      <c r="DF153" s="58">
        <f t="shared" si="139"/>
        <v>84358.75</v>
      </c>
      <c r="DG15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1208.6666666666665</v>
      </c>
      <c r="DH15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326032.83333333331</v>
      </c>
      <c r="DI153" s="58">
        <f>Table1[[#This Row],[Grand Total Savings]]/Table1[[#This Row],[Total Award]]</f>
        <v>30.188225308641975</v>
      </c>
      <c r="DJ153" s="17"/>
      <c r="DK153" s="17"/>
      <c r="DL153" s="17"/>
      <c r="DM153" s="17"/>
      <c r="EC153" s="17"/>
      <c r="ED153" s="17"/>
      <c r="EE153" s="17"/>
      <c r="EF153" s="17"/>
    </row>
    <row r="154" spans="1:136" x14ac:dyDescent="0.25">
      <c r="A154" s="157">
        <v>312</v>
      </c>
      <c r="B154" s="17" t="s">
        <v>2011</v>
      </c>
      <c r="D154" s="97">
        <v>512602</v>
      </c>
      <c r="E154" s="158">
        <v>42912</v>
      </c>
      <c r="F154" s="165">
        <v>43250</v>
      </c>
      <c r="G154" s="159" t="s">
        <v>841</v>
      </c>
      <c r="H154" s="95" t="s">
        <v>8</v>
      </c>
      <c r="I154" s="226" t="s">
        <v>118</v>
      </c>
      <c r="J154" s="17" t="s">
        <v>236</v>
      </c>
      <c r="K154" s="107">
        <v>10800</v>
      </c>
      <c r="L154" s="107"/>
      <c r="M154" s="101" t="s">
        <v>846</v>
      </c>
      <c r="N154" s="101" t="s">
        <v>847</v>
      </c>
      <c r="O154" s="101" t="s">
        <v>848</v>
      </c>
      <c r="P154" s="101" t="s">
        <v>849</v>
      </c>
      <c r="Q154" s="101" t="s">
        <v>148</v>
      </c>
      <c r="R154" s="101" t="s">
        <v>850</v>
      </c>
      <c r="S154" s="17" t="s">
        <v>129</v>
      </c>
      <c r="T154" s="17" t="s">
        <v>129</v>
      </c>
      <c r="U154" s="17" t="s">
        <v>157</v>
      </c>
      <c r="V154" s="17" t="s">
        <v>150</v>
      </c>
      <c r="W154" s="17" t="s">
        <v>150</v>
      </c>
      <c r="X154" s="17" t="s">
        <v>150</v>
      </c>
      <c r="Y154" s="58">
        <v>68850</v>
      </c>
      <c r="Z154" s="17">
        <v>300</v>
      </c>
      <c r="AA154" s="58">
        <f t="shared" si="129"/>
        <v>229.5</v>
      </c>
      <c r="AB154" s="21">
        <f t="shared" si="149"/>
        <v>100</v>
      </c>
      <c r="AC154" s="21">
        <f t="shared" si="150"/>
        <v>100</v>
      </c>
      <c r="AD154" s="21">
        <f t="shared" si="151"/>
        <v>100</v>
      </c>
      <c r="AE154" s="17" t="s">
        <v>588</v>
      </c>
      <c r="AF154" s="17" t="s">
        <v>129</v>
      </c>
      <c r="AG154" s="17"/>
      <c r="AI154" s="17" t="s">
        <v>130</v>
      </c>
      <c r="AJ154" s="21">
        <v>0</v>
      </c>
      <c r="AK154" s="58">
        <v>0</v>
      </c>
      <c r="AL154" s="21">
        <v>0</v>
      </c>
      <c r="AM154" s="58">
        <f t="shared" si="140"/>
        <v>0</v>
      </c>
      <c r="AN154" s="21">
        <v>0</v>
      </c>
      <c r="AO154" s="58">
        <f t="shared" si="141"/>
        <v>0</v>
      </c>
      <c r="AP154" s="21">
        <v>0</v>
      </c>
      <c r="AQ154" s="58">
        <f t="shared" si="142"/>
        <v>0</v>
      </c>
      <c r="AR154" s="21">
        <v>0</v>
      </c>
      <c r="AS154" s="58">
        <f t="shared" si="143"/>
        <v>0</v>
      </c>
      <c r="AT154" s="21">
        <v>0</v>
      </c>
      <c r="AU154" s="58">
        <f t="shared" si="144"/>
        <v>0</v>
      </c>
      <c r="AV154" s="21">
        <v>0</v>
      </c>
      <c r="AW154" s="58">
        <v>0</v>
      </c>
      <c r="AX154" s="31">
        <v>0</v>
      </c>
      <c r="AY154" s="58">
        <v>0</v>
      </c>
      <c r="AZ154" s="31">
        <v>0</v>
      </c>
      <c r="BA154" s="58">
        <v>0</v>
      </c>
      <c r="BB154" s="31">
        <v>0</v>
      </c>
      <c r="BC154" s="58">
        <v>0</v>
      </c>
      <c r="BD154" s="31">
        <v>0</v>
      </c>
      <c r="BE154" s="58">
        <v>0</v>
      </c>
      <c r="BF154" s="31">
        <f>Table1[[#This Row],[Students Per Fall]]</f>
        <v>100</v>
      </c>
      <c r="BG154" s="58">
        <f t="shared" si="120"/>
        <v>22950</v>
      </c>
      <c r="BH154" s="31">
        <f>IF(Table1[[#This Row],[Sustainability Check 1 (2017-2018) Status]]="Continued", Table1[[#This Row],[Students Per Spring]], 0)</f>
        <v>100</v>
      </c>
      <c r="BI154" s="58">
        <f t="shared" si="145"/>
        <v>22950</v>
      </c>
      <c r="BJ154" s="31">
        <f t="shared" si="146"/>
        <v>200</v>
      </c>
      <c r="BK154" s="58">
        <f t="shared" si="147"/>
        <v>45900</v>
      </c>
      <c r="BL154" s="58" t="s">
        <v>130</v>
      </c>
      <c r="BM154" s="31">
        <v>0</v>
      </c>
      <c r="BN154" s="31">
        <v>35</v>
      </c>
      <c r="BO154" s="31">
        <v>35</v>
      </c>
      <c r="BP154" s="31">
        <f t="shared" si="148"/>
        <v>70</v>
      </c>
      <c r="BQ154" s="96">
        <v>249.95</v>
      </c>
      <c r="BR154" s="58">
        <f>Table1[[#This Row],[Check 2 Students Total]]*Table1[[#This Row],[Summer 2018 Price Check]]</f>
        <v>17496.5</v>
      </c>
      <c r="BS154" s="31">
        <f>IF(Table1[[#This Row],[Sustainability Check 2 (2018-2019) Status]]="Continued", Table1[[#This Row],[Check 2 Students Summer]], 0)</f>
        <v>0</v>
      </c>
      <c r="BT154" s="58">
        <f>Table1[[#This Row],[Summer 2018 Price Check]]*BS154</f>
        <v>0</v>
      </c>
      <c r="BU154" s="31">
        <f>IF(Table1[[#This Row],[Sustainability Check 2 (2018-2019) Status]]="Continued", Table1[[#This Row],[Check 2 Students Fall]], 0)</f>
        <v>35</v>
      </c>
      <c r="BV154" s="58">
        <f>Table1[[#This Row],[Summer 2018 Price Check]]*BU154</f>
        <v>8748.25</v>
      </c>
      <c r="BW154" s="21">
        <f>IF(Table1[[#This Row],[Sustainability Check 2 (2018-2019) Status]]="Continued", Table1[Check 2 Students Spring], 0)</f>
        <v>35</v>
      </c>
      <c r="BX154" s="58">
        <f>Table1[[#This Row],[Summer 2018 Price Check]]*Table1[[#This Row],[Spring 2019 Students]]</f>
        <v>8748.25</v>
      </c>
      <c r="BY154" s="31">
        <f t="shared" si="130"/>
        <v>70</v>
      </c>
      <c r="BZ154" s="58">
        <f t="shared" si="131"/>
        <v>17496.5</v>
      </c>
      <c r="CA154" s="58" t="s">
        <v>130</v>
      </c>
      <c r="CB154" s="21">
        <v>0</v>
      </c>
      <c r="CC154" s="21">
        <v>28</v>
      </c>
      <c r="CD154" s="21">
        <v>35</v>
      </c>
      <c r="CE154" s="21">
        <f t="shared" si="132"/>
        <v>63</v>
      </c>
      <c r="CF154" s="58">
        <v>256.14999999999998</v>
      </c>
      <c r="CG154" s="58">
        <f t="shared" si="133"/>
        <v>16137.449999999999</v>
      </c>
      <c r="CH154" s="17" t="s">
        <v>588</v>
      </c>
      <c r="CI154" s="21">
        <f>IF(Table1[[#This Row],[Check 3 Status]]="Continued", Table1[[#This Row],[Check 3 Students Summer]], 0)</f>
        <v>0</v>
      </c>
      <c r="CJ154" s="58">
        <f>Table1[[#This Row],[Check 3 Per Student Savings]]*CI154</f>
        <v>0</v>
      </c>
      <c r="CK154" s="21">
        <f>IF(Table1[[#This Row],[Check 3 Status]]="Continued", Table1[[#This Row],[Check 3 Students Fall]], 0)</f>
        <v>28</v>
      </c>
      <c r="CL154" s="58">
        <f>Table1[[#This Row],[Check 3 Per Student Savings]]*CK154</f>
        <v>7172.1999999999989</v>
      </c>
      <c r="CM154" s="21">
        <f>IF(Table1[[#This Row],[Check 3 Status]]="Continued", Table1[[#This Row],[Check 3 Students Spring]], 0)</f>
        <v>35</v>
      </c>
      <c r="CN154" s="58">
        <f>Table1[[#This Row],[Check 3 Per Student Savings]]*CM154</f>
        <v>8965.25</v>
      </c>
      <c r="CO154" s="21">
        <f t="shared" si="134"/>
        <v>63</v>
      </c>
      <c r="CP154" s="58">
        <f t="shared" si="135"/>
        <v>16137.449999999999</v>
      </c>
      <c r="CQ154" s="58" t="s">
        <v>142</v>
      </c>
      <c r="CR154" s="21">
        <v>0</v>
      </c>
      <c r="CS154" s="21">
        <v>28</v>
      </c>
      <c r="CT154" s="21">
        <v>35</v>
      </c>
      <c r="CU154" s="21">
        <f t="shared" si="136"/>
        <v>63</v>
      </c>
      <c r="CV154" s="58">
        <v>256.14999999999998</v>
      </c>
      <c r="CW154" s="58">
        <f t="shared" si="137"/>
        <v>16137.449999999999</v>
      </c>
      <c r="CX154" s="58"/>
      <c r="CY154" s="21">
        <f>IF(Table1[[#This Row],[Check 4 Status]]="Continued", Table1[[#This Row],[Check 4 Students Summer]], 0)</f>
        <v>0</v>
      </c>
      <c r="CZ154" s="58">
        <f>Table1[[#This Row],[Check 4 Per Student Savings]]*CY154</f>
        <v>0</v>
      </c>
      <c r="DA154" s="21">
        <f>IF(Table1[[#This Row],[Check 4 Status]]="Continued", Table1[[#This Row],[Check 4 Students Fall]], 0)</f>
        <v>0</v>
      </c>
      <c r="DB154" s="58">
        <f>Table1[[#This Row],[Check 4 Per Student Savings]]*DA154</f>
        <v>0</v>
      </c>
      <c r="DC154" s="21">
        <f>IF(Table1[[#This Row],[Check 4 Status]]="Continued", Table1[[#This Row],[Check 4 Students Spring]], 0)</f>
        <v>0</v>
      </c>
      <c r="DD154" s="58">
        <f>Table1[[#This Row],[Check 4 Per Student Savings]]*DC154</f>
        <v>0</v>
      </c>
      <c r="DE154" s="58">
        <f t="shared" si="138"/>
        <v>0</v>
      </c>
      <c r="DF154" s="58">
        <f t="shared" si="139"/>
        <v>0</v>
      </c>
      <c r="DG15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333</v>
      </c>
      <c r="DH15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79533.95</v>
      </c>
      <c r="DI154" s="58">
        <f>Table1[[#This Row],[Grand Total Savings]]/Table1[[#This Row],[Total Award]]</f>
        <v>7.3642546296296292</v>
      </c>
      <c r="DJ154" s="17"/>
      <c r="DK154" s="17"/>
      <c r="DL154" s="17"/>
      <c r="DM154" s="17"/>
      <c r="EC154" s="17"/>
      <c r="ED154" s="17"/>
      <c r="EE154" s="17"/>
      <c r="EF154" s="17"/>
    </row>
    <row r="155" spans="1:136" x14ac:dyDescent="0.25">
      <c r="A155" s="157">
        <v>313</v>
      </c>
      <c r="B155" s="17" t="s">
        <v>2011</v>
      </c>
      <c r="D155" s="97">
        <v>512603</v>
      </c>
      <c r="E155" s="165">
        <v>42954</v>
      </c>
      <c r="F155" s="165">
        <v>43250</v>
      </c>
      <c r="G155" s="159" t="s">
        <v>841</v>
      </c>
      <c r="H155" s="95" t="s">
        <v>8</v>
      </c>
      <c r="I155" s="226" t="s">
        <v>118</v>
      </c>
      <c r="J155" s="17" t="s">
        <v>132</v>
      </c>
      <c r="K155" s="107">
        <v>10800</v>
      </c>
      <c r="L155" s="107"/>
      <c r="M155" s="101" t="s">
        <v>851</v>
      </c>
      <c r="N155" s="101" t="s">
        <v>852</v>
      </c>
      <c r="O155" s="101" t="s">
        <v>853</v>
      </c>
      <c r="P155" s="101" t="s">
        <v>854</v>
      </c>
      <c r="Q155" s="101" t="s">
        <v>456</v>
      </c>
      <c r="R155" s="101" t="s">
        <v>855</v>
      </c>
      <c r="S155" s="17" t="s">
        <v>129</v>
      </c>
      <c r="T155" s="17" t="s">
        <v>129</v>
      </c>
      <c r="U155" s="128" t="s">
        <v>856</v>
      </c>
      <c r="V155" s="17" t="s">
        <v>150</v>
      </c>
      <c r="W155" s="17" t="s">
        <v>127</v>
      </c>
      <c r="X155" s="17" t="s">
        <v>127</v>
      </c>
      <c r="Y155" s="58">
        <v>16735.5</v>
      </c>
      <c r="Z155" s="17">
        <v>90</v>
      </c>
      <c r="AA155" s="58">
        <f t="shared" si="129"/>
        <v>185.95</v>
      </c>
      <c r="AB155" s="21">
        <f t="shared" si="149"/>
        <v>30</v>
      </c>
      <c r="AC155" s="21">
        <f t="shared" si="150"/>
        <v>30</v>
      </c>
      <c r="AD155" s="21">
        <f t="shared" si="151"/>
        <v>30</v>
      </c>
      <c r="AE155" s="17" t="s">
        <v>857</v>
      </c>
      <c r="AF155" s="17" t="s">
        <v>129</v>
      </c>
      <c r="AG155" s="17"/>
      <c r="AI155" s="17" t="s">
        <v>130</v>
      </c>
      <c r="AJ155" s="21">
        <v>0</v>
      </c>
      <c r="AK155" s="58">
        <v>0</v>
      </c>
      <c r="AL155" s="21">
        <v>0</v>
      </c>
      <c r="AM155" s="58">
        <f t="shared" si="140"/>
        <v>0</v>
      </c>
      <c r="AN155" s="21">
        <v>0</v>
      </c>
      <c r="AO155" s="58">
        <f t="shared" si="141"/>
        <v>0</v>
      </c>
      <c r="AP155" s="21">
        <v>0</v>
      </c>
      <c r="AQ155" s="58">
        <f t="shared" si="142"/>
        <v>0</v>
      </c>
      <c r="AR155" s="21">
        <v>0</v>
      </c>
      <c r="AS155" s="58">
        <f t="shared" si="143"/>
        <v>0</v>
      </c>
      <c r="AT155" s="21">
        <v>0</v>
      </c>
      <c r="AU155" s="58">
        <f t="shared" si="144"/>
        <v>0</v>
      </c>
      <c r="AV155" s="21">
        <v>0</v>
      </c>
      <c r="AW155" s="58">
        <v>0</v>
      </c>
      <c r="AX155" s="31">
        <v>0</v>
      </c>
      <c r="AY155" s="58">
        <v>0</v>
      </c>
      <c r="AZ155" s="31">
        <v>0</v>
      </c>
      <c r="BA155" s="58">
        <v>0</v>
      </c>
      <c r="BB155" s="31">
        <v>0</v>
      </c>
      <c r="BC155" s="58">
        <v>0</v>
      </c>
      <c r="BD155" s="31">
        <v>0</v>
      </c>
      <c r="BE155" s="58">
        <v>0</v>
      </c>
      <c r="BF155" s="31">
        <v>0</v>
      </c>
      <c r="BG155" s="58">
        <v>0</v>
      </c>
      <c r="BH155" s="31">
        <f>Table1[[#This Row],[Students Per Spring]]</f>
        <v>30</v>
      </c>
      <c r="BI155" s="58">
        <f t="shared" si="145"/>
        <v>5578.5</v>
      </c>
      <c r="BJ155" s="31">
        <f t="shared" si="146"/>
        <v>30</v>
      </c>
      <c r="BK155" s="58">
        <f t="shared" si="147"/>
        <v>5578.5</v>
      </c>
      <c r="BL155" s="58" t="s">
        <v>130</v>
      </c>
      <c r="BM155" s="31">
        <v>30</v>
      </c>
      <c r="BN155" s="31">
        <v>30</v>
      </c>
      <c r="BO155" s="31">
        <v>30</v>
      </c>
      <c r="BP155" s="31">
        <f t="shared" si="148"/>
        <v>90</v>
      </c>
      <c r="BQ155" s="96">
        <v>194.2</v>
      </c>
      <c r="BR155" s="58">
        <f>Table1[[#This Row],[Check 2 Students Total]]*Table1[[#This Row],[Summer 2018 Price Check]]</f>
        <v>17478</v>
      </c>
      <c r="BS155" s="31">
        <f>IF(Table1[[#This Row],[Sustainability Check 2 (2018-2019) Status]]="Continued", Table1[[#This Row],[Check 2 Students Summer]], 0)</f>
        <v>30</v>
      </c>
      <c r="BT155" s="58">
        <f>Table1[[#This Row],[Summer 2018 Price Check]]*BS155</f>
        <v>5826</v>
      </c>
      <c r="BU155" s="31">
        <f>IF(Table1[[#This Row],[Sustainability Check 2 (2018-2019) Status]]="Continued", Table1[[#This Row],[Check 2 Students Fall]], 0)</f>
        <v>30</v>
      </c>
      <c r="BV155" s="58">
        <f>Table1[[#This Row],[Summer 2018 Price Check]]*BU155</f>
        <v>5826</v>
      </c>
      <c r="BW155" s="21">
        <f>IF(Table1[[#This Row],[Sustainability Check 2 (2018-2019) Status]]="Continued", Table1[Check 2 Students Spring], 0)</f>
        <v>30</v>
      </c>
      <c r="BX155" s="58">
        <f>Table1[[#This Row],[Summer 2018 Price Check]]*Table1[[#This Row],[Spring 2019 Students]]</f>
        <v>5826</v>
      </c>
      <c r="BY155" s="31">
        <f t="shared" si="130"/>
        <v>90</v>
      </c>
      <c r="BZ155" s="58">
        <f t="shared" si="131"/>
        <v>17478</v>
      </c>
      <c r="CA155" s="58" t="s">
        <v>142</v>
      </c>
      <c r="CB155" s="21">
        <v>0</v>
      </c>
      <c r="CC155" s="21">
        <v>0</v>
      </c>
      <c r="CD155" s="21">
        <v>0</v>
      </c>
      <c r="CE155" s="21">
        <f t="shared" si="132"/>
        <v>0</v>
      </c>
      <c r="CF155" s="58">
        <v>0</v>
      </c>
      <c r="CG155" s="58">
        <f t="shared" si="133"/>
        <v>0</v>
      </c>
      <c r="CH155" s="17" t="s">
        <v>857</v>
      </c>
      <c r="CI155" s="21">
        <f>IF(Table1[[#This Row],[Check 3 Status]]="Continued", Table1[[#This Row],[Check 3 Students Summer]], 0)</f>
        <v>0</v>
      </c>
      <c r="CJ155" s="58">
        <f>Table1[[#This Row],[Check 3 Per Student Savings]]*CI155</f>
        <v>0</v>
      </c>
      <c r="CK155" s="21">
        <f>IF(Table1[[#This Row],[Check 3 Status]]="Continued", Table1[[#This Row],[Check 3 Students Fall]], 0)</f>
        <v>0</v>
      </c>
      <c r="CL155" s="58">
        <f>Table1[[#This Row],[Check 3 Per Student Savings]]*CK155</f>
        <v>0</v>
      </c>
      <c r="CM155" s="21">
        <f>IF(Table1[[#This Row],[Check 3 Status]]="Continued", Table1[[#This Row],[Check 3 Students Spring]], 0)</f>
        <v>0</v>
      </c>
      <c r="CN155" s="58">
        <f>Table1[[#This Row],[Check 3 Per Student Savings]]*CM155</f>
        <v>0</v>
      </c>
      <c r="CO155" s="21">
        <f t="shared" si="134"/>
        <v>0</v>
      </c>
      <c r="CP155" s="58">
        <f t="shared" si="135"/>
        <v>0</v>
      </c>
      <c r="CQ155" s="58" t="s">
        <v>142</v>
      </c>
      <c r="CR155" s="21">
        <v>0</v>
      </c>
      <c r="CS155" s="21">
        <v>0</v>
      </c>
      <c r="CT155" s="21">
        <v>0</v>
      </c>
      <c r="CU155" s="21">
        <f t="shared" si="136"/>
        <v>0</v>
      </c>
      <c r="CV155" s="58">
        <v>0</v>
      </c>
      <c r="CW155" s="58">
        <f t="shared" si="137"/>
        <v>0</v>
      </c>
      <c r="CX155" s="58"/>
      <c r="CY155" s="21">
        <f>IF(Table1[[#This Row],[Check 4 Status]]="Continued", Table1[[#This Row],[Check 4 Students Summer]], 0)</f>
        <v>0</v>
      </c>
      <c r="CZ155" s="58">
        <f>Table1[[#This Row],[Check 4 Per Student Savings]]*CY155</f>
        <v>0</v>
      </c>
      <c r="DA155" s="21">
        <f>IF(Table1[[#This Row],[Check 4 Status]]="Continued", Table1[[#This Row],[Check 4 Students Fall]], 0)</f>
        <v>0</v>
      </c>
      <c r="DB155" s="58">
        <f>Table1[[#This Row],[Check 4 Per Student Savings]]*DA155</f>
        <v>0</v>
      </c>
      <c r="DC155" s="21">
        <f>IF(Table1[[#This Row],[Check 4 Status]]="Continued", Table1[[#This Row],[Check 4 Students Spring]], 0)</f>
        <v>0</v>
      </c>
      <c r="DD155" s="58">
        <f>Table1[[#This Row],[Check 4 Per Student Savings]]*DC155</f>
        <v>0</v>
      </c>
      <c r="DE155" s="58">
        <f t="shared" si="138"/>
        <v>0</v>
      </c>
      <c r="DF155" s="58">
        <f t="shared" si="139"/>
        <v>0</v>
      </c>
      <c r="DG15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120</v>
      </c>
      <c r="DH15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23056.5</v>
      </c>
      <c r="DI155" s="58">
        <f>Table1[[#This Row],[Grand Total Savings]]/Table1[[#This Row],[Total Award]]</f>
        <v>2.1348611111111113</v>
      </c>
      <c r="DJ155" s="17"/>
      <c r="DK155" s="17"/>
      <c r="DL155" s="17"/>
      <c r="DM155" s="17"/>
      <c r="EC155" s="17"/>
      <c r="ED155" s="17"/>
      <c r="EE155" s="17"/>
      <c r="EF155" s="17"/>
    </row>
    <row r="156" spans="1:136" x14ac:dyDescent="0.25">
      <c r="A156" s="157" t="s">
        <v>858</v>
      </c>
      <c r="B156" s="17" t="s">
        <v>2011</v>
      </c>
      <c r="D156" s="97">
        <v>512798</v>
      </c>
      <c r="E156" s="165">
        <v>42954</v>
      </c>
      <c r="F156" s="165">
        <v>43109</v>
      </c>
      <c r="G156" s="159" t="s">
        <v>841</v>
      </c>
      <c r="H156" s="95" t="s">
        <v>8</v>
      </c>
      <c r="I156" s="226" t="s">
        <v>118</v>
      </c>
      <c r="J156" s="17" t="s">
        <v>172</v>
      </c>
      <c r="K156" s="107">
        <v>5400</v>
      </c>
      <c r="L156" s="107"/>
      <c r="M156" s="101" t="s">
        <v>546</v>
      </c>
      <c r="N156" s="101" t="s">
        <v>547</v>
      </c>
      <c r="O156" s="101" t="s">
        <v>859</v>
      </c>
      <c r="P156" s="101" t="s">
        <v>860</v>
      </c>
      <c r="Q156" s="101" t="s">
        <v>543</v>
      </c>
      <c r="R156" s="101" t="s">
        <v>129</v>
      </c>
      <c r="S156" s="101" t="s">
        <v>129</v>
      </c>
      <c r="T156" s="17" t="s">
        <v>129</v>
      </c>
      <c r="U156" s="101" t="s">
        <v>164</v>
      </c>
      <c r="V156" s="17" t="s">
        <v>150</v>
      </c>
      <c r="W156" s="17" t="s">
        <v>150</v>
      </c>
      <c r="X156" s="17" t="s">
        <v>150</v>
      </c>
      <c r="Y156" s="58">
        <v>23700</v>
      </c>
      <c r="Z156" s="17">
        <v>237</v>
      </c>
      <c r="AA156" s="58">
        <f t="shared" si="129"/>
        <v>100</v>
      </c>
      <c r="AB156" s="21">
        <f t="shared" si="149"/>
        <v>79</v>
      </c>
      <c r="AC156" s="21">
        <f t="shared" si="150"/>
        <v>79</v>
      </c>
      <c r="AD156" s="21">
        <f t="shared" si="151"/>
        <v>79</v>
      </c>
      <c r="AE156" s="17" t="s">
        <v>588</v>
      </c>
      <c r="AF156" s="17" t="s">
        <v>129</v>
      </c>
      <c r="AG156" s="17"/>
      <c r="AI156" s="17" t="s">
        <v>130</v>
      </c>
      <c r="AJ156" s="21">
        <v>0</v>
      </c>
      <c r="AK156" s="58">
        <v>0</v>
      </c>
      <c r="AL156" s="21">
        <v>0</v>
      </c>
      <c r="AM156" s="58">
        <f t="shared" si="140"/>
        <v>0</v>
      </c>
      <c r="AN156" s="21">
        <v>0</v>
      </c>
      <c r="AO156" s="58">
        <f t="shared" si="141"/>
        <v>0</v>
      </c>
      <c r="AP156" s="21">
        <v>0</v>
      </c>
      <c r="AQ156" s="58">
        <f t="shared" si="142"/>
        <v>0</v>
      </c>
      <c r="AR156" s="21">
        <v>0</v>
      </c>
      <c r="AS156" s="58">
        <f t="shared" si="143"/>
        <v>0</v>
      </c>
      <c r="AT156" s="21">
        <v>0</v>
      </c>
      <c r="AU156" s="58">
        <f t="shared" si="144"/>
        <v>0</v>
      </c>
      <c r="AV156" s="21">
        <v>0</v>
      </c>
      <c r="AW156" s="58">
        <v>0</v>
      </c>
      <c r="AX156" s="31">
        <v>0</v>
      </c>
      <c r="AY156" s="58">
        <v>0</v>
      </c>
      <c r="AZ156" s="31">
        <v>0</v>
      </c>
      <c r="BA156" s="58">
        <v>0</v>
      </c>
      <c r="BB156" s="31">
        <v>0</v>
      </c>
      <c r="BC156" s="58">
        <v>0</v>
      </c>
      <c r="BD156" s="31">
        <v>0</v>
      </c>
      <c r="BE156" s="58">
        <v>0</v>
      </c>
      <c r="BF156" s="31">
        <f>Table1[[#This Row],[Students Per Fall]]</f>
        <v>79</v>
      </c>
      <c r="BG156" s="58">
        <f>$AA156*BF156</f>
        <v>7900</v>
      </c>
      <c r="BH156" s="31">
        <f>IF(Table1[[#This Row],[Sustainability Check 1 (2017-2018) Status]]="Continued", Table1[[#This Row],[Students Per Spring]], 0)</f>
        <v>79</v>
      </c>
      <c r="BI156" s="58">
        <f t="shared" si="145"/>
        <v>7900</v>
      </c>
      <c r="BJ156" s="31">
        <f t="shared" si="146"/>
        <v>158</v>
      </c>
      <c r="BK156" s="58">
        <f t="shared" si="147"/>
        <v>15800</v>
      </c>
      <c r="BL156" s="58" t="s">
        <v>130</v>
      </c>
      <c r="BM156" s="31">
        <v>0</v>
      </c>
      <c r="BN156" s="31">
        <v>100</v>
      </c>
      <c r="BO156" s="31">
        <v>100</v>
      </c>
      <c r="BP156" s="31">
        <f t="shared" si="148"/>
        <v>200</v>
      </c>
      <c r="BQ156" s="58">
        <v>105</v>
      </c>
      <c r="BR156" s="58">
        <f>Table1[[#This Row],[Check 2 Students Total]]*Table1[[#This Row],[Summer 2018 Price Check]]</f>
        <v>21000</v>
      </c>
      <c r="BS156" s="31">
        <f>IF(Table1[[#This Row],[Sustainability Check 2 (2018-2019) Status]]="Continued", Table1[[#This Row],[Check 2 Students Summer]], 0)</f>
        <v>0</v>
      </c>
      <c r="BT156" s="58">
        <f>Table1[[#This Row],[Summer 2018 Price Check]]*BS156</f>
        <v>0</v>
      </c>
      <c r="BU156" s="31">
        <f>IF(Table1[[#This Row],[Sustainability Check 2 (2018-2019) Status]]="Continued", Table1[[#This Row],[Check 2 Students Fall]], 0)</f>
        <v>100</v>
      </c>
      <c r="BV156" s="58">
        <f>Table1[[#This Row],[Summer 2018 Price Check]]*BU156</f>
        <v>10500</v>
      </c>
      <c r="BW156" s="21">
        <f>IF(Table1[[#This Row],[Sustainability Check 2 (2018-2019) Status]]="Continued", Table1[Check 2 Students Spring], 0)</f>
        <v>100</v>
      </c>
      <c r="BX156" s="58">
        <f>Table1[[#This Row],[Summer 2018 Price Check]]*Table1[[#This Row],[Spring 2019 Students]]</f>
        <v>10500</v>
      </c>
      <c r="BY156" s="31">
        <f t="shared" si="130"/>
        <v>200</v>
      </c>
      <c r="BZ156" s="58">
        <f t="shared" si="131"/>
        <v>21000</v>
      </c>
      <c r="CA156" s="58" t="s">
        <v>130</v>
      </c>
      <c r="CB156" s="21">
        <v>0</v>
      </c>
      <c r="CC156" s="21">
        <v>0</v>
      </c>
      <c r="CD156" s="21">
        <v>100</v>
      </c>
      <c r="CE156" s="21">
        <f t="shared" si="132"/>
        <v>100</v>
      </c>
      <c r="CF156" s="58">
        <v>116</v>
      </c>
      <c r="CG156" s="58">
        <f t="shared" si="133"/>
        <v>11600</v>
      </c>
      <c r="CH156" s="17" t="s">
        <v>588</v>
      </c>
      <c r="CI156" s="21">
        <f>IF(Table1[[#This Row],[Check 3 Status]]="Continued", Table1[[#This Row],[Check 3 Students Summer]], 0)</f>
        <v>0</v>
      </c>
      <c r="CJ156" s="58">
        <f>Table1[[#This Row],[Check 3 Per Student Savings]]*CI156</f>
        <v>0</v>
      </c>
      <c r="CK156" s="21">
        <f>IF(Table1[[#This Row],[Check 3 Status]]="Continued", Table1[[#This Row],[Check 3 Students Fall]], 0)</f>
        <v>0</v>
      </c>
      <c r="CL156" s="58">
        <f>Table1[[#This Row],[Check 3 Per Student Savings]]*CK156</f>
        <v>0</v>
      </c>
      <c r="CM156" s="21">
        <f>IF(Table1[[#This Row],[Check 3 Status]]="Continued", Table1[[#This Row],[Check 3 Students Spring]], 0)</f>
        <v>100</v>
      </c>
      <c r="CN156" s="58">
        <f>Table1[[#This Row],[Check 3 Per Student Savings]]*CM156</f>
        <v>11600</v>
      </c>
      <c r="CO156" s="21">
        <f t="shared" si="134"/>
        <v>100</v>
      </c>
      <c r="CP156" s="58">
        <f t="shared" si="135"/>
        <v>11600</v>
      </c>
      <c r="CQ156" s="58" t="s">
        <v>130</v>
      </c>
      <c r="CR156" s="21">
        <v>0</v>
      </c>
      <c r="CS156" s="21">
        <v>0</v>
      </c>
      <c r="CT156" s="21">
        <v>100</v>
      </c>
      <c r="CU156" s="21">
        <f t="shared" si="136"/>
        <v>100</v>
      </c>
      <c r="CV156" s="58">
        <v>116</v>
      </c>
      <c r="CW156" s="58">
        <f t="shared" si="137"/>
        <v>11600</v>
      </c>
      <c r="CX156" s="58"/>
      <c r="CY156" s="21">
        <f>IF(Table1[[#This Row],[Check 4 Status]]="Continued", Table1[[#This Row],[Check 4 Students Summer]], 0)</f>
        <v>0</v>
      </c>
      <c r="CZ156" s="58">
        <f>Table1[[#This Row],[Check 4 Per Student Savings]]*CY156</f>
        <v>0</v>
      </c>
      <c r="DA156" s="21">
        <f>IF(Table1[[#This Row],[Check 4 Status]]="Continued", Table1[[#This Row],[Check 4 Students Fall]], 0)</f>
        <v>0</v>
      </c>
      <c r="DB156" s="58">
        <f>Table1[[#This Row],[Check 4 Per Student Savings]]*DA156</f>
        <v>0</v>
      </c>
      <c r="DC156" s="21">
        <f>IF(Table1[[#This Row],[Check 4 Status]]="Continued", Table1[[#This Row],[Check 4 Students Spring]], 0)</f>
        <v>100</v>
      </c>
      <c r="DD156" s="58">
        <f>Table1[[#This Row],[Check 4 Per Student Savings]]*DC156</f>
        <v>11600</v>
      </c>
      <c r="DE156" s="58">
        <f t="shared" si="138"/>
        <v>100</v>
      </c>
      <c r="DF156" s="58">
        <f t="shared" si="139"/>
        <v>11600</v>
      </c>
      <c r="DG15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558</v>
      </c>
      <c r="DH15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60000</v>
      </c>
      <c r="DI156" s="58">
        <f>Table1[[#This Row],[Grand Total Savings]]/Table1[[#This Row],[Total Award]]</f>
        <v>11.111111111111111</v>
      </c>
      <c r="DJ156" s="17"/>
      <c r="DK156" s="17"/>
      <c r="DL156" s="17"/>
      <c r="DM156" s="17"/>
      <c r="EC156" s="17"/>
      <c r="ED156" s="17"/>
      <c r="EE156" s="17"/>
      <c r="EF156" s="17"/>
    </row>
    <row r="157" spans="1:136" x14ac:dyDescent="0.25">
      <c r="A157" s="157" t="s">
        <v>861</v>
      </c>
      <c r="B157" s="17" t="s">
        <v>2011</v>
      </c>
      <c r="D157" s="97">
        <v>512797</v>
      </c>
      <c r="E157" s="165">
        <v>43125</v>
      </c>
      <c r="F157" s="165">
        <v>43125</v>
      </c>
      <c r="G157" s="159" t="s">
        <v>841</v>
      </c>
      <c r="H157" s="95" t="s">
        <v>8</v>
      </c>
      <c r="I157" s="226" t="s">
        <v>118</v>
      </c>
      <c r="J157" s="17" t="s">
        <v>388</v>
      </c>
      <c r="K157" s="107">
        <v>5400</v>
      </c>
      <c r="L157" s="107"/>
      <c r="M157" s="101" t="s">
        <v>546</v>
      </c>
      <c r="N157" s="101" t="s">
        <v>547</v>
      </c>
      <c r="O157" s="101" t="s">
        <v>859</v>
      </c>
      <c r="P157" s="101" t="s">
        <v>860</v>
      </c>
      <c r="Q157" s="101" t="s">
        <v>543</v>
      </c>
      <c r="R157" s="101" t="s">
        <v>129</v>
      </c>
      <c r="S157" s="101" t="s">
        <v>129</v>
      </c>
      <c r="T157" s="17" t="s">
        <v>129</v>
      </c>
      <c r="U157" s="101" t="s">
        <v>164</v>
      </c>
      <c r="V157" s="17" t="s">
        <v>548</v>
      </c>
      <c r="W157" s="17" t="s">
        <v>548</v>
      </c>
      <c r="X157" s="17" t="s">
        <v>548</v>
      </c>
      <c r="Y157" s="58">
        <v>23700</v>
      </c>
      <c r="Z157" s="17">
        <v>237</v>
      </c>
      <c r="AA157" s="58">
        <f t="shared" si="129"/>
        <v>100</v>
      </c>
      <c r="AB157" s="21">
        <f t="shared" si="149"/>
        <v>79</v>
      </c>
      <c r="AC157" s="21">
        <f t="shared" si="150"/>
        <v>79</v>
      </c>
      <c r="AD157" s="21">
        <f t="shared" si="151"/>
        <v>79</v>
      </c>
      <c r="AE157" s="17" t="s">
        <v>588</v>
      </c>
      <c r="AF157" s="17" t="s">
        <v>129</v>
      </c>
      <c r="AG157" s="17"/>
      <c r="AI157" s="17" t="s">
        <v>130</v>
      </c>
      <c r="AJ157" s="21">
        <v>0</v>
      </c>
      <c r="AK157" s="58">
        <v>0</v>
      </c>
      <c r="AL157" s="21">
        <v>0</v>
      </c>
      <c r="AM157" s="58">
        <f t="shared" si="140"/>
        <v>0</v>
      </c>
      <c r="AN157" s="21">
        <v>0</v>
      </c>
      <c r="AO157" s="58">
        <f t="shared" si="141"/>
        <v>0</v>
      </c>
      <c r="AP157" s="21">
        <v>0</v>
      </c>
      <c r="AQ157" s="58">
        <f t="shared" si="142"/>
        <v>0</v>
      </c>
      <c r="AR157" s="21">
        <v>0</v>
      </c>
      <c r="AS157" s="58">
        <f t="shared" si="143"/>
        <v>0</v>
      </c>
      <c r="AT157" s="21">
        <v>0</v>
      </c>
      <c r="AU157" s="58">
        <f t="shared" si="144"/>
        <v>0</v>
      </c>
      <c r="AV157" s="21">
        <v>0</v>
      </c>
      <c r="AW157" s="58">
        <v>0</v>
      </c>
      <c r="AX157" s="31">
        <v>0</v>
      </c>
      <c r="AY157" s="58">
        <v>0</v>
      </c>
      <c r="AZ157" s="31">
        <v>0</v>
      </c>
      <c r="BA157" s="58">
        <v>0</v>
      </c>
      <c r="BB157" s="31">
        <v>0</v>
      </c>
      <c r="BC157" s="58">
        <v>0</v>
      </c>
      <c r="BD157" s="31">
        <v>0</v>
      </c>
      <c r="BE157" s="58">
        <v>0</v>
      </c>
      <c r="BF157" s="31">
        <f>Table1[[#This Row],[Students Per Fall]]</f>
        <v>79</v>
      </c>
      <c r="BG157" s="58">
        <f>$AA157*BF157</f>
        <v>7900</v>
      </c>
      <c r="BH157" s="31">
        <f>IF(Table1[[#This Row],[Sustainability Check 1 (2017-2018) Status]]="Continued", Table1[[#This Row],[Students Per Spring]], 0)</f>
        <v>79</v>
      </c>
      <c r="BI157" s="58">
        <f t="shared" si="145"/>
        <v>7900</v>
      </c>
      <c r="BJ157" s="31">
        <f t="shared" si="146"/>
        <v>158</v>
      </c>
      <c r="BK157" s="58">
        <f t="shared" si="147"/>
        <v>15800</v>
      </c>
      <c r="BL157" s="58" t="s">
        <v>130</v>
      </c>
      <c r="BM157" s="31">
        <v>0</v>
      </c>
      <c r="BN157" s="31">
        <v>100</v>
      </c>
      <c r="BO157" s="31">
        <v>100</v>
      </c>
      <c r="BP157" s="31">
        <f t="shared" si="148"/>
        <v>200</v>
      </c>
      <c r="BQ157" s="58">
        <v>105</v>
      </c>
      <c r="BR157" s="58">
        <f>Table1[[#This Row],[Check 2 Students Total]]*Table1[[#This Row],[Summer 2018 Price Check]]</f>
        <v>21000</v>
      </c>
      <c r="BS157" s="31">
        <f>IF(Table1[[#This Row],[Sustainability Check 2 (2018-2019) Status]]="Continued", Table1[[#This Row],[Check 2 Students Summer]], 0)</f>
        <v>0</v>
      </c>
      <c r="BT157" s="58">
        <f>Table1[[#This Row],[Summer 2018 Price Check]]*BS157</f>
        <v>0</v>
      </c>
      <c r="BU157" s="31">
        <f>IF(Table1[[#This Row],[Sustainability Check 2 (2018-2019) Status]]="Continued", Table1[[#This Row],[Check 2 Students Fall]], 0)</f>
        <v>100</v>
      </c>
      <c r="BV157" s="58">
        <f>Table1[[#This Row],[Summer 2018 Price Check]]*BU157</f>
        <v>10500</v>
      </c>
      <c r="BW157" s="21">
        <f>IF(Table1[[#This Row],[Sustainability Check 2 (2018-2019) Status]]="Continued", Table1[Check 2 Students Spring], 0)</f>
        <v>100</v>
      </c>
      <c r="BX157" s="58">
        <f>Table1[[#This Row],[Summer 2018 Price Check]]*Table1[[#This Row],[Spring 2019 Students]]</f>
        <v>10500</v>
      </c>
      <c r="BY157" s="31">
        <f t="shared" si="130"/>
        <v>200</v>
      </c>
      <c r="BZ157" s="58">
        <f t="shared" si="131"/>
        <v>21000</v>
      </c>
      <c r="CA157" s="58" t="s">
        <v>130</v>
      </c>
      <c r="CB157" s="21">
        <v>0</v>
      </c>
      <c r="CC157" s="21">
        <v>0</v>
      </c>
      <c r="CD157" s="21">
        <v>100</v>
      </c>
      <c r="CE157" s="21">
        <f t="shared" si="132"/>
        <v>100</v>
      </c>
      <c r="CF157" s="58">
        <v>116</v>
      </c>
      <c r="CG157" s="58">
        <f t="shared" si="133"/>
        <v>11600</v>
      </c>
      <c r="CH157" s="17" t="s">
        <v>588</v>
      </c>
      <c r="CI157" s="21">
        <f>IF(Table1[[#This Row],[Check 3 Status]]="Continued", Table1[[#This Row],[Check 3 Students Summer]], 0)</f>
        <v>0</v>
      </c>
      <c r="CJ157" s="58">
        <f>Table1[[#This Row],[Check 3 Per Student Savings]]*CI157</f>
        <v>0</v>
      </c>
      <c r="CK157" s="21">
        <f>IF(Table1[[#This Row],[Check 3 Status]]="Continued", Table1[[#This Row],[Check 3 Students Fall]], 0)</f>
        <v>0</v>
      </c>
      <c r="CL157" s="58">
        <f>Table1[[#This Row],[Check 3 Per Student Savings]]*CK157</f>
        <v>0</v>
      </c>
      <c r="CM157" s="21">
        <f>IF(Table1[[#This Row],[Check 3 Status]]="Continued", Table1[[#This Row],[Check 3 Students Spring]], 0)</f>
        <v>100</v>
      </c>
      <c r="CN157" s="58">
        <f>Table1[[#This Row],[Check 3 Per Student Savings]]*CM157</f>
        <v>11600</v>
      </c>
      <c r="CO157" s="21">
        <f t="shared" si="134"/>
        <v>100</v>
      </c>
      <c r="CP157" s="58">
        <f t="shared" si="135"/>
        <v>11600</v>
      </c>
      <c r="CQ157" s="58" t="s">
        <v>130</v>
      </c>
      <c r="CR157" s="21">
        <v>0</v>
      </c>
      <c r="CS157" s="21">
        <v>0</v>
      </c>
      <c r="CT157" s="21">
        <v>100</v>
      </c>
      <c r="CU157" s="21">
        <f t="shared" si="136"/>
        <v>100</v>
      </c>
      <c r="CV157" s="58">
        <v>116</v>
      </c>
      <c r="CW157" s="58">
        <f t="shared" si="137"/>
        <v>11600</v>
      </c>
      <c r="CX157" s="58"/>
      <c r="CY157" s="21">
        <f>IF(Table1[[#This Row],[Check 4 Status]]="Continued", Table1[[#This Row],[Check 4 Students Summer]], 0)</f>
        <v>0</v>
      </c>
      <c r="CZ157" s="58">
        <f>Table1[[#This Row],[Check 4 Per Student Savings]]*CY157</f>
        <v>0</v>
      </c>
      <c r="DA157" s="21">
        <f>IF(Table1[[#This Row],[Check 4 Status]]="Continued", Table1[[#This Row],[Check 4 Students Fall]], 0)</f>
        <v>0</v>
      </c>
      <c r="DB157" s="58">
        <f>Table1[[#This Row],[Check 4 Per Student Savings]]*DA157</f>
        <v>0</v>
      </c>
      <c r="DC157" s="21">
        <f>IF(Table1[[#This Row],[Check 4 Status]]="Continued", Table1[[#This Row],[Check 4 Students Spring]], 0)</f>
        <v>100</v>
      </c>
      <c r="DD157" s="58">
        <f>Table1[[#This Row],[Check 4 Per Student Savings]]*DC157</f>
        <v>11600</v>
      </c>
      <c r="DE157" s="58">
        <f t="shared" si="138"/>
        <v>100</v>
      </c>
      <c r="DF157" s="58">
        <f t="shared" si="139"/>
        <v>11600</v>
      </c>
      <c r="DG15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558</v>
      </c>
      <c r="DH15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60000</v>
      </c>
      <c r="DI157" s="58">
        <f>Table1[[#This Row],[Grand Total Savings]]/Table1[[#This Row],[Total Award]]</f>
        <v>11.111111111111111</v>
      </c>
      <c r="DJ157" s="17"/>
      <c r="DK157" s="17"/>
      <c r="DL157" s="17"/>
      <c r="DM157" s="17"/>
      <c r="EC157" s="17"/>
      <c r="ED157" s="17"/>
      <c r="EE157" s="17"/>
      <c r="EF157" s="17"/>
    </row>
    <row r="158" spans="1:136" x14ac:dyDescent="0.25">
      <c r="A158" s="157">
        <v>315</v>
      </c>
      <c r="B158" s="17" t="s">
        <v>2011</v>
      </c>
      <c r="D158" s="97">
        <v>512605</v>
      </c>
      <c r="E158" s="158">
        <v>42921</v>
      </c>
      <c r="F158" s="165">
        <v>43250</v>
      </c>
      <c r="G158" s="159" t="s">
        <v>841</v>
      </c>
      <c r="H158" s="95" t="s">
        <v>8</v>
      </c>
      <c r="I158" s="226" t="s">
        <v>118</v>
      </c>
      <c r="J158" s="17" t="s">
        <v>132</v>
      </c>
      <c r="K158" s="107">
        <v>30000</v>
      </c>
      <c r="L158" s="107"/>
      <c r="M158" s="101" t="s">
        <v>862</v>
      </c>
      <c r="N158" s="101" t="s">
        <v>863</v>
      </c>
      <c r="O158" s="101" t="s">
        <v>864</v>
      </c>
      <c r="P158" s="101" t="s">
        <v>398</v>
      </c>
      <c r="Q158" s="101" t="s">
        <v>248</v>
      </c>
      <c r="R158" s="101" t="s">
        <v>399</v>
      </c>
      <c r="S158" s="128" t="s">
        <v>36</v>
      </c>
      <c r="T158" s="17" t="s">
        <v>129</v>
      </c>
      <c r="U158" s="128" t="s">
        <v>865</v>
      </c>
      <c r="V158" s="17" t="s">
        <v>150</v>
      </c>
      <c r="W158" s="17" t="s">
        <v>127</v>
      </c>
      <c r="X158" s="17" t="s">
        <v>127</v>
      </c>
      <c r="Y158" s="58">
        <v>82360.2</v>
      </c>
      <c r="Z158" s="17">
        <v>676</v>
      </c>
      <c r="AA158" s="58">
        <f t="shared" si="129"/>
        <v>121.83461538461538</v>
      </c>
      <c r="AB158" s="21">
        <f t="shared" si="149"/>
        <v>225.33333333333334</v>
      </c>
      <c r="AC158" s="21">
        <f t="shared" si="150"/>
        <v>225.33333333333334</v>
      </c>
      <c r="AD158" s="21">
        <f t="shared" si="151"/>
        <v>225.33333333333334</v>
      </c>
      <c r="AE158" s="17" t="s">
        <v>857</v>
      </c>
      <c r="AF158" s="17" t="s">
        <v>129</v>
      </c>
      <c r="AG158" s="17"/>
      <c r="AI158" s="17" t="s">
        <v>130</v>
      </c>
      <c r="AJ158" s="21">
        <v>0</v>
      </c>
      <c r="AK158" s="58">
        <v>0</v>
      </c>
      <c r="AL158" s="21">
        <v>0</v>
      </c>
      <c r="AM158" s="58">
        <f t="shared" si="140"/>
        <v>0</v>
      </c>
      <c r="AN158" s="21">
        <v>0</v>
      </c>
      <c r="AO158" s="58">
        <f t="shared" si="141"/>
        <v>0</v>
      </c>
      <c r="AP158" s="21">
        <v>0</v>
      </c>
      <c r="AQ158" s="58">
        <f t="shared" si="142"/>
        <v>0</v>
      </c>
      <c r="AR158" s="21">
        <v>0</v>
      </c>
      <c r="AS158" s="58">
        <f t="shared" si="143"/>
        <v>0</v>
      </c>
      <c r="AT158" s="21">
        <v>0</v>
      </c>
      <c r="AU158" s="58">
        <f t="shared" si="144"/>
        <v>0</v>
      </c>
      <c r="AV158" s="21">
        <v>0</v>
      </c>
      <c r="AW158" s="58">
        <v>0</v>
      </c>
      <c r="AX158" s="31">
        <v>0</v>
      </c>
      <c r="AY158" s="58">
        <v>0</v>
      </c>
      <c r="AZ158" s="31">
        <v>0</v>
      </c>
      <c r="BA158" s="58">
        <v>0</v>
      </c>
      <c r="BB158" s="31">
        <v>0</v>
      </c>
      <c r="BC158" s="58">
        <v>0</v>
      </c>
      <c r="BD158" s="31">
        <v>0</v>
      </c>
      <c r="BE158" s="58">
        <v>0</v>
      </c>
      <c r="BF158" s="31">
        <v>0</v>
      </c>
      <c r="BG158" s="58">
        <v>0</v>
      </c>
      <c r="BH158" s="31">
        <f>Table1[[#This Row],[Students Per Spring]]</f>
        <v>225.33333333333334</v>
      </c>
      <c r="BI158" s="58">
        <f t="shared" si="145"/>
        <v>27453.399999999998</v>
      </c>
      <c r="BJ158" s="31">
        <f t="shared" si="146"/>
        <v>225.33333333333334</v>
      </c>
      <c r="BK158" s="58">
        <f t="shared" si="147"/>
        <v>27453.399999999998</v>
      </c>
      <c r="BL158" s="58" t="s">
        <v>130</v>
      </c>
      <c r="BM158" s="31">
        <v>78</v>
      </c>
      <c r="BN158" s="31">
        <v>156</v>
      </c>
      <c r="BO158" s="31">
        <v>182</v>
      </c>
      <c r="BP158" s="31">
        <f t="shared" si="148"/>
        <v>416</v>
      </c>
      <c r="BQ158" s="58">
        <v>122.01</v>
      </c>
      <c r="BR158" s="58">
        <f>Table1[[#This Row],[Check 2 Students Total]]*Table1[[#This Row],[Summer 2018 Price Check]]</f>
        <v>50756.160000000003</v>
      </c>
      <c r="BS158" s="31">
        <f>IF(Table1[[#This Row],[Sustainability Check 2 (2018-2019) Status]]="Continued", Table1[[#This Row],[Check 2 Students Summer]], 0)</f>
        <v>78</v>
      </c>
      <c r="BT158" s="58">
        <f>Table1[[#This Row],[Summer 2018 Price Check]]*BS158</f>
        <v>9516.7800000000007</v>
      </c>
      <c r="BU158" s="31">
        <f>IF(Table1[[#This Row],[Sustainability Check 2 (2018-2019) Status]]="Continued", Table1[[#This Row],[Check 2 Students Fall]], 0)</f>
        <v>156</v>
      </c>
      <c r="BV158" s="58">
        <f>Table1[[#This Row],[Summer 2018 Price Check]]*BU158</f>
        <v>19033.560000000001</v>
      </c>
      <c r="BW158" s="21">
        <f>IF(Table1[[#This Row],[Sustainability Check 2 (2018-2019) Status]]="Continued", Table1[Check 2 Students Spring], 0)</f>
        <v>182</v>
      </c>
      <c r="BX158" s="58">
        <f>Table1[[#This Row],[Summer 2018 Price Check]]*Table1[[#This Row],[Spring 2019 Students]]</f>
        <v>22205.82</v>
      </c>
      <c r="BY158" s="31">
        <f t="shared" si="130"/>
        <v>416</v>
      </c>
      <c r="BZ158" s="58">
        <f t="shared" si="131"/>
        <v>50756.160000000003</v>
      </c>
      <c r="CA158" s="58" t="s">
        <v>130</v>
      </c>
      <c r="CB158" s="21">
        <v>78</v>
      </c>
      <c r="CC158" s="21">
        <v>156</v>
      </c>
      <c r="CD158" s="21">
        <v>182</v>
      </c>
      <c r="CE158" s="21">
        <f t="shared" si="132"/>
        <v>416</v>
      </c>
      <c r="CF158" s="58">
        <v>121.83</v>
      </c>
      <c r="CG158" s="58">
        <f t="shared" si="133"/>
        <v>50681.279999999999</v>
      </c>
      <c r="CH158" s="17" t="s">
        <v>857</v>
      </c>
      <c r="CI158" s="21">
        <f>IF(Table1[[#This Row],[Check 3 Status]]="Continued", Table1[[#This Row],[Check 3 Students Summer]], 0)</f>
        <v>78</v>
      </c>
      <c r="CJ158" s="58">
        <f>Table1[[#This Row],[Check 3 Per Student Savings]]*CI158</f>
        <v>9502.74</v>
      </c>
      <c r="CK158" s="21">
        <f>IF(Table1[[#This Row],[Check 3 Status]]="Continued", Table1[[#This Row],[Check 3 Students Fall]], 0)</f>
        <v>156</v>
      </c>
      <c r="CL158" s="58">
        <f>Table1[[#This Row],[Check 3 Per Student Savings]]*CK158</f>
        <v>19005.48</v>
      </c>
      <c r="CM158" s="21">
        <f>IF(Table1[[#This Row],[Check 3 Status]]="Continued", Table1[[#This Row],[Check 3 Students Spring]], 0)</f>
        <v>182</v>
      </c>
      <c r="CN158" s="58">
        <f>Table1[[#This Row],[Check 3 Per Student Savings]]*CM158</f>
        <v>22173.06</v>
      </c>
      <c r="CO158" s="21">
        <f t="shared" si="134"/>
        <v>416</v>
      </c>
      <c r="CP158" s="58">
        <f t="shared" si="135"/>
        <v>50681.279999999999</v>
      </c>
      <c r="CQ158" s="58" t="s">
        <v>130</v>
      </c>
      <c r="CR158" s="21">
        <v>78</v>
      </c>
      <c r="CS158" s="21">
        <v>156</v>
      </c>
      <c r="CT158" s="21">
        <v>182</v>
      </c>
      <c r="CU158" s="21">
        <f t="shared" si="136"/>
        <v>416</v>
      </c>
      <c r="CV158" s="58">
        <v>121.83</v>
      </c>
      <c r="CW158" s="58">
        <f t="shared" si="137"/>
        <v>50681.279999999999</v>
      </c>
      <c r="CX158" s="58"/>
      <c r="CY158" s="21">
        <f>IF(Table1[[#This Row],[Check 4 Status]]="Continued", Table1[[#This Row],[Check 4 Students Summer]], 0)</f>
        <v>78</v>
      </c>
      <c r="CZ158" s="58">
        <f>Table1[[#This Row],[Check 4 Per Student Savings]]*CY158</f>
        <v>9502.74</v>
      </c>
      <c r="DA158" s="21">
        <f>IF(Table1[[#This Row],[Check 4 Status]]="Continued", Table1[[#This Row],[Check 4 Students Fall]], 0)</f>
        <v>156</v>
      </c>
      <c r="DB158" s="58">
        <f>Table1[[#This Row],[Check 4 Per Student Savings]]*DA158</f>
        <v>19005.48</v>
      </c>
      <c r="DC158" s="21">
        <f>IF(Table1[[#This Row],[Check 4 Status]]="Continued", Table1[[#This Row],[Check 4 Students Spring]], 0)</f>
        <v>182</v>
      </c>
      <c r="DD158" s="58">
        <f>Table1[[#This Row],[Check 4 Per Student Savings]]*DC158</f>
        <v>22173.06</v>
      </c>
      <c r="DE158" s="58">
        <f t="shared" si="138"/>
        <v>416</v>
      </c>
      <c r="DF158" s="58">
        <f t="shared" si="139"/>
        <v>50681.279999999999</v>
      </c>
      <c r="DG15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1473.3333333333335</v>
      </c>
      <c r="DH15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179572.12</v>
      </c>
      <c r="DI158" s="58">
        <f>Table1[[#This Row],[Grand Total Savings]]/Table1[[#This Row],[Total Award]]</f>
        <v>5.9857373333333328</v>
      </c>
      <c r="DJ158" s="17"/>
      <c r="DK158" s="17"/>
      <c r="DL158" s="17"/>
      <c r="DM158" s="17"/>
      <c r="EC158" s="17"/>
      <c r="ED158" s="17"/>
      <c r="EE158" s="17"/>
      <c r="EF158" s="17"/>
    </row>
    <row r="159" spans="1:136" x14ac:dyDescent="0.25">
      <c r="A159" s="157">
        <v>316</v>
      </c>
      <c r="B159" s="17" t="s">
        <v>2011</v>
      </c>
      <c r="D159" s="97">
        <v>512606</v>
      </c>
      <c r="E159" s="158">
        <v>42912</v>
      </c>
      <c r="F159" s="165">
        <v>43299</v>
      </c>
      <c r="G159" s="159" t="s">
        <v>841</v>
      </c>
      <c r="H159" s="95" t="s">
        <v>8</v>
      </c>
      <c r="I159" s="226" t="s">
        <v>118</v>
      </c>
      <c r="J159" s="17" t="s">
        <v>499</v>
      </c>
      <c r="K159" s="107">
        <v>10800</v>
      </c>
      <c r="L159" s="107"/>
      <c r="M159" s="101" t="s">
        <v>866</v>
      </c>
      <c r="N159" s="101" t="s">
        <v>867</v>
      </c>
      <c r="O159" s="101" t="s">
        <v>868</v>
      </c>
      <c r="P159" s="101" t="s">
        <v>869</v>
      </c>
      <c r="Q159" s="101" t="s">
        <v>177</v>
      </c>
      <c r="R159" s="101" t="s">
        <v>129</v>
      </c>
      <c r="S159" s="128" t="s">
        <v>36</v>
      </c>
      <c r="T159" s="17" t="s">
        <v>129</v>
      </c>
      <c r="U159" s="128" t="s">
        <v>870</v>
      </c>
      <c r="V159" s="17" t="s">
        <v>150</v>
      </c>
      <c r="W159" s="17" t="s">
        <v>150</v>
      </c>
      <c r="X159" s="17" t="s">
        <v>127</v>
      </c>
      <c r="Y159" s="58">
        <v>71240.399999999994</v>
      </c>
      <c r="Z159" s="17">
        <v>252</v>
      </c>
      <c r="AA159" s="58">
        <f t="shared" si="129"/>
        <v>282.7</v>
      </c>
      <c r="AB159" s="21">
        <f t="shared" si="149"/>
        <v>84</v>
      </c>
      <c r="AC159" s="21">
        <f t="shared" si="150"/>
        <v>84</v>
      </c>
      <c r="AD159" s="21">
        <f t="shared" si="151"/>
        <v>84</v>
      </c>
      <c r="AE159" s="17" t="s">
        <v>857</v>
      </c>
      <c r="AF159" s="17" t="s">
        <v>129</v>
      </c>
      <c r="AG159" s="17"/>
      <c r="AI159" s="17" t="s">
        <v>130</v>
      </c>
      <c r="AJ159" s="21">
        <v>0</v>
      </c>
      <c r="AK159" s="58">
        <v>0</v>
      </c>
      <c r="AL159" s="21">
        <v>0</v>
      </c>
      <c r="AM159" s="58">
        <f t="shared" si="140"/>
        <v>0</v>
      </c>
      <c r="AN159" s="21">
        <v>0</v>
      </c>
      <c r="AO159" s="58">
        <f t="shared" si="141"/>
        <v>0</v>
      </c>
      <c r="AP159" s="21">
        <v>0</v>
      </c>
      <c r="AQ159" s="58">
        <f t="shared" si="142"/>
        <v>0</v>
      </c>
      <c r="AR159" s="21">
        <v>0</v>
      </c>
      <c r="AS159" s="58">
        <f t="shared" si="143"/>
        <v>0</v>
      </c>
      <c r="AT159" s="21">
        <v>0</v>
      </c>
      <c r="AU159" s="58">
        <f t="shared" si="144"/>
        <v>0</v>
      </c>
      <c r="AV159" s="21">
        <v>0</v>
      </c>
      <c r="AW159" s="58">
        <v>0</v>
      </c>
      <c r="AX159" s="31">
        <v>0</v>
      </c>
      <c r="AY159" s="58">
        <v>0</v>
      </c>
      <c r="AZ159" s="31">
        <v>0</v>
      </c>
      <c r="BA159" s="58">
        <v>0</v>
      </c>
      <c r="BB159" s="31">
        <v>0</v>
      </c>
      <c r="BC159" s="58">
        <v>0</v>
      </c>
      <c r="BD159" s="31">
        <v>0</v>
      </c>
      <c r="BE159" s="58">
        <v>0</v>
      </c>
      <c r="BF159" s="31">
        <v>0</v>
      </c>
      <c r="BG159" s="58">
        <v>0</v>
      </c>
      <c r="BH159" s="31">
        <f>Table1[[#This Row],[Students Per Spring]]</f>
        <v>84</v>
      </c>
      <c r="BI159" s="58">
        <f t="shared" si="145"/>
        <v>23746.799999999999</v>
      </c>
      <c r="BJ159" s="31">
        <f t="shared" si="146"/>
        <v>84</v>
      </c>
      <c r="BK159" s="58">
        <f t="shared" si="147"/>
        <v>23746.799999999999</v>
      </c>
      <c r="BL159" s="58" t="s">
        <v>142</v>
      </c>
      <c r="BM159" s="31">
        <v>0</v>
      </c>
      <c r="BN159" s="31">
        <v>0</v>
      </c>
      <c r="BO159" s="31">
        <v>0</v>
      </c>
      <c r="BP159" s="31">
        <f t="shared" si="148"/>
        <v>0</v>
      </c>
      <c r="BQ159" s="58">
        <v>284.88</v>
      </c>
      <c r="BR159" s="58">
        <f>Table1[[#This Row],[Check 2 Students Total]]*Table1[[#This Row],[Summer 2018 Price Check]]</f>
        <v>0</v>
      </c>
      <c r="BS159" s="31">
        <f>IF(Table1[[#This Row],[Sustainability Check 2 (2018-2019) Status]]="Continued", Table1[[#This Row],[Check 2 Students Summer]], 0)</f>
        <v>0</v>
      </c>
      <c r="BT159" s="58">
        <f>Table1[[#This Row],[Summer 2018 Price Check]]*BS159</f>
        <v>0</v>
      </c>
      <c r="BU159" s="31">
        <f>IF(Table1[[#This Row],[Sustainability Check 2 (2018-2019) Status]]="Continued", Table1[[#This Row],[Check 2 Students Fall]], 0)</f>
        <v>0</v>
      </c>
      <c r="BV159" s="58">
        <f>Table1[[#This Row],[Summer 2018 Price Check]]*BU159</f>
        <v>0</v>
      </c>
      <c r="BW159" s="21">
        <f>IF(Table1[[#This Row],[Sustainability Check 2 (2018-2019) Status]]="Continued", Table1[Check 2 Students Spring], 0)</f>
        <v>0</v>
      </c>
      <c r="BX159" s="58">
        <f>Table1[[#This Row],[Summer 2018 Price Check]]*Table1[[#This Row],[Spring 2019 Students]]</f>
        <v>0</v>
      </c>
      <c r="BY159" s="31">
        <f t="shared" si="130"/>
        <v>0</v>
      </c>
      <c r="BZ159" s="58">
        <f t="shared" si="131"/>
        <v>0</v>
      </c>
      <c r="CA159" s="58" t="s">
        <v>142</v>
      </c>
      <c r="CB159" s="21">
        <v>0</v>
      </c>
      <c r="CC159" s="21">
        <v>0</v>
      </c>
      <c r="CD159" s="21">
        <v>0</v>
      </c>
      <c r="CE159" s="21">
        <f t="shared" si="132"/>
        <v>0</v>
      </c>
      <c r="CF159" s="58"/>
      <c r="CG159" s="58">
        <f t="shared" si="133"/>
        <v>0</v>
      </c>
      <c r="CH159" s="17" t="s">
        <v>857</v>
      </c>
      <c r="CI159" s="21">
        <f>IF(Table1[[#This Row],[Check 3 Status]]="Continued", Table1[[#This Row],[Check 3 Students Summer]], 0)</f>
        <v>0</v>
      </c>
      <c r="CJ159" s="58">
        <f>Table1[[#This Row],[Check 3 Per Student Savings]]*CI159</f>
        <v>0</v>
      </c>
      <c r="CK159" s="21">
        <f>IF(Table1[[#This Row],[Check 3 Status]]="Continued", Table1[[#This Row],[Check 3 Students Fall]], 0)</f>
        <v>0</v>
      </c>
      <c r="CL159" s="58">
        <f>Table1[[#This Row],[Check 3 Per Student Savings]]*CK159</f>
        <v>0</v>
      </c>
      <c r="CM159" s="21">
        <f>IF(Table1[[#This Row],[Check 3 Status]]="Continued", Table1[[#This Row],[Check 3 Students Spring]], 0)</f>
        <v>0</v>
      </c>
      <c r="CN159" s="58">
        <f>Table1[[#This Row],[Check 3 Per Student Savings]]*CM159</f>
        <v>0</v>
      </c>
      <c r="CO159" s="21">
        <f t="shared" si="134"/>
        <v>0</v>
      </c>
      <c r="CP159" s="58">
        <f t="shared" si="135"/>
        <v>0</v>
      </c>
      <c r="CQ159" s="58" t="s">
        <v>142</v>
      </c>
      <c r="CR159" s="21">
        <v>0</v>
      </c>
      <c r="CS159" s="21">
        <v>0</v>
      </c>
      <c r="CT159" s="21">
        <v>0</v>
      </c>
      <c r="CU159" s="21">
        <f t="shared" si="136"/>
        <v>0</v>
      </c>
      <c r="CV159" s="58">
        <v>0</v>
      </c>
      <c r="CW159" s="58">
        <f t="shared" si="137"/>
        <v>0</v>
      </c>
      <c r="CX159" s="58"/>
      <c r="CY159" s="21">
        <f>IF(Table1[[#This Row],[Check 4 Status]]="Continued", Table1[[#This Row],[Check 4 Students Summer]], 0)</f>
        <v>0</v>
      </c>
      <c r="CZ159" s="58">
        <f>Table1[[#This Row],[Check 4 Per Student Savings]]*CY159</f>
        <v>0</v>
      </c>
      <c r="DA159" s="21">
        <f>IF(Table1[[#This Row],[Check 4 Status]]="Continued", Table1[[#This Row],[Check 4 Students Fall]], 0)</f>
        <v>0</v>
      </c>
      <c r="DB159" s="58">
        <f>Table1[[#This Row],[Check 4 Per Student Savings]]*DA159</f>
        <v>0</v>
      </c>
      <c r="DC159" s="21">
        <f>IF(Table1[[#This Row],[Check 4 Status]]="Continued", Table1[[#This Row],[Check 4 Students Spring]], 0)</f>
        <v>0</v>
      </c>
      <c r="DD159" s="58">
        <f>Table1[[#This Row],[Check 4 Per Student Savings]]*DC159</f>
        <v>0</v>
      </c>
      <c r="DE159" s="58">
        <f t="shared" si="138"/>
        <v>0</v>
      </c>
      <c r="DF159" s="58">
        <f t="shared" si="139"/>
        <v>0</v>
      </c>
      <c r="DG15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84</v>
      </c>
      <c r="DH15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23746.799999999999</v>
      </c>
      <c r="DI159" s="58">
        <f>Table1[[#This Row],[Grand Total Savings]]/Table1[[#This Row],[Total Award]]</f>
        <v>2.1987777777777775</v>
      </c>
      <c r="DJ159" s="17"/>
      <c r="DK159" s="17"/>
      <c r="DL159" s="17"/>
      <c r="DM159" s="17"/>
      <c r="EC159" s="17"/>
      <c r="ED159" s="17"/>
      <c r="EE159" s="17"/>
      <c r="EF159" s="17"/>
    </row>
    <row r="160" spans="1:136" x14ac:dyDescent="0.25">
      <c r="A160" s="157">
        <v>317</v>
      </c>
      <c r="B160" s="17" t="s">
        <v>2011</v>
      </c>
      <c r="D160" s="97">
        <v>512607</v>
      </c>
      <c r="E160" s="158">
        <v>42909</v>
      </c>
      <c r="F160" s="165">
        <v>43250</v>
      </c>
      <c r="G160" s="159" t="s">
        <v>841</v>
      </c>
      <c r="H160" s="95" t="s">
        <v>8</v>
      </c>
      <c r="I160" s="226" t="s">
        <v>118</v>
      </c>
      <c r="J160" s="17" t="s">
        <v>236</v>
      </c>
      <c r="K160" s="107">
        <v>12800</v>
      </c>
      <c r="L160" s="107"/>
      <c r="M160" s="101" t="s">
        <v>871</v>
      </c>
      <c r="N160" s="101" t="s">
        <v>872</v>
      </c>
      <c r="O160" s="101" t="s">
        <v>873</v>
      </c>
      <c r="P160" s="101" t="s">
        <v>874</v>
      </c>
      <c r="Q160" s="101" t="s">
        <v>156</v>
      </c>
      <c r="R160" s="101" t="s">
        <v>129</v>
      </c>
      <c r="S160" s="17" t="s">
        <v>129</v>
      </c>
      <c r="T160" s="17" t="s">
        <v>129</v>
      </c>
      <c r="U160" s="17" t="s">
        <v>157</v>
      </c>
      <c r="V160" s="17" t="s">
        <v>127</v>
      </c>
      <c r="W160" s="17" t="s">
        <v>127</v>
      </c>
      <c r="X160" s="17" t="s">
        <v>127</v>
      </c>
      <c r="Y160" s="58">
        <v>23100</v>
      </c>
      <c r="Z160" s="17">
        <v>210</v>
      </c>
      <c r="AA160" s="58">
        <f t="shared" si="129"/>
        <v>110</v>
      </c>
      <c r="AB160" s="21">
        <f t="shared" si="149"/>
        <v>70</v>
      </c>
      <c r="AC160" s="21">
        <f t="shared" si="150"/>
        <v>70</v>
      </c>
      <c r="AD160" s="21">
        <f t="shared" si="151"/>
        <v>70</v>
      </c>
      <c r="AE160" s="17" t="s">
        <v>588</v>
      </c>
      <c r="AF160" s="17" t="s">
        <v>129</v>
      </c>
      <c r="AG160" s="17"/>
      <c r="AI160" s="17" t="s">
        <v>130</v>
      </c>
      <c r="AJ160" s="21">
        <v>0</v>
      </c>
      <c r="AK160" s="58">
        <v>0</v>
      </c>
      <c r="AL160" s="21">
        <v>0</v>
      </c>
      <c r="AM160" s="58">
        <f t="shared" si="140"/>
        <v>0</v>
      </c>
      <c r="AN160" s="21">
        <v>0</v>
      </c>
      <c r="AO160" s="58">
        <f t="shared" si="141"/>
        <v>0</v>
      </c>
      <c r="AP160" s="21">
        <v>0</v>
      </c>
      <c r="AQ160" s="58">
        <f t="shared" si="142"/>
        <v>0</v>
      </c>
      <c r="AR160" s="21">
        <v>0</v>
      </c>
      <c r="AS160" s="58">
        <f t="shared" si="143"/>
        <v>0</v>
      </c>
      <c r="AT160" s="21">
        <v>0</v>
      </c>
      <c r="AU160" s="58">
        <f t="shared" si="144"/>
        <v>0</v>
      </c>
      <c r="AV160" s="21">
        <v>0</v>
      </c>
      <c r="AW160" s="58">
        <v>0</v>
      </c>
      <c r="AX160" s="31">
        <v>0</v>
      </c>
      <c r="AY160" s="58">
        <v>0</v>
      </c>
      <c r="AZ160" s="31">
        <v>0</v>
      </c>
      <c r="BA160" s="58">
        <v>0</v>
      </c>
      <c r="BB160" s="31">
        <v>0</v>
      </c>
      <c r="BC160" s="58">
        <v>0</v>
      </c>
      <c r="BD160" s="31">
        <v>0</v>
      </c>
      <c r="BE160" s="58">
        <v>0</v>
      </c>
      <c r="BF160" s="31">
        <f>Table1[[#This Row],[Students Per Fall]]</f>
        <v>70</v>
      </c>
      <c r="BG160" s="58">
        <f>$AA160*BF160</f>
        <v>7700</v>
      </c>
      <c r="BH160" s="31">
        <f>IF(Table1[[#This Row],[Sustainability Check 1 (2017-2018) Status]]="Continued", Table1[[#This Row],[Students Per Spring]], 0)</f>
        <v>70</v>
      </c>
      <c r="BI160" s="58">
        <f t="shared" si="145"/>
        <v>7700</v>
      </c>
      <c r="BJ160" s="31">
        <f t="shared" si="146"/>
        <v>140</v>
      </c>
      <c r="BK160" s="58">
        <f t="shared" si="147"/>
        <v>15400</v>
      </c>
      <c r="BL160" s="58" t="s">
        <v>130</v>
      </c>
      <c r="BM160" s="31">
        <v>0</v>
      </c>
      <c r="BN160" s="31">
        <v>200</v>
      </c>
      <c r="BO160" s="31">
        <v>0</v>
      </c>
      <c r="BP160" s="31">
        <f t="shared" si="148"/>
        <v>200</v>
      </c>
      <c r="BQ160" s="96">
        <v>138.65</v>
      </c>
      <c r="BR160" s="58">
        <f>Table1[[#This Row],[Check 2 Students Total]]*Table1[[#This Row],[Summer 2018 Price Check]]</f>
        <v>27730</v>
      </c>
      <c r="BS160" s="31">
        <f>IF(Table1[[#This Row],[Sustainability Check 2 (2018-2019) Status]]="Continued", Table1[[#This Row],[Check 2 Students Summer]], 0)</f>
        <v>0</v>
      </c>
      <c r="BT160" s="58">
        <f>Table1[[#This Row],[Summer 2018 Price Check]]*BS160</f>
        <v>0</v>
      </c>
      <c r="BU160" s="31">
        <f>IF(Table1[[#This Row],[Sustainability Check 2 (2018-2019) Status]]="Continued", Table1[[#This Row],[Check 2 Students Fall]], 0)</f>
        <v>200</v>
      </c>
      <c r="BV160" s="58">
        <f>Table1[[#This Row],[Summer 2018 Price Check]]*BU160</f>
        <v>27730</v>
      </c>
      <c r="BW160" s="21">
        <f>IF(Table1[[#This Row],[Sustainability Check 2 (2018-2019) Status]]="Continued", Table1[Check 2 Students Spring], 0)</f>
        <v>0</v>
      </c>
      <c r="BX160" s="58">
        <f>Table1[[#This Row],[Summer 2018 Price Check]]*Table1[[#This Row],[Spring 2019 Students]]</f>
        <v>0</v>
      </c>
      <c r="BY160" s="31">
        <f t="shared" si="130"/>
        <v>200</v>
      </c>
      <c r="BZ160" s="58">
        <f t="shared" si="131"/>
        <v>27730</v>
      </c>
      <c r="CA160" s="58" t="s">
        <v>130</v>
      </c>
      <c r="CB160" s="21">
        <v>0</v>
      </c>
      <c r="CC160" s="21">
        <v>200</v>
      </c>
      <c r="CD160" s="21">
        <v>0</v>
      </c>
      <c r="CE160" s="21">
        <f t="shared" si="132"/>
        <v>200</v>
      </c>
      <c r="CF160" s="58">
        <v>110</v>
      </c>
      <c r="CG160" s="58">
        <f t="shared" si="133"/>
        <v>22000</v>
      </c>
      <c r="CH160" s="17" t="s">
        <v>588</v>
      </c>
      <c r="CI160" s="21">
        <f>IF(Table1[[#This Row],[Check 3 Status]]="Continued", Table1[[#This Row],[Check 3 Students Summer]], 0)</f>
        <v>0</v>
      </c>
      <c r="CJ160" s="58">
        <f>Table1[[#This Row],[Check 3 Per Student Savings]]*CI160</f>
        <v>0</v>
      </c>
      <c r="CK160" s="21">
        <f>IF(Table1[[#This Row],[Check 3 Status]]="Continued", Table1[[#This Row],[Check 3 Students Fall]], 0)</f>
        <v>200</v>
      </c>
      <c r="CL160" s="58">
        <f>Table1[[#This Row],[Check 3 Per Student Savings]]*CK160</f>
        <v>22000</v>
      </c>
      <c r="CM160" s="21">
        <f>IF(Table1[[#This Row],[Check 3 Status]]="Continued", Table1[[#This Row],[Check 3 Students Spring]], 0)</f>
        <v>0</v>
      </c>
      <c r="CN160" s="58">
        <f>Table1[[#This Row],[Check 3 Per Student Savings]]*CM160</f>
        <v>0</v>
      </c>
      <c r="CO160" s="21">
        <f t="shared" si="134"/>
        <v>200</v>
      </c>
      <c r="CP160" s="58">
        <f t="shared" si="135"/>
        <v>22000</v>
      </c>
      <c r="CQ160" s="58" t="s">
        <v>130</v>
      </c>
      <c r="CR160" s="21">
        <v>0</v>
      </c>
      <c r="CS160" s="21">
        <v>200</v>
      </c>
      <c r="CT160" s="21">
        <v>0</v>
      </c>
      <c r="CU160" s="21">
        <f t="shared" si="136"/>
        <v>200</v>
      </c>
      <c r="CV160" s="58">
        <v>110</v>
      </c>
      <c r="CW160" s="58">
        <f t="shared" si="137"/>
        <v>22000</v>
      </c>
      <c r="CX160" s="58"/>
      <c r="CY160" s="21">
        <f>IF(Table1[[#This Row],[Check 4 Status]]="Continued", Table1[[#This Row],[Check 4 Students Summer]], 0)</f>
        <v>0</v>
      </c>
      <c r="CZ160" s="58">
        <f>Table1[[#This Row],[Check 4 Per Student Savings]]*CY160</f>
        <v>0</v>
      </c>
      <c r="DA160" s="21">
        <f>IF(Table1[[#This Row],[Check 4 Status]]="Continued", Table1[[#This Row],[Check 4 Students Fall]], 0)</f>
        <v>200</v>
      </c>
      <c r="DB160" s="58">
        <f>Table1[[#This Row],[Check 4 Per Student Savings]]*DA160</f>
        <v>22000</v>
      </c>
      <c r="DC160" s="21">
        <f>IF(Table1[[#This Row],[Check 4 Status]]="Continued", Table1[[#This Row],[Check 4 Students Spring]], 0)</f>
        <v>0</v>
      </c>
      <c r="DD160" s="58">
        <f>Table1[[#This Row],[Check 4 Per Student Savings]]*DC160</f>
        <v>0</v>
      </c>
      <c r="DE160" s="58">
        <f t="shared" si="138"/>
        <v>200</v>
      </c>
      <c r="DF160" s="58">
        <f t="shared" si="139"/>
        <v>22000</v>
      </c>
      <c r="DG16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740</v>
      </c>
      <c r="DH16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87130</v>
      </c>
      <c r="DI160" s="58">
        <f>Table1[[#This Row],[Grand Total Savings]]/Table1[[#This Row],[Total Award]]</f>
        <v>6.8070312499999996</v>
      </c>
      <c r="DJ160" s="17"/>
      <c r="DK160" s="17"/>
      <c r="DL160" s="17"/>
      <c r="DM160" s="17"/>
      <c r="EC160" s="17"/>
      <c r="ED160" s="17"/>
      <c r="EE160" s="17"/>
      <c r="EF160" s="17"/>
    </row>
    <row r="161" spans="1:136" x14ac:dyDescent="0.25">
      <c r="A161" s="159">
        <v>318</v>
      </c>
      <c r="B161" s="17" t="s">
        <v>2011</v>
      </c>
      <c r="D161" s="97">
        <v>512608</v>
      </c>
      <c r="E161" s="158">
        <v>42909</v>
      </c>
      <c r="F161" s="165">
        <v>43250</v>
      </c>
      <c r="G161" s="159" t="s">
        <v>841</v>
      </c>
      <c r="H161" s="95" t="s">
        <v>8</v>
      </c>
      <c r="I161" s="226" t="s">
        <v>118</v>
      </c>
      <c r="J161" s="17" t="s">
        <v>236</v>
      </c>
      <c r="K161" s="107">
        <v>30000</v>
      </c>
      <c r="L161" s="107"/>
      <c r="M161" s="101" t="s">
        <v>875</v>
      </c>
      <c r="N161" s="101" t="s">
        <v>876</v>
      </c>
      <c r="O161" s="101" t="s">
        <v>877</v>
      </c>
      <c r="P161" s="101" t="s">
        <v>878</v>
      </c>
      <c r="Q161" s="101" t="s">
        <v>248</v>
      </c>
      <c r="R161" s="101" t="s">
        <v>877</v>
      </c>
      <c r="S161" s="17" t="s">
        <v>36</v>
      </c>
      <c r="T161" s="17" t="s">
        <v>129</v>
      </c>
      <c r="U161" s="17" t="s">
        <v>879</v>
      </c>
      <c r="V161" s="17" t="s">
        <v>150</v>
      </c>
      <c r="W161" s="17" t="s">
        <v>150</v>
      </c>
      <c r="X161" s="17" t="s">
        <v>150</v>
      </c>
      <c r="Y161" s="58">
        <v>52125</v>
      </c>
      <c r="Z161" s="17">
        <v>750</v>
      </c>
      <c r="AA161" s="58">
        <f t="shared" si="129"/>
        <v>69.5</v>
      </c>
      <c r="AB161" s="21">
        <f t="shared" si="149"/>
        <v>250</v>
      </c>
      <c r="AC161" s="21">
        <f t="shared" si="150"/>
        <v>250</v>
      </c>
      <c r="AD161" s="21">
        <f t="shared" si="151"/>
        <v>250</v>
      </c>
      <c r="AE161" s="17" t="s">
        <v>857</v>
      </c>
      <c r="AF161" s="17" t="s">
        <v>129</v>
      </c>
      <c r="AG161" s="17"/>
      <c r="AI161" s="17" t="s">
        <v>130</v>
      </c>
      <c r="AJ161" s="21">
        <v>0</v>
      </c>
      <c r="AK161" s="58">
        <v>0</v>
      </c>
      <c r="AL161" s="21">
        <v>0</v>
      </c>
      <c r="AM161" s="58">
        <f t="shared" si="140"/>
        <v>0</v>
      </c>
      <c r="AN161" s="21">
        <v>0</v>
      </c>
      <c r="AO161" s="58">
        <f t="shared" si="141"/>
        <v>0</v>
      </c>
      <c r="AP161" s="21">
        <v>0</v>
      </c>
      <c r="AQ161" s="58">
        <f t="shared" si="142"/>
        <v>0</v>
      </c>
      <c r="AR161" s="21">
        <v>0</v>
      </c>
      <c r="AS161" s="58">
        <f t="shared" si="143"/>
        <v>0</v>
      </c>
      <c r="AT161" s="21">
        <v>0</v>
      </c>
      <c r="AU161" s="58">
        <f t="shared" si="144"/>
        <v>0</v>
      </c>
      <c r="AV161" s="21">
        <v>0</v>
      </c>
      <c r="AW161" s="58">
        <v>0</v>
      </c>
      <c r="AX161" s="31">
        <v>0</v>
      </c>
      <c r="AY161" s="58">
        <v>0</v>
      </c>
      <c r="AZ161" s="31">
        <v>0</v>
      </c>
      <c r="BA161" s="58">
        <v>0</v>
      </c>
      <c r="BB161" s="31">
        <v>0</v>
      </c>
      <c r="BC161" s="58">
        <v>0</v>
      </c>
      <c r="BD161" s="31">
        <v>0</v>
      </c>
      <c r="BE161" s="58">
        <v>0</v>
      </c>
      <c r="BF161" s="31">
        <v>0</v>
      </c>
      <c r="BG161" s="58">
        <v>0</v>
      </c>
      <c r="BH161" s="31">
        <f>Table1[[#This Row],[Students Per Spring]]</f>
        <v>250</v>
      </c>
      <c r="BI161" s="58">
        <f t="shared" si="145"/>
        <v>17375</v>
      </c>
      <c r="BJ161" s="31">
        <f t="shared" si="146"/>
        <v>250</v>
      </c>
      <c r="BK161" s="58">
        <f t="shared" si="147"/>
        <v>17375</v>
      </c>
      <c r="BL161" s="58" t="s">
        <v>130</v>
      </c>
      <c r="BM161" s="31">
        <v>25</v>
      </c>
      <c r="BN161" s="31">
        <v>50</v>
      </c>
      <c r="BO161" s="31">
        <v>50</v>
      </c>
      <c r="BP161" s="31">
        <f t="shared" si="148"/>
        <v>125</v>
      </c>
      <c r="BQ161" s="58">
        <v>69.5</v>
      </c>
      <c r="BR161" s="58">
        <f>Table1[[#This Row],[Check 2 Students Total]]*Table1[[#This Row],[Summer 2018 Price Check]]</f>
        <v>8687.5</v>
      </c>
      <c r="BS161" s="31">
        <f>IF(Table1[[#This Row],[Sustainability Check 2 (2018-2019) Status]]="Continued", Table1[[#This Row],[Check 2 Students Summer]], 0)</f>
        <v>25</v>
      </c>
      <c r="BT161" s="58">
        <f>Table1[[#This Row],[Summer 2018 Price Check]]*BS161</f>
        <v>1737.5</v>
      </c>
      <c r="BU161" s="31">
        <f>IF(Table1[[#This Row],[Sustainability Check 2 (2018-2019) Status]]="Continued", Table1[[#This Row],[Check 2 Students Fall]], 0)</f>
        <v>50</v>
      </c>
      <c r="BV161" s="58">
        <f>Table1[[#This Row],[Summer 2018 Price Check]]*BU161</f>
        <v>3475</v>
      </c>
      <c r="BW161" s="21">
        <f>IF(Table1[[#This Row],[Sustainability Check 2 (2018-2019) Status]]="Continued", Table1[Check 2 Students Spring], 0)</f>
        <v>50</v>
      </c>
      <c r="BX161" s="58">
        <f>Table1[[#This Row],[Summer 2018 Price Check]]*Table1[[#This Row],[Spring 2019 Students]]</f>
        <v>3475</v>
      </c>
      <c r="BY161" s="31">
        <f t="shared" si="130"/>
        <v>125</v>
      </c>
      <c r="BZ161" s="58">
        <f t="shared" si="131"/>
        <v>8687.5</v>
      </c>
      <c r="CA161" s="58" t="s">
        <v>130</v>
      </c>
      <c r="CB161" s="21">
        <v>42</v>
      </c>
      <c r="CC161" s="21">
        <v>132</v>
      </c>
      <c r="CD161" s="21">
        <v>93</v>
      </c>
      <c r="CE161" s="21">
        <f t="shared" si="132"/>
        <v>267</v>
      </c>
      <c r="CF161" s="58">
        <v>84</v>
      </c>
      <c r="CG161" s="58">
        <f t="shared" si="133"/>
        <v>22428</v>
      </c>
      <c r="CH161" s="17" t="s">
        <v>857</v>
      </c>
      <c r="CI161" s="21">
        <f>IF(Table1[[#This Row],[Check 3 Status]]="Continued", Table1[[#This Row],[Check 3 Students Summer]], 0)</f>
        <v>42</v>
      </c>
      <c r="CJ161" s="58">
        <f>Table1[[#This Row],[Check 3 Per Student Savings]]*CI161</f>
        <v>3528</v>
      </c>
      <c r="CK161" s="21">
        <f>IF(Table1[[#This Row],[Check 3 Status]]="Continued", Table1[[#This Row],[Check 3 Students Fall]], 0)</f>
        <v>132</v>
      </c>
      <c r="CL161" s="58">
        <f>Table1[[#This Row],[Check 3 Per Student Savings]]*CK161</f>
        <v>11088</v>
      </c>
      <c r="CM161" s="21">
        <f>IF(Table1[[#This Row],[Check 3 Status]]="Continued", Table1[[#This Row],[Check 3 Students Spring]], 0)</f>
        <v>93</v>
      </c>
      <c r="CN161" s="58">
        <f>Table1[[#This Row],[Check 3 Per Student Savings]]*CM161</f>
        <v>7812</v>
      </c>
      <c r="CO161" s="21">
        <f t="shared" si="134"/>
        <v>267</v>
      </c>
      <c r="CP161" s="58">
        <f t="shared" si="135"/>
        <v>22428</v>
      </c>
      <c r="CQ161" s="58" t="s">
        <v>130</v>
      </c>
      <c r="CR161" s="21">
        <v>50</v>
      </c>
      <c r="CS161" s="21">
        <v>75</v>
      </c>
      <c r="CT161" s="21">
        <v>92</v>
      </c>
      <c r="CU161" s="21">
        <f t="shared" si="136"/>
        <v>217</v>
      </c>
      <c r="CV161" s="58">
        <v>80</v>
      </c>
      <c r="CW161" s="58">
        <f t="shared" si="137"/>
        <v>17360</v>
      </c>
      <c r="CX161" s="58"/>
      <c r="CY161" s="21">
        <f>IF(Table1[[#This Row],[Check 4 Status]]="Continued", Table1[[#This Row],[Check 4 Students Summer]], 0)</f>
        <v>50</v>
      </c>
      <c r="CZ161" s="58">
        <f>Table1[[#This Row],[Check 4 Per Student Savings]]*CY161</f>
        <v>4000</v>
      </c>
      <c r="DA161" s="21">
        <f>IF(Table1[[#This Row],[Check 4 Status]]="Continued", Table1[[#This Row],[Check 4 Students Fall]], 0)</f>
        <v>75</v>
      </c>
      <c r="DB161" s="58">
        <f>Table1[[#This Row],[Check 4 Per Student Savings]]*DA161</f>
        <v>6000</v>
      </c>
      <c r="DC161" s="21">
        <f>IF(Table1[[#This Row],[Check 4 Status]]="Continued", Table1[[#This Row],[Check 4 Students Spring]], 0)</f>
        <v>92</v>
      </c>
      <c r="DD161" s="58">
        <f>Table1[[#This Row],[Check 4 Per Student Savings]]*DC161</f>
        <v>7360</v>
      </c>
      <c r="DE161" s="58">
        <f t="shared" si="138"/>
        <v>217</v>
      </c>
      <c r="DF161" s="58">
        <f t="shared" si="139"/>
        <v>17360</v>
      </c>
      <c r="DG16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859</v>
      </c>
      <c r="DH16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65850.5</v>
      </c>
      <c r="DI161" s="58">
        <f>Table1[[#This Row],[Grand Total Savings]]/Table1[[#This Row],[Total Award]]</f>
        <v>2.1950166666666666</v>
      </c>
      <c r="DJ161" s="17"/>
      <c r="DK161" s="17"/>
      <c r="DL161" s="17"/>
      <c r="DM161" s="17"/>
      <c r="EC161" s="17"/>
      <c r="ED161" s="17"/>
      <c r="EE161" s="17"/>
      <c r="EF161" s="17"/>
    </row>
    <row r="162" spans="1:136" x14ac:dyDescent="0.25">
      <c r="A162" s="159">
        <v>319</v>
      </c>
      <c r="B162" s="17" t="s">
        <v>2011</v>
      </c>
      <c r="D162" s="97">
        <v>512609</v>
      </c>
      <c r="E162" s="165">
        <v>42954</v>
      </c>
      <c r="F162" s="165">
        <v>43250</v>
      </c>
      <c r="G162" s="159" t="s">
        <v>841</v>
      </c>
      <c r="H162" s="95" t="s">
        <v>8</v>
      </c>
      <c r="I162" s="226" t="s">
        <v>118</v>
      </c>
      <c r="J162" s="17" t="s">
        <v>218</v>
      </c>
      <c r="K162" s="107">
        <v>15120</v>
      </c>
      <c r="L162" s="107"/>
      <c r="M162" s="101" t="s">
        <v>880</v>
      </c>
      <c r="N162" s="101" t="s">
        <v>881</v>
      </c>
      <c r="O162" s="101" t="s">
        <v>882</v>
      </c>
      <c r="P162" s="101" t="s">
        <v>883</v>
      </c>
      <c r="Q162" s="101" t="s">
        <v>234</v>
      </c>
      <c r="R162" s="101" t="s">
        <v>129</v>
      </c>
      <c r="S162" s="128" t="s">
        <v>36</v>
      </c>
      <c r="T162" s="17" t="s">
        <v>129</v>
      </c>
      <c r="U162" s="128" t="s">
        <v>884</v>
      </c>
      <c r="V162" s="17" t="s">
        <v>127</v>
      </c>
      <c r="W162" s="17" t="s">
        <v>127</v>
      </c>
      <c r="X162" s="17" t="s">
        <v>150</v>
      </c>
      <c r="Y162" s="58">
        <v>70775</v>
      </c>
      <c r="Z162" s="17">
        <v>1900</v>
      </c>
      <c r="AA162" s="58">
        <f t="shared" si="129"/>
        <v>37.25</v>
      </c>
      <c r="AB162" s="21">
        <f t="shared" si="149"/>
        <v>633.33333333333337</v>
      </c>
      <c r="AC162" s="21">
        <f t="shared" si="150"/>
        <v>633.33333333333337</v>
      </c>
      <c r="AD162" s="21">
        <f t="shared" si="151"/>
        <v>633.33333333333337</v>
      </c>
      <c r="AE162" s="17" t="s">
        <v>588</v>
      </c>
      <c r="AF162" s="17" t="s">
        <v>129</v>
      </c>
      <c r="AG162" s="17"/>
      <c r="AI162" s="17" t="s">
        <v>130</v>
      </c>
      <c r="AJ162" s="21">
        <v>0</v>
      </c>
      <c r="AK162" s="58">
        <v>0</v>
      </c>
      <c r="AL162" s="21">
        <v>0</v>
      </c>
      <c r="AM162" s="58">
        <f t="shared" si="140"/>
        <v>0</v>
      </c>
      <c r="AN162" s="21">
        <v>0</v>
      </c>
      <c r="AO162" s="58">
        <f t="shared" si="141"/>
        <v>0</v>
      </c>
      <c r="AP162" s="21">
        <v>0</v>
      </c>
      <c r="AQ162" s="58">
        <f t="shared" si="142"/>
        <v>0</v>
      </c>
      <c r="AR162" s="21">
        <v>0</v>
      </c>
      <c r="AS162" s="58">
        <f t="shared" si="143"/>
        <v>0</v>
      </c>
      <c r="AT162" s="21">
        <v>0</v>
      </c>
      <c r="AU162" s="58">
        <f t="shared" si="144"/>
        <v>0</v>
      </c>
      <c r="AV162" s="21">
        <v>0</v>
      </c>
      <c r="AW162" s="58">
        <v>0</v>
      </c>
      <c r="AX162" s="31">
        <v>0</v>
      </c>
      <c r="AY162" s="58">
        <v>0</v>
      </c>
      <c r="AZ162" s="31">
        <v>0</v>
      </c>
      <c r="BA162" s="58">
        <v>0</v>
      </c>
      <c r="BB162" s="31">
        <v>0</v>
      </c>
      <c r="BC162" s="58">
        <v>0</v>
      </c>
      <c r="BD162" s="31">
        <v>0</v>
      </c>
      <c r="BE162" s="58">
        <v>0</v>
      </c>
      <c r="BF162" s="31">
        <f>Table1[[#This Row],[Students Per Fall]]</f>
        <v>633.33333333333337</v>
      </c>
      <c r="BG162" s="58">
        <f>$AA162*BF162</f>
        <v>23591.666666666668</v>
      </c>
      <c r="BH162" s="31">
        <f>IF(Table1[[#This Row],[Sustainability Check 1 (2017-2018) Status]]="Continued", Table1[[#This Row],[Students Per Spring]], 0)</f>
        <v>633.33333333333337</v>
      </c>
      <c r="BI162" s="58">
        <f t="shared" si="145"/>
        <v>23591.666666666668</v>
      </c>
      <c r="BJ162" s="31">
        <f t="shared" si="146"/>
        <v>1266.6666666666667</v>
      </c>
      <c r="BK162" s="58">
        <f t="shared" si="147"/>
        <v>47183.333333333336</v>
      </c>
      <c r="BL162" s="58" t="s">
        <v>130</v>
      </c>
      <c r="BM162" s="31">
        <v>400</v>
      </c>
      <c r="BN162" s="31">
        <v>1800</v>
      </c>
      <c r="BO162" s="31">
        <v>50</v>
      </c>
      <c r="BP162" s="31">
        <f t="shared" si="148"/>
        <v>2250</v>
      </c>
      <c r="BQ162" s="58">
        <v>37.25</v>
      </c>
      <c r="BR162" s="58">
        <f>Table1[[#This Row],[Check 2 Students Total]]*Table1[[#This Row],[Summer 2018 Price Check]]</f>
        <v>83812.5</v>
      </c>
      <c r="BS162" s="31">
        <f>IF(Table1[[#This Row],[Sustainability Check 2 (2018-2019) Status]]="Continued", Table1[[#This Row],[Check 2 Students Summer]], 0)</f>
        <v>400</v>
      </c>
      <c r="BT162" s="58">
        <f>Table1[[#This Row],[Summer 2018 Price Check]]*BS162</f>
        <v>14900</v>
      </c>
      <c r="BU162" s="31">
        <f>IF(Table1[[#This Row],[Sustainability Check 2 (2018-2019) Status]]="Continued", Table1[[#This Row],[Check 2 Students Fall]], 0)</f>
        <v>1800</v>
      </c>
      <c r="BV162" s="58">
        <f>Table1[[#This Row],[Summer 2018 Price Check]]*BU162</f>
        <v>67050</v>
      </c>
      <c r="BW162" s="21">
        <f>IF(Table1[[#This Row],[Sustainability Check 2 (2018-2019) Status]]="Continued", Table1[Check 2 Students Spring], 0)</f>
        <v>50</v>
      </c>
      <c r="BX162" s="58">
        <f>Table1[[#This Row],[Summer 2018 Price Check]]*Table1[[#This Row],[Spring 2019 Students]]</f>
        <v>1862.5</v>
      </c>
      <c r="BY162" s="31">
        <f t="shared" si="130"/>
        <v>2250</v>
      </c>
      <c r="BZ162" s="58">
        <f t="shared" si="131"/>
        <v>83812.5</v>
      </c>
      <c r="CA162" s="58" t="s">
        <v>130</v>
      </c>
      <c r="CB162" s="21">
        <v>500</v>
      </c>
      <c r="CC162" s="21">
        <v>1700</v>
      </c>
      <c r="CD162" s="21">
        <v>100</v>
      </c>
      <c r="CE162" s="21">
        <f t="shared" ref="CE162:CE171" si="152">CB162+CC162+CD162</f>
        <v>2300</v>
      </c>
      <c r="CF162" s="58">
        <v>37.25</v>
      </c>
      <c r="CG162" s="58">
        <f t="shared" si="133"/>
        <v>85675</v>
      </c>
      <c r="CH162" s="17" t="s">
        <v>588</v>
      </c>
      <c r="CI162" s="21">
        <f>IF(Table1[[#This Row],[Check 3 Status]]="Continued", Table1[[#This Row],[Check 3 Students Summer]], 0)</f>
        <v>500</v>
      </c>
      <c r="CJ162" s="58">
        <f>Table1[[#This Row],[Check 3 Per Student Savings]]*CI162</f>
        <v>18625</v>
      </c>
      <c r="CK162" s="21">
        <f>IF(Table1[[#This Row],[Check 3 Status]]="Continued", Table1[[#This Row],[Check 3 Students Fall]], 0)</f>
        <v>1700</v>
      </c>
      <c r="CL162" s="58">
        <f>Table1[[#This Row],[Check 3 Per Student Savings]]*CK162</f>
        <v>63325</v>
      </c>
      <c r="CM162" s="21">
        <f>IF(Table1[[#This Row],[Check 3 Status]]="Continued", Table1[[#This Row],[Check 3 Students Spring]], 0)</f>
        <v>100</v>
      </c>
      <c r="CN162" s="58">
        <f>Table1[[#This Row],[Check 3 Per Student Savings]]*CM162</f>
        <v>3725</v>
      </c>
      <c r="CO162" s="21">
        <f t="shared" si="134"/>
        <v>2300</v>
      </c>
      <c r="CP162" s="58">
        <f t="shared" si="135"/>
        <v>85675</v>
      </c>
      <c r="CQ162" s="58" t="s">
        <v>1777</v>
      </c>
      <c r="CR162" s="21">
        <v>500</v>
      </c>
      <c r="CS162" s="21">
        <v>1700</v>
      </c>
      <c r="CT162" s="21">
        <v>100</v>
      </c>
      <c r="CU162" s="21">
        <v>0</v>
      </c>
      <c r="CV162" s="58">
        <v>0</v>
      </c>
      <c r="CW162" s="58">
        <f t="shared" si="137"/>
        <v>0</v>
      </c>
      <c r="CX162" s="58"/>
      <c r="CY162" s="21">
        <f>IF(Table1[[#This Row],[Check 4 Status]]="Continued", Table1[[#This Row],[Check 4 Students Summer]], 0)</f>
        <v>0</v>
      </c>
      <c r="CZ162" s="58">
        <f>Table1[[#This Row],[Check 4 Per Student Savings]]*CY162</f>
        <v>0</v>
      </c>
      <c r="DA162" s="21">
        <f>IF(Table1[[#This Row],[Check 4 Status]]="Continued", Table1[[#This Row],[Check 4 Students Fall]], 0)</f>
        <v>0</v>
      </c>
      <c r="DB162" s="58">
        <f>Table1[[#This Row],[Check 4 Per Student Savings]]*DA162</f>
        <v>0</v>
      </c>
      <c r="DC162" s="21">
        <f>IF(Table1[[#This Row],[Check 4 Status]]="Continued", Table1[[#This Row],[Check 4 Students Spring]], 0)</f>
        <v>0</v>
      </c>
      <c r="DD162" s="58">
        <f>Table1[[#This Row],[Check 4 Per Student Savings]]*DC162</f>
        <v>0</v>
      </c>
      <c r="DE162" s="58">
        <f t="shared" si="138"/>
        <v>0</v>
      </c>
      <c r="DF162" s="58">
        <f t="shared" si="139"/>
        <v>0</v>
      </c>
      <c r="DG16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5816.666666666667</v>
      </c>
      <c r="DH16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216670.83333333334</v>
      </c>
      <c r="DI162" s="58">
        <f>Table1[[#This Row],[Grand Total Savings]]/Table1[[#This Row],[Total Award]]</f>
        <v>14.330081569664904</v>
      </c>
      <c r="DJ162" s="17"/>
      <c r="DK162" s="17"/>
      <c r="DL162" s="17"/>
      <c r="DM162" s="17"/>
      <c r="EC162" s="17"/>
      <c r="ED162" s="17"/>
      <c r="EE162" s="17"/>
      <c r="EF162" s="17"/>
    </row>
    <row r="163" spans="1:136" x14ac:dyDescent="0.25">
      <c r="A163" s="159">
        <v>320</v>
      </c>
      <c r="B163" s="17" t="s">
        <v>2011</v>
      </c>
      <c r="D163" s="97">
        <v>512610</v>
      </c>
      <c r="E163" s="158">
        <v>42914</v>
      </c>
      <c r="F163" s="165">
        <v>43250</v>
      </c>
      <c r="G163" s="159" t="s">
        <v>841</v>
      </c>
      <c r="H163" s="95" t="s">
        <v>8</v>
      </c>
      <c r="I163" s="226" t="s">
        <v>118</v>
      </c>
      <c r="J163" s="17" t="s">
        <v>166</v>
      </c>
      <c r="K163" s="107">
        <v>15800</v>
      </c>
      <c r="L163" s="107"/>
      <c r="M163" s="101" t="s">
        <v>885</v>
      </c>
      <c r="N163" s="101" t="s">
        <v>886</v>
      </c>
      <c r="O163" s="101" t="s">
        <v>887</v>
      </c>
      <c r="P163" s="101" t="s">
        <v>888</v>
      </c>
      <c r="Q163" s="101" t="s">
        <v>192</v>
      </c>
      <c r="R163" s="101" t="s">
        <v>129</v>
      </c>
      <c r="S163" s="17" t="s">
        <v>129</v>
      </c>
      <c r="T163" s="17" t="s">
        <v>129</v>
      </c>
      <c r="U163" s="128" t="s">
        <v>725</v>
      </c>
      <c r="V163" s="17" t="s">
        <v>150</v>
      </c>
      <c r="W163" s="17" t="s">
        <v>127</v>
      </c>
      <c r="X163" s="17" t="s">
        <v>127</v>
      </c>
      <c r="Y163" s="58">
        <v>53200</v>
      </c>
      <c r="Z163" s="17">
        <v>200</v>
      </c>
      <c r="AA163" s="58">
        <f t="shared" si="129"/>
        <v>266</v>
      </c>
      <c r="AB163" s="21">
        <f t="shared" si="149"/>
        <v>66.666666666666671</v>
      </c>
      <c r="AC163" s="21">
        <f t="shared" si="150"/>
        <v>66.666666666666671</v>
      </c>
      <c r="AD163" s="21">
        <f t="shared" si="151"/>
        <v>66.666666666666671</v>
      </c>
      <c r="AE163" s="17" t="s">
        <v>857</v>
      </c>
      <c r="AF163" s="17" t="s">
        <v>129</v>
      </c>
      <c r="AG163" s="17"/>
      <c r="AI163" s="17" t="s">
        <v>130</v>
      </c>
      <c r="AJ163" s="21">
        <v>0</v>
      </c>
      <c r="AK163" s="58">
        <v>0</v>
      </c>
      <c r="AL163" s="21">
        <v>0</v>
      </c>
      <c r="AM163" s="58">
        <f t="shared" si="140"/>
        <v>0</v>
      </c>
      <c r="AN163" s="21">
        <v>0</v>
      </c>
      <c r="AO163" s="58">
        <f t="shared" si="141"/>
        <v>0</v>
      </c>
      <c r="AP163" s="21">
        <v>0</v>
      </c>
      <c r="AQ163" s="58">
        <f t="shared" si="142"/>
        <v>0</v>
      </c>
      <c r="AR163" s="21">
        <v>0</v>
      </c>
      <c r="AS163" s="58">
        <f t="shared" si="143"/>
        <v>0</v>
      </c>
      <c r="AT163" s="21">
        <v>0</v>
      </c>
      <c r="AU163" s="58">
        <f t="shared" si="144"/>
        <v>0</v>
      </c>
      <c r="AV163" s="21">
        <v>0</v>
      </c>
      <c r="AW163" s="58">
        <v>0</v>
      </c>
      <c r="AX163" s="31">
        <v>0</v>
      </c>
      <c r="AY163" s="58">
        <v>0</v>
      </c>
      <c r="AZ163" s="31">
        <v>0</v>
      </c>
      <c r="BA163" s="58">
        <v>0</v>
      </c>
      <c r="BB163" s="31">
        <v>0</v>
      </c>
      <c r="BC163" s="58">
        <v>0</v>
      </c>
      <c r="BD163" s="31">
        <v>0</v>
      </c>
      <c r="BE163" s="58">
        <v>0</v>
      </c>
      <c r="BF163" s="31">
        <v>0</v>
      </c>
      <c r="BG163" s="58">
        <v>0</v>
      </c>
      <c r="BH163" s="31">
        <f>Table1[[#This Row],[Students Per Spring]]</f>
        <v>66.666666666666671</v>
      </c>
      <c r="BI163" s="58">
        <f t="shared" si="145"/>
        <v>17733.333333333336</v>
      </c>
      <c r="BJ163" s="31">
        <f t="shared" si="146"/>
        <v>66.666666666666671</v>
      </c>
      <c r="BK163" s="58">
        <f t="shared" si="147"/>
        <v>17733.333333333336</v>
      </c>
      <c r="BL163" s="58" t="s">
        <v>130</v>
      </c>
      <c r="BM163" s="31">
        <v>24</v>
      </c>
      <c r="BN163" s="31">
        <v>120</v>
      </c>
      <c r="BO163" s="31">
        <v>120</v>
      </c>
      <c r="BP163" s="31">
        <f t="shared" si="148"/>
        <v>264</v>
      </c>
      <c r="BQ163" s="96">
        <v>199.5</v>
      </c>
      <c r="BR163" s="58">
        <f>Table1[[#This Row],[Check 2 Students Total]]*Table1[[#This Row],[Summer 2018 Price Check]]</f>
        <v>52668</v>
      </c>
      <c r="BS163" s="31">
        <f>IF(Table1[[#This Row],[Sustainability Check 2 (2018-2019) Status]]="Continued", Table1[[#This Row],[Check 2 Students Summer]], 0)</f>
        <v>24</v>
      </c>
      <c r="BT163" s="58">
        <f>Table1[[#This Row],[Summer 2018 Price Check]]*BS163</f>
        <v>4788</v>
      </c>
      <c r="BU163" s="31">
        <f>IF(Table1[[#This Row],[Sustainability Check 2 (2018-2019) Status]]="Continued", Table1[[#This Row],[Check 2 Students Fall]], 0)</f>
        <v>120</v>
      </c>
      <c r="BV163" s="58">
        <f>Table1[[#This Row],[Summer 2018 Price Check]]*BU163</f>
        <v>23940</v>
      </c>
      <c r="BW163" s="21">
        <f>IF(Table1[[#This Row],[Sustainability Check 2 (2018-2019) Status]]="Continued", Table1[Check 2 Students Spring], 0)</f>
        <v>120</v>
      </c>
      <c r="BX163" s="58">
        <f>Table1[[#This Row],[Summer 2018 Price Check]]*Table1[[#This Row],[Spring 2019 Students]]</f>
        <v>23940</v>
      </c>
      <c r="BY163" s="31">
        <f t="shared" si="130"/>
        <v>264</v>
      </c>
      <c r="BZ163" s="58">
        <f t="shared" si="131"/>
        <v>52668</v>
      </c>
      <c r="CA163" s="58" t="s">
        <v>130</v>
      </c>
      <c r="CB163" s="21">
        <v>17</v>
      </c>
      <c r="CC163" s="21">
        <v>115</v>
      </c>
      <c r="CD163" s="21">
        <v>120</v>
      </c>
      <c r="CE163" s="21">
        <f t="shared" si="152"/>
        <v>252</v>
      </c>
      <c r="CF163" s="58">
        <v>266</v>
      </c>
      <c r="CG163" s="58">
        <f t="shared" si="133"/>
        <v>67032</v>
      </c>
      <c r="CH163" s="17" t="s">
        <v>857</v>
      </c>
      <c r="CI163" s="21">
        <f>IF(Table1[[#This Row],[Check 3 Status]]="Continued", Table1[[#This Row],[Check 3 Students Summer]], 0)</f>
        <v>17</v>
      </c>
      <c r="CJ163" s="58">
        <f>Table1[[#This Row],[Check 3 Per Student Savings]]*CI163</f>
        <v>4522</v>
      </c>
      <c r="CK163" s="21">
        <f>IF(Table1[[#This Row],[Check 3 Status]]="Continued", Table1[[#This Row],[Check 3 Students Fall]], 0)</f>
        <v>115</v>
      </c>
      <c r="CL163" s="58">
        <f>Table1[[#This Row],[Check 3 Per Student Savings]]*CK163</f>
        <v>30590</v>
      </c>
      <c r="CM163" s="21">
        <f>IF(Table1[[#This Row],[Check 3 Status]]="Continued", Table1[[#This Row],[Check 3 Students Spring]], 0)</f>
        <v>120</v>
      </c>
      <c r="CN163" s="58">
        <f>Table1[[#This Row],[Check 3 Per Student Savings]]*CM163</f>
        <v>31920</v>
      </c>
      <c r="CO163" s="21">
        <f t="shared" si="134"/>
        <v>252</v>
      </c>
      <c r="CP163" s="58">
        <f t="shared" si="135"/>
        <v>67032</v>
      </c>
      <c r="CQ163" s="58" t="s">
        <v>130</v>
      </c>
      <c r="CR163" s="21">
        <v>17</v>
      </c>
      <c r="CS163" s="21">
        <v>115</v>
      </c>
      <c r="CT163" s="21">
        <v>120</v>
      </c>
      <c r="CU163" s="21">
        <f t="shared" si="136"/>
        <v>252</v>
      </c>
      <c r="CV163" s="58">
        <v>266</v>
      </c>
      <c r="CW163" s="58">
        <f t="shared" si="137"/>
        <v>67032</v>
      </c>
      <c r="CX163" s="58"/>
      <c r="CY163" s="21">
        <f>IF(Table1[[#This Row],[Check 4 Status]]="Continued", Table1[[#This Row],[Check 4 Students Summer]], 0)</f>
        <v>17</v>
      </c>
      <c r="CZ163" s="58">
        <f>Table1[[#This Row],[Check 4 Per Student Savings]]*CY163</f>
        <v>4522</v>
      </c>
      <c r="DA163" s="21">
        <f>IF(Table1[[#This Row],[Check 4 Status]]="Continued", Table1[[#This Row],[Check 4 Students Fall]], 0)</f>
        <v>115</v>
      </c>
      <c r="DB163" s="58">
        <f>Table1[[#This Row],[Check 4 Per Student Savings]]*DA163</f>
        <v>30590</v>
      </c>
      <c r="DC163" s="21">
        <f>IF(Table1[[#This Row],[Check 4 Status]]="Continued", Table1[[#This Row],[Check 4 Students Spring]], 0)</f>
        <v>120</v>
      </c>
      <c r="DD163" s="58">
        <f>Table1[[#This Row],[Check 4 Per Student Savings]]*DC163</f>
        <v>31920</v>
      </c>
      <c r="DE163" s="58">
        <f t="shared" si="138"/>
        <v>252</v>
      </c>
      <c r="DF163" s="58">
        <f t="shared" si="139"/>
        <v>67032</v>
      </c>
      <c r="DG16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834.66666666666674</v>
      </c>
      <c r="DH16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204465.33333333334</v>
      </c>
      <c r="DI163" s="58">
        <f>Table1[[#This Row],[Grand Total Savings]]/Table1[[#This Row],[Total Award]]</f>
        <v>12.940843881856541</v>
      </c>
      <c r="DJ163" s="17"/>
      <c r="DK163" s="17"/>
      <c r="DL163" s="17"/>
      <c r="DM163" s="17"/>
      <c r="EC163" s="17"/>
      <c r="ED163" s="17"/>
      <c r="EE163" s="17"/>
      <c r="EF163" s="17"/>
    </row>
    <row r="164" spans="1:136" x14ac:dyDescent="0.25">
      <c r="A164" s="157">
        <v>323</v>
      </c>
      <c r="B164" s="17" t="s">
        <v>2011</v>
      </c>
      <c r="D164" s="97">
        <v>512611</v>
      </c>
      <c r="E164" s="158">
        <v>42912</v>
      </c>
      <c r="F164" s="165">
        <v>43250</v>
      </c>
      <c r="G164" s="159" t="s">
        <v>841</v>
      </c>
      <c r="H164" s="95" t="s">
        <v>8</v>
      </c>
      <c r="I164" s="226" t="s">
        <v>118</v>
      </c>
      <c r="J164" s="17" t="s">
        <v>276</v>
      </c>
      <c r="K164" s="107">
        <v>29000</v>
      </c>
      <c r="L164" s="107"/>
      <c r="M164" s="101" t="s">
        <v>889</v>
      </c>
      <c r="N164" s="101" t="s">
        <v>890</v>
      </c>
      <c r="O164" s="101" t="s">
        <v>572</v>
      </c>
      <c r="P164" s="101" t="s">
        <v>571</v>
      </c>
      <c r="Q164" s="101" t="s">
        <v>206</v>
      </c>
      <c r="R164" s="101" t="s">
        <v>572</v>
      </c>
      <c r="S164" s="128" t="s">
        <v>36</v>
      </c>
      <c r="T164" s="17" t="s">
        <v>129</v>
      </c>
      <c r="U164" s="128" t="s">
        <v>891</v>
      </c>
      <c r="V164" s="17" t="s">
        <v>150</v>
      </c>
      <c r="W164" s="17" t="s">
        <v>127</v>
      </c>
      <c r="X164" s="17" t="s">
        <v>139</v>
      </c>
      <c r="Y164" s="58">
        <v>211837.5</v>
      </c>
      <c r="Z164" s="17">
        <v>1050</v>
      </c>
      <c r="AA164" s="58">
        <f t="shared" si="129"/>
        <v>201.75</v>
      </c>
      <c r="AB164" s="21">
        <f t="shared" si="149"/>
        <v>350</v>
      </c>
      <c r="AC164" s="21">
        <f t="shared" si="150"/>
        <v>350</v>
      </c>
      <c r="AD164" s="21">
        <f t="shared" si="151"/>
        <v>350</v>
      </c>
      <c r="AE164" s="17" t="s">
        <v>857</v>
      </c>
      <c r="AF164" s="17" t="s">
        <v>129</v>
      </c>
      <c r="AG164" s="17"/>
      <c r="AI164" s="17" t="s">
        <v>130</v>
      </c>
      <c r="AJ164" s="21">
        <v>0</v>
      </c>
      <c r="AK164" s="58">
        <v>0</v>
      </c>
      <c r="AL164" s="21">
        <v>0</v>
      </c>
      <c r="AM164" s="58">
        <f t="shared" si="140"/>
        <v>0</v>
      </c>
      <c r="AN164" s="21">
        <v>0</v>
      </c>
      <c r="AO164" s="58">
        <f t="shared" si="141"/>
        <v>0</v>
      </c>
      <c r="AP164" s="21">
        <v>0</v>
      </c>
      <c r="AQ164" s="58">
        <f t="shared" si="142"/>
        <v>0</v>
      </c>
      <c r="AR164" s="21">
        <v>0</v>
      </c>
      <c r="AS164" s="58">
        <f t="shared" si="143"/>
        <v>0</v>
      </c>
      <c r="AT164" s="21">
        <v>0</v>
      </c>
      <c r="AU164" s="58">
        <f t="shared" si="144"/>
        <v>0</v>
      </c>
      <c r="AV164" s="21">
        <v>0</v>
      </c>
      <c r="AW164" s="58">
        <v>0</v>
      </c>
      <c r="AX164" s="31">
        <v>0</v>
      </c>
      <c r="AY164" s="58">
        <v>0</v>
      </c>
      <c r="AZ164" s="31">
        <v>0</v>
      </c>
      <c r="BA164" s="58">
        <v>0</v>
      </c>
      <c r="BB164" s="31">
        <v>0</v>
      </c>
      <c r="BC164" s="58">
        <v>0</v>
      </c>
      <c r="BD164" s="31">
        <v>0</v>
      </c>
      <c r="BE164" s="58">
        <v>0</v>
      </c>
      <c r="BF164" s="31">
        <v>0</v>
      </c>
      <c r="BG164" s="58">
        <v>0</v>
      </c>
      <c r="BH164" s="31">
        <f>Table1[[#This Row],[Students Per Spring]]</f>
        <v>350</v>
      </c>
      <c r="BI164" s="58">
        <f t="shared" si="145"/>
        <v>70612.5</v>
      </c>
      <c r="BJ164" s="31">
        <f t="shared" si="146"/>
        <v>350</v>
      </c>
      <c r="BK164" s="58">
        <f t="shared" si="147"/>
        <v>70612.5</v>
      </c>
      <c r="BL164" s="58" t="s">
        <v>130</v>
      </c>
      <c r="BM164" s="31">
        <v>160</v>
      </c>
      <c r="BN164" s="31">
        <v>300</v>
      </c>
      <c r="BO164" s="31">
        <v>300</v>
      </c>
      <c r="BP164" s="31">
        <f t="shared" si="148"/>
        <v>760</v>
      </c>
      <c r="BQ164" s="96">
        <v>176.74</v>
      </c>
      <c r="BR164" s="58">
        <f>Table1[[#This Row],[Check 2 Students Total]]*Table1[[#This Row],[Summer 2018 Price Check]]</f>
        <v>134322.4</v>
      </c>
      <c r="BS164" s="31">
        <f>IF(Table1[[#This Row],[Sustainability Check 2 (2018-2019) Status]]="Continued", Table1[[#This Row],[Check 2 Students Summer]], 0)</f>
        <v>160</v>
      </c>
      <c r="BT164" s="58">
        <f>Table1[[#This Row],[Summer 2018 Price Check]]*BS164</f>
        <v>28278.400000000001</v>
      </c>
      <c r="BU164" s="31">
        <f>IF(Table1[[#This Row],[Sustainability Check 2 (2018-2019) Status]]="Continued", Table1[[#This Row],[Check 2 Students Fall]], 0)</f>
        <v>300</v>
      </c>
      <c r="BV164" s="58">
        <f>Table1[[#This Row],[Summer 2018 Price Check]]*BU164</f>
        <v>53022</v>
      </c>
      <c r="BW164" s="21">
        <f>IF(Table1[[#This Row],[Sustainability Check 2 (2018-2019) Status]]="Continued", Table1[Check 2 Students Spring], 0)</f>
        <v>300</v>
      </c>
      <c r="BX164" s="58">
        <f>Table1[[#This Row],[Summer 2018 Price Check]]*Table1[[#This Row],[Spring 2019 Students]]</f>
        <v>53022</v>
      </c>
      <c r="BY164" s="31">
        <f t="shared" si="130"/>
        <v>760</v>
      </c>
      <c r="BZ164" s="58">
        <f t="shared" si="131"/>
        <v>134322.4</v>
      </c>
      <c r="CA164" s="58" t="s">
        <v>130</v>
      </c>
      <c r="CB164" s="21">
        <v>34</v>
      </c>
      <c r="CC164" s="21">
        <v>312</v>
      </c>
      <c r="CD164" s="21">
        <v>319</v>
      </c>
      <c r="CE164" s="21">
        <f t="shared" si="152"/>
        <v>665</v>
      </c>
      <c r="CF164" s="58">
        <v>201.75</v>
      </c>
      <c r="CG164" s="58">
        <f t="shared" si="133"/>
        <v>134163.75</v>
      </c>
      <c r="CH164" s="17" t="s">
        <v>857</v>
      </c>
      <c r="CI164" s="21">
        <f>IF(Table1[[#This Row],[Check 3 Status]]="Continued", Table1[[#This Row],[Check 3 Students Summer]], 0)</f>
        <v>34</v>
      </c>
      <c r="CJ164" s="58">
        <f>Table1[[#This Row],[Check 3 Per Student Savings]]*CI164</f>
        <v>6859.5</v>
      </c>
      <c r="CK164" s="21">
        <f>IF(Table1[[#This Row],[Check 3 Status]]="Continued", Table1[[#This Row],[Check 3 Students Fall]], 0)</f>
        <v>312</v>
      </c>
      <c r="CL164" s="58">
        <f>Table1[[#This Row],[Check 3 Per Student Savings]]*CK164</f>
        <v>62946</v>
      </c>
      <c r="CM164" s="21">
        <f>IF(Table1[[#This Row],[Check 3 Status]]="Continued", Table1[[#This Row],[Check 3 Students Spring]], 0)</f>
        <v>319</v>
      </c>
      <c r="CN164" s="58">
        <f>Table1[[#This Row],[Check 3 Per Student Savings]]*CM164</f>
        <v>64358.25</v>
      </c>
      <c r="CO164" s="21">
        <f t="shared" si="134"/>
        <v>665</v>
      </c>
      <c r="CP164" s="58">
        <f t="shared" si="135"/>
        <v>134163.75</v>
      </c>
      <c r="CQ164" s="58" t="s">
        <v>130</v>
      </c>
      <c r="CR164" s="21">
        <v>34</v>
      </c>
      <c r="CS164" s="21">
        <v>312</v>
      </c>
      <c r="CT164" s="21">
        <v>319</v>
      </c>
      <c r="CU164" s="21">
        <f t="shared" si="136"/>
        <v>665</v>
      </c>
      <c r="CV164" s="58">
        <v>201.75</v>
      </c>
      <c r="CW164" s="58">
        <f t="shared" si="137"/>
        <v>134163.75</v>
      </c>
      <c r="CX164" s="58"/>
      <c r="CY164" s="21">
        <f>IF(Table1[[#This Row],[Check 4 Status]]="Continued", Table1[[#This Row],[Check 4 Students Summer]], 0)</f>
        <v>34</v>
      </c>
      <c r="CZ164" s="58">
        <f>Table1[[#This Row],[Check 4 Per Student Savings]]*CY164</f>
        <v>6859.5</v>
      </c>
      <c r="DA164" s="21">
        <f>IF(Table1[[#This Row],[Check 4 Status]]="Continued", Table1[[#This Row],[Check 4 Students Fall]], 0)</f>
        <v>312</v>
      </c>
      <c r="DB164" s="58">
        <f>Table1[[#This Row],[Check 4 Per Student Savings]]*DA164</f>
        <v>62946</v>
      </c>
      <c r="DC164" s="21">
        <f>IF(Table1[[#This Row],[Check 4 Status]]="Continued", Table1[[#This Row],[Check 4 Students Spring]], 0)</f>
        <v>319</v>
      </c>
      <c r="DD164" s="58">
        <f>Table1[[#This Row],[Check 4 Per Student Savings]]*DC164</f>
        <v>64358.25</v>
      </c>
      <c r="DE164" s="58">
        <f t="shared" si="138"/>
        <v>665</v>
      </c>
      <c r="DF164" s="58">
        <f t="shared" si="139"/>
        <v>134163.75</v>
      </c>
      <c r="DG16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2440</v>
      </c>
      <c r="DH16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473262.4</v>
      </c>
      <c r="DI164" s="58">
        <f>Table1[[#This Row],[Grand Total Savings]]/Table1[[#This Row],[Total Award]]</f>
        <v>16.319393103448277</v>
      </c>
      <c r="DJ164" s="17"/>
      <c r="DK164" s="17"/>
      <c r="DL164" s="17"/>
      <c r="DM164" s="17"/>
      <c r="EC164" s="17"/>
      <c r="ED164" s="17"/>
      <c r="EE164" s="17"/>
      <c r="EF164" s="17"/>
    </row>
    <row r="165" spans="1:136" x14ac:dyDescent="0.25">
      <c r="A165" s="157">
        <v>324</v>
      </c>
      <c r="B165" s="17" t="s">
        <v>2011</v>
      </c>
      <c r="D165" s="97">
        <v>512670</v>
      </c>
      <c r="E165" s="165">
        <v>42944</v>
      </c>
      <c r="F165" s="165">
        <v>43265</v>
      </c>
      <c r="G165" s="159" t="s">
        <v>841</v>
      </c>
      <c r="H165" s="95" t="s">
        <v>8</v>
      </c>
      <c r="I165" s="226" t="s">
        <v>118</v>
      </c>
      <c r="J165" s="17" t="s">
        <v>276</v>
      </c>
      <c r="K165" s="107">
        <v>30000</v>
      </c>
      <c r="L165" s="107"/>
      <c r="M165" s="101" t="s">
        <v>763</v>
      </c>
      <c r="N165" s="101" t="s">
        <v>764</v>
      </c>
      <c r="O165" s="101" t="s">
        <v>892</v>
      </c>
      <c r="P165" s="101" t="s">
        <v>893</v>
      </c>
      <c r="Q165" s="101" t="s">
        <v>192</v>
      </c>
      <c r="R165" s="101" t="s">
        <v>129</v>
      </c>
      <c r="S165" s="128" t="s">
        <v>36</v>
      </c>
      <c r="T165" s="17" t="s">
        <v>129</v>
      </c>
      <c r="U165" s="128" t="s">
        <v>894</v>
      </c>
      <c r="V165" s="17" t="s">
        <v>150</v>
      </c>
      <c r="W165" s="17" t="s">
        <v>150</v>
      </c>
      <c r="X165" s="17" t="s">
        <v>150</v>
      </c>
      <c r="Y165" s="58">
        <v>97890</v>
      </c>
      <c r="Z165" s="17">
        <v>785</v>
      </c>
      <c r="AA165" s="58">
        <f t="shared" si="129"/>
        <v>124.70063694267516</v>
      </c>
      <c r="AB165" s="21">
        <f t="shared" si="149"/>
        <v>261.66666666666669</v>
      </c>
      <c r="AC165" s="21">
        <f t="shared" si="150"/>
        <v>261.66666666666669</v>
      </c>
      <c r="AD165" s="21">
        <f t="shared" si="151"/>
        <v>261.66666666666669</v>
      </c>
      <c r="AE165" s="17" t="s">
        <v>857</v>
      </c>
      <c r="AF165" s="17" t="s">
        <v>129</v>
      </c>
      <c r="AG165" s="17"/>
      <c r="AI165" s="17" t="s">
        <v>130</v>
      </c>
      <c r="AJ165" s="21">
        <v>0</v>
      </c>
      <c r="AK165" s="58">
        <v>0</v>
      </c>
      <c r="AL165" s="21">
        <v>0</v>
      </c>
      <c r="AM165" s="58">
        <f t="shared" si="140"/>
        <v>0</v>
      </c>
      <c r="AN165" s="21">
        <v>0</v>
      </c>
      <c r="AO165" s="58">
        <f t="shared" si="141"/>
        <v>0</v>
      </c>
      <c r="AP165" s="21">
        <v>0</v>
      </c>
      <c r="AQ165" s="58">
        <f t="shared" si="142"/>
        <v>0</v>
      </c>
      <c r="AR165" s="21">
        <v>0</v>
      </c>
      <c r="AS165" s="58">
        <f t="shared" si="143"/>
        <v>0</v>
      </c>
      <c r="AT165" s="21">
        <v>0</v>
      </c>
      <c r="AU165" s="58">
        <f t="shared" si="144"/>
        <v>0</v>
      </c>
      <c r="AV165" s="21">
        <v>0</v>
      </c>
      <c r="AW165" s="58">
        <v>0</v>
      </c>
      <c r="AX165" s="31">
        <v>0</v>
      </c>
      <c r="AY165" s="58">
        <v>0</v>
      </c>
      <c r="AZ165" s="31">
        <v>0</v>
      </c>
      <c r="BA165" s="58">
        <v>0</v>
      </c>
      <c r="BB165" s="31">
        <v>0</v>
      </c>
      <c r="BC165" s="58">
        <v>0</v>
      </c>
      <c r="BD165" s="31">
        <v>0</v>
      </c>
      <c r="BE165" s="58">
        <v>0</v>
      </c>
      <c r="BF165" s="31">
        <v>0</v>
      </c>
      <c r="BG165" s="58">
        <v>0</v>
      </c>
      <c r="BH165" s="31">
        <f>Table1[[#This Row],[Students Per Spring]]</f>
        <v>261.66666666666669</v>
      </c>
      <c r="BI165" s="58">
        <f t="shared" si="145"/>
        <v>32630.000000000004</v>
      </c>
      <c r="BJ165" s="31">
        <f t="shared" si="146"/>
        <v>261.66666666666669</v>
      </c>
      <c r="BK165" s="58">
        <f t="shared" si="147"/>
        <v>32630.000000000004</v>
      </c>
      <c r="BL165" s="58" t="s">
        <v>130</v>
      </c>
      <c r="BM165" s="31">
        <v>293</v>
      </c>
      <c r="BN165" s="31">
        <v>293</v>
      </c>
      <c r="BO165" s="31">
        <v>293</v>
      </c>
      <c r="BP165" s="31">
        <f t="shared" si="148"/>
        <v>879</v>
      </c>
      <c r="BQ165" s="58">
        <v>134</v>
      </c>
      <c r="BR165" s="58">
        <f>Table1[[#This Row],[Check 2 Students Total]]*Table1[[#This Row],[Summer 2018 Price Check]]</f>
        <v>117786</v>
      </c>
      <c r="BS165" s="31">
        <f>IF(Table1[[#This Row],[Sustainability Check 2 (2018-2019) Status]]="Continued", Table1[[#This Row],[Check 2 Students Summer]], 0)</f>
        <v>293</v>
      </c>
      <c r="BT165" s="58">
        <f>Table1[[#This Row],[Summer 2018 Price Check]]*BS165</f>
        <v>39262</v>
      </c>
      <c r="BU165" s="31">
        <f>IF(Table1[[#This Row],[Sustainability Check 2 (2018-2019) Status]]="Continued", Table1[[#This Row],[Check 2 Students Fall]], 0)</f>
        <v>293</v>
      </c>
      <c r="BV165" s="58">
        <f>Table1[[#This Row],[Summer 2018 Price Check]]*BU165</f>
        <v>39262</v>
      </c>
      <c r="BW165" s="21">
        <f>IF(Table1[[#This Row],[Sustainability Check 2 (2018-2019) Status]]="Continued", Table1[Check 2 Students Spring], 0)</f>
        <v>293</v>
      </c>
      <c r="BX165" s="58">
        <f>Table1[[#This Row],[Summer 2018 Price Check]]*Table1[[#This Row],[Spring 2019 Students]]</f>
        <v>39262</v>
      </c>
      <c r="BY165" s="31">
        <f t="shared" si="130"/>
        <v>879</v>
      </c>
      <c r="BZ165" s="58">
        <f t="shared" si="131"/>
        <v>117786</v>
      </c>
      <c r="CA165" s="58" t="s">
        <v>130</v>
      </c>
      <c r="CB165" s="21">
        <v>293</v>
      </c>
      <c r="CC165" s="21">
        <v>293</v>
      </c>
      <c r="CD165" s="21">
        <v>293</v>
      </c>
      <c r="CE165" s="21">
        <f t="shared" si="152"/>
        <v>879</v>
      </c>
      <c r="CF165" s="58">
        <v>145</v>
      </c>
      <c r="CG165" s="58">
        <f t="shared" si="133"/>
        <v>127455</v>
      </c>
      <c r="CH165" s="17" t="s">
        <v>857</v>
      </c>
      <c r="CI165" s="21">
        <f>IF(Table1[[#This Row],[Check 3 Status]]="Continued", Table1[[#This Row],[Check 3 Students Summer]], 0)</f>
        <v>293</v>
      </c>
      <c r="CJ165" s="58">
        <f>Table1[[#This Row],[Check 3 Per Student Savings]]*CI165</f>
        <v>42485</v>
      </c>
      <c r="CK165" s="21">
        <f>IF(Table1[[#This Row],[Check 3 Status]]="Continued", Table1[[#This Row],[Check 3 Students Fall]], 0)</f>
        <v>293</v>
      </c>
      <c r="CL165" s="58">
        <f>Table1[[#This Row],[Check 3 Per Student Savings]]*CK165</f>
        <v>42485</v>
      </c>
      <c r="CM165" s="21">
        <f>IF(Table1[[#This Row],[Check 3 Status]]="Continued", Table1[[#This Row],[Check 3 Students Spring]], 0)</f>
        <v>293</v>
      </c>
      <c r="CN165" s="58">
        <f>Table1[[#This Row],[Check 3 Per Student Savings]]*CM165</f>
        <v>42485</v>
      </c>
      <c r="CO165" s="21">
        <f t="shared" si="134"/>
        <v>879</v>
      </c>
      <c r="CP165" s="58">
        <f t="shared" si="135"/>
        <v>127455</v>
      </c>
      <c r="CQ165" s="58" t="s">
        <v>130</v>
      </c>
      <c r="CR165" s="21">
        <v>293</v>
      </c>
      <c r="CS165" s="21">
        <v>293</v>
      </c>
      <c r="CT165" s="21">
        <v>293</v>
      </c>
      <c r="CU165" s="21">
        <f t="shared" si="136"/>
        <v>879</v>
      </c>
      <c r="CV165" s="58">
        <v>145</v>
      </c>
      <c r="CW165" s="58">
        <f t="shared" si="137"/>
        <v>127455</v>
      </c>
      <c r="CX165" s="58"/>
      <c r="CY165" s="21">
        <f>IF(Table1[[#This Row],[Check 4 Status]]="Continued", Table1[[#This Row],[Check 4 Students Summer]], 0)</f>
        <v>293</v>
      </c>
      <c r="CZ165" s="58">
        <f>Table1[[#This Row],[Check 4 Per Student Savings]]*CY165</f>
        <v>42485</v>
      </c>
      <c r="DA165" s="21">
        <f>IF(Table1[[#This Row],[Check 4 Status]]="Continued", Table1[[#This Row],[Check 4 Students Fall]], 0)</f>
        <v>293</v>
      </c>
      <c r="DB165" s="58">
        <f>Table1[[#This Row],[Check 4 Per Student Savings]]*DA165</f>
        <v>42485</v>
      </c>
      <c r="DC165" s="21">
        <f>IF(Table1[[#This Row],[Check 4 Status]]="Continued", Table1[[#This Row],[Check 4 Students Spring]], 0)</f>
        <v>293</v>
      </c>
      <c r="DD165" s="58">
        <f>Table1[[#This Row],[Check 4 Per Student Savings]]*DC165</f>
        <v>42485</v>
      </c>
      <c r="DE165" s="58">
        <f t="shared" si="138"/>
        <v>879</v>
      </c>
      <c r="DF165" s="58">
        <f t="shared" si="139"/>
        <v>127455</v>
      </c>
      <c r="DG16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2898.666666666667</v>
      </c>
      <c r="DH16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405326</v>
      </c>
      <c r="DI165" s="58">
        <f>Table1[[#This Row],[Grand Total Savings]]/Table1[[#This Row],[Total Award]]</f>
        <v>13.510866666666667</v>
      </c>
      <c r="DJ165" s="17"/>
      <c r="DK165" s="17"/>
      <c r="DL165" s="17"/>
      <c r="DM165" s="17"/>
      <c r="EC165" s="17"/>
      <c r="ED165" s="17"/>
      <c r="EE165" s="17"/>
      <c r="EF165" s="17"/>
    </row>
    <row r="166" spans="1:136" x14ac:dyDescent="0.25">
      <c r="A166" s="157">
        <v>326</v>
      </c>
      <c r="B166" s="17" t="s">
        <v>2011</v>
      </c>
      <c r="D166" s="97">
        <v>512671</v>
      </c>
      <c r="E166" s="158">
        <v>42915</v>
      </c>
      <c r="F166" s="165">
        <v>43109</v>
      </c>
      <c r="G166" s="159" t="s">
        <v>841</v>
      </c>
      <c r="H166" s="95" t="s">
        <v>8</v>
      </c>
      <c r="I166" s="226" t="s">
        <v>118</v>
      </c>
      <c r="J166" s="17" t="s">
        <v>201</v>
      </c>
      <c r="K166" s="107">
        <v>10800</v>
      </c>
      <c r="L166" s="107"/>
      <c r="M166" s="101" t="s">
        <v>385</v>
      </c>
      <c r="N166" s="101" t="s">
        <v>386</v>
      </c>
      <c r="O166" s="101" t="s">
        <v>895</v>
      </c>
      <c r="P166" s="101" t="s">
        <v>896</v>
      </c>
      <c r="Q166" s="101" t="s">
        <v>206</v>
      </c>
      <c r="R166" s="101" t="s">
        <v>129</v>
      </c>
      <c r="S166" s="160" t="s">
        <v>36</v>
      </c>
      <c r="T166" s="17" t="s">
        <v>129</v>
      </c>
      <c r="U166" s="160" t="s">
        <v>897</v>
      </c>
      <c r="V166" s="17" t="s">
        <v>150</v>
      </c>
      <c r="W166" s="17" t="s">
        <v>150</v>
      </c>
      <c r="X166" s="17" t="s">
        <v>150</v>
      </c>
      <c r="Y166" s="58">
        <v>30240</v>
      </c>
      <c r="Z166" s="17">
        <v>126</v>
      </c>
      <c r="AA166" s="58">
        <f t="shared" si="129"/>
        <v>240</v>
      </c>
      <c r="AB166" s="21">
        <f t="shared" si="149"/>
        <v>42</v>
      </c>
      <c r="AC166" s="21">
        <f t="shared" si="150"/>
        <v>42</v>
      </c>
      <c r="AD166" s="21">
        <f t="shared" si="151"/>
        <v>42</v>
      </c>
      <c r="AE166" s="17" t="s">
        <v>588</v>
      </c>
      <c r="AF166" s="17" t="s">
        <v>129</v>
      </c>
      <c r="AG166" s="17"/>
      <c r="AI166" s="17" t="s">
        <v>130</v>
      </c>
      <c r="AJ166" s="21">
        <v>0</v>
      </c>
      <c r="AK166" s="58">
        <v>0</v>
      </c>
      <c r="AL166" s="21">
        <v>0</v>
      </c>
      <c r="AM166" s="58">
        <f t="shared" si="140"/>
        <v>0</v>
      </c>
      <c r="AN166" s="21">
        <v>0</v>
      </c>
      <c r="AO166" s="58">
        <f t="shared" si="141"/>
        <v>0</v>
      </c>
      <c r="AP166" s="21">
        <v>0</v>
      </c>
      <c r="AQ166" s="58">
        <f t="shared" si="142"/>
        <v>0</v>
      </c>
      <c r="AR166" s="21">
        <v>0</v>
      </c>
      <c r="AS166" s="58">
        <f t="shared" si="143"/>
        <v>0</v>
      </c>
      <c r="AT166" s="21">
        <v>0</v>
      </c>
      <c r="AU166" s="58">
        <f t="shared" si="144"/>
        <v>0</v>
      </c>
      <c r="AV166" s="21">
        <v>0</v>
      </c>
      <c r="AW166" s="58">
        <v>0</v>
      </c>
      <c r="AX166" s="31">
        <v>0</v>
      </c>
      <c r="AY166" s="58">
        <v>0</v>
      </c>
      <c r="AZ166" s="31">
        <v>0</v>
      </c>
      <c r="BA166" s="58">
        <v>0</v>
      </c>
      <c r="BB166" s="31">
        <v>0</v>
      </c>
      <c r="BC166" s="58">
        <v>0</v>
      </c>
      <c r="BD166" s="31">
        <v>0</v>
      </c>
      <c r="BE166" s="58">
        <v>0</v>
      </c>
      <c r="BF166" s="31">
        <f>Table1[[#This Row],[Students Per Fall]]</f>
        <v>42</v>
      </c>
      <c r="BG166" s="58">
        <f>$AA166*BF166</f>
        <v>10080</v>
      </c>
      <c r="BH166" s="31">
        <f>IF(Table1[[#This Row],[Sustainability Check 1 (2017-2018) Status]]="Continued", Table1[[#This Row],[Students Per Spring]], 0)</f>
        <v>42</v>
      </c>
      <c r="BI166" s="58">
        <f t="shared" si="145"/>
        <v>10080</v>
      </c>
      <c r="BJ166" s="31">
        <f t="shared" si="146"/>
        <v>84</v>
      </c>
      <c r="BK166" s="58">
        <f t="shared" si="147"/>
        <v>20160</v>
      </c>
      <c r="BL166" s="58" t="s">
        <v>130</v>
      </c>
      <c r="BM166" s="31">
        <v>30</v>
      </c>
      <c r="BN166" s="31">
        <v>42</v>
      </c>
      <c r="BO166" s="31">
        <v>0</v>
      </c>
      <c r="BP166" s="31">
        <f t="shared" si="148"/>
        <v>72</v>
      </c>
      <c r="BQ166" s="96">
        <v>164</v>
      </c>
      <c r="BR166" s="58">
        <f>Table1[[#This Row],[Check 2 Students Total]]*Table1[[#This Row],[Summer 2018 Price Check]]</f>
        <v>11808</v>
      </c>
      <c r="BS166" s="31">
        <f>IF(Table1[[#This Row],[Sustainability Check 2 (2018-2019) Status]]="Continued", Table1[[#This Row],[Check 2 Students Summer]], 0)</f>
        <v>30</v>
      </c>
      <c r="BT166" s="58">
        <f>Table1[[#This Row],[Summer 2018 Price Check]]*BS166</f>
        <v>4920</v>
      </c>
      <c r="BU166" s="31">
        <f>IF(Table1[[#This Row],[Sustainability Check 2 (2018-2019) Status]]="Continued", Table1[[#This Row],[Check 2 Students Fall]], 0)</f>
        <v>42</v>
      </c>
      <c r="BV166" s="58">
        <f>Table1[[#This Row],[Summer 2018 Price Check]]*BU166</f>
        <v>6888</v>
      </c>
      <c r="BW166" s="21">
        <f>IF(Table1[[#This Row],[Sustainability Check 2 (2018-2019) Status]]="Continued", Table1[Check 2 Students Spring], 0)</f>
        <v>0</v>
      </c>
      <c r="BX166" s="58">
        <f>Table1[[#This Row],[Summer 2018 Price Check]]*Table1[[#This Row],[Spring 2019 Students]]</f>
        <v>0</v>
      </c>
      <c r="BY166" s="31">
        <f t="shared" si="130"/>
        <v>72</v>
      </c>
      <c r="BZ166" s="58">
        <f t="shared" si="131"/>
        <v>11808</v>
      </c>
      <c r="CA166" s="58" t="s">
        <v>130</v>
      </c>
      <c r="CB166" s="21">
        <v>35</v>
      </c>
      <c r="CC166" s="21">
        <v>0</v>
      </c>
      <c r="CD166" s="21">
        <v>45</v>
      </c>
      <c r="CE166" s="21">
        <f t="shared" si="152"/>
        <v>80</v>
      </c>
      <c r="CF166" s="58">
        <v>135</v>
      </c>
      <c r="CG166" s="58">
        <f t="shared" si="133"/>
        <v>10800</v>
      </c>
      <c r="CH166" s="17" t="s">
        <v>588</v>
      </c>
      <c r="CI166" s="21">
        <f>IF(Table1[[#This Row],[Check 3 Status]]="Continued", Table1[[#This Row],[Check 3 Students Summer]], 0)</f>
        <v>35</v>
      </c>
      <c r="CJ166" s="58">
        <f>Table1[[#This Row],[Check 3 Per Student Savings]]*CI166</f>
        <v>4725</v>
      </c>
      <c r="CK166" s="21">
        <f>IF(Table1[[#This Row],[Check 3 Status]]="Continued", Table1[[#This Row],[Check 3 Students Fall]], 0)</f>
        <v>0</v>
      </c>
      <c r="CL166" s="58">
        <f>Table1[[#This Row],[Check 3 Per Student Savings]]*CK166</f>
        <v>0</v>
      </c>
      <c r="CM166" s="21">
        <f>IF(Table1[[#This Row],[Check 3 Status]]="Continued", Table1[[#This Row],[Check 3 Students Spring]], 0)</f>
        <v>45</v>
      </c>
      <c r="CN166" s="58">
        <f>Table1[[#This Row],[Check 3 Per Student Savings]]*CM166</f>
        <v>6075</v>
      </c>
      <c r="CO166" s="21">
        <f t="shared" si="134"/>
        <v>80</v>
      </c>
      <c r="CP166" s="58">
        <f t="shared" si="135"/>
        <v>10800</v>
      </c>
      <c r="CQ166" s="58" t="s">
        <v>130</v>
      </c>
      <c r="CR166" s="21">
        <v>35</v>
      </c>
      <c r="CS166" s="21">
        <v>0</v>
      </c>
      <c r="CT166" s="21">
        <v>45</v>
      </c>
      <c r="CU166" s="21">
        <f t="shared" si="136"/>
        <v>80</v>
      </c>
      <c r="CV166" s="58">
        <v>135</v>
      </c>
      <c r="CW166" s="58">
        <f t="shared" si="137"/>
        <v>10800</v>
      </c>
      <c r="CX166" s="58"/>
      <c r="CY166" s="21">
        <f>IF(Table1[[#This Row],[Check 4 Status]]="Continued", Table1[[#This Row],[Check 4 Students Summer]], 0)</f>
        <v>35</v>
      </c>
      <c r="CZ166" s="58">
        <f>Table1[[#This Row],[Check 4 Per Student Savings]]*CY166</f>
        <v>4725</v>
      </c>
      <c r="DA166" s="21">
        <f>IF(Table1[[#This Row],[Check 4 Status]]="Continued", Table1[[#This Row],[Check 4 Students Fall]], 0)</f>
        <v>0</v>
      </c>
      <c r="DB166" s="58">
        <f>Table1[[#This Row],[Check 4 Per Student Savings]]*DA166</f>
        <v>0</v>
      </c>
      <c r="DC166" s="21">
        <f>IF(Table1[[#This Row],[Check 4 Status]]="Continued", Table1[[#This Row],[Check 4 Students Spring]], 0)</f>
        <v>45</v>
      </c>
      <c r="DD166" s="58">
        <f>Table1[[#This Row],[Check 4 Per Student Savings]]*DC166</f>
        <v>6075</v>
      </c>
      <c r="DE166" s="58">
        <f t="shared" si="138"/>
        <v>80</v>
      </c>
      <c r="DF166" s="58">
        <f t="shared" si="139"/>
        <v>10800</v>
      </c>
      <c r="DG16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316</v>
      </c>
      <c r="DH16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53568</v>
      </c>
      <c r="DI166" s="58">
        <f>Table1[[#This Row],[Grand Total Savings]]/Table1[[#This Row],[Total Award]]</f>
        <v>4.96</v>
      </c>
      <c r="DJ166" s="17"/>
      <c r="DK166" s="17"/>
      <c r="DL166" s="17"/>
      <c r="DM166" s="17"/>
      <c r="EC166" s="17"/>
      <c r="ED166" s="17"/>
      <c r="EE166" s="17"/>
      <c r="EF166" s="17"/>
    </row>
    <row r="167" spans="1:136" x14ac:dyDescent="0.25">
      <c r="A167" s="157">
        <v>328</v>
      </c>
      <c r="B167" s="17" t="s">
        <v>2011</v>
      </c>
      <c r="D167" s="97">
        <v>512672</v>
      </c>
      <c r="E167" s="158">
        <v>42912</v>
      </c>
      <c r="F167" s="165">
        <v>43265</v>
      </c>
      <c r="G167" s="159" t="s">
        <v>841</v>
      </c>
      <c r="H167" s="95" t="s">
        <v>8</v>
      </c>
      <c r="I167" s="226" t="s">
        <v>118</v>
      </c>
      <c r="J167" s="17" t="s">
        <v>276</v>
      </c>
      <c r="K167" s="107">
        <v>22826</v>
      </c>
      <c r="L167" s="107"/>
      <c r="M167" s="101" t="s">
        <v>898</v>
      </c>
      <c r="N167" s="160" t="s">
        <v>899</v>
      </c>
      <c r="O167" s="101" t="s">
        <v>900</v>
      </c>
      <c r="P167" s="101" t="s">
        <v>901</v>
      </c>
      <c r="Q167" s="101" t="s">
        <v>192</v>
      </c>
      <c r="R167" s="101" t="s">
        <v>129</v>
      </c>
      <c r="S167" s="128" t="s">
        <v>36</v>
      </c>
      <c r="T167" s="17" t="s">
        <v>125</v>
      </c>
      <c r="U167" s="128" t="s">
        <v>255</v>
      </c>
      <c r="V167" s="17" t="s">
        <v>150</v>
      </c>
      <c r="W167" s="17" t="s">
        <v>127</v>
      </c>
      <c r="X167" s="17" t="s">
        <v>150</v>
      </c>
      <c r="Y167" s="58">
        <v>284184</v>
      </c>
      <c r="Z167" s="17">
        <v>1440</v>
      </c>
      <c r="AA167" s="58">
        <f t="shared" si="129"/>
        <v>197.35</v>
      </c>
      <c r="AB167" s="21">
        <f t="shared" si="149"/>
        <v>480</v>
      </c>
      <c r="AC167" s="21">
        <f t="shared" si="150"/>
        <v>480</v>
      </c>
      <c r="AD167" s="21">
        <f t="shared" si="151"/>
        <v>480</v>
      </c>
      <c r="AE167" s="17" t="s">
        <v>588</v>
      </c>
      <c r="AF167" s="17" t="s">
        <v>129</v>
      </c>
      <c r="AG167" s="17"/>
      <c r="AI167" s="17" t="s">
        <v>130</v>
      </c>
      <c r="AJ167" s="21">
        <v>0</v>
      </c>
      <c r="AK167" s="58">
        <v>0</v>
      </c>
      <c r="AL167" s="21">
        <v>0</v>
      </c>
      <c r="AM167" s="58">
        <f t="shared" si="140"/>
        <v>0</v>
      </c>
      <c r="AN167" s="21">
        <v>0</v>
      </c>
      <c r="AO167" s="58">
        <f t="shared" si="141"/>
        <v>0</v>
      </c>
      <c r="AP167" s="21">
        <v>0</v>
      </c>
      <c r="AQ167" s="58">
        <f t="shared" si="142"/>
        <v>0</v>
      </c>
      <c r="AR167" s="21">
        <v>0</v>
      </c>
      <c r="AS167" s="58">
        <f t="shared" si="143"/>
        <v>0</v>
      </c>
      <c r="AT167" s="21">
        <v>0</v>
      </c>
      <c r="AU167" s="58">
        <f t="shared" si="144"/>
        <v>0</v>
      </c>
      <c r="AV167" s="21">
        <v>0</v>
      </c>
      <c r="AW167" s="58">
        <v>0</v>
      </c>
      <c r="AX167" s="31">
        <v>0</v>
      </c>
      <c r="AY167" s="58">
        <v>0</v>
      </c>
      <c r="AZ167" s="31">
        <v>0</v>
      </c>
      <c r="BA167" s="58">
        <v>0</v>
      </c>
      <c r="BB167" s="31">
        <v>0</v>
      </c>
      <c r="BC167" s="58">
        <v>0</v>
      </c>
      <c r="BD167" s="31">
        <v>0</v>
      </c>
      <c r="BE167" s="58">
        <v>0</v>
      </c>
      <c r="BF167" s="31">
        <f>Table1[[#This Row],[Students Per Fall]]</f>
        <v>480</v>
      </c>
      <c r="BG167" s="58">
        <f>$AA167*BF167</f>
        <v>94728</v>
      </c>
      <c r="BH167" s="31">
        <f>IF(Table1[[#This Row],[Sustainability Check 1 (2017-2018) Status]]="Continued", Table1[[#This Row],[Students Per Spring]], 0)</f>
        <v>480</v>
      </c>
      <c r="BI167" s="58">
        <f t="shared" si="145"/>
        <v>94728</v>
      </c>
      <c r="BJ167" s="31">
        <f t="shared" si="146"/>
        <v>960</v>
      </c>
      <c r="BK167" s="58">
        <f t="shared" si="147"/>
        <v>189456</v>
      </c>
      <c r="BL167" s="58" t="s">
        <v>130</v>
      </c>
      <c r="BM167" s="31">
        <v>480</v>
      </c>
      <c r="BN167" s="31">
        <v>480</v>
      </c>
      <c r="BO167" s="31">
        <v>480</v>
      </c>
      <c r="BP167" s="31">
        <f t="shared" si="148"/>
        <v>1440</v>
      </c>
      <c r="BQ167" s="96">
        <v>320.52999999999997</v>
      </c>
      <c r="BR167" s="58">
        <f>Table1[[#This Row],[Check 2 Students Total]]*Table1[[#This Row],[Summer 2018 Price Check]]</f>
        <v>461563.19999999995</v>
      </c>
      <c r="BS167" s="31">
        <f>IF(Table1[[#This Row],[Sustainability Check 2 (2018-2019) Status]]="Continued", Table1[[#This Row],[Check 2 Students Summer]], 0)</f>
        <v>480</v>
      </c>
      <c r="BT167" s="58">
        <f>Table1[[#This Row],[Summer 2018 Price Check]]*BS167</f>
        <v>153854.39999999999</v>
      </c>
      <c r="BU167" s="31">
        <f>IF(Table1[[#This Row],[Sustainability Check 2 (2018-2019) Status]]="Continued", Table1[[#This Row],[Check 2 Students Fall]], 0)</f>
        <v>480</v>
      </c>
      <c r="BV167" s="58">
        <f>Table1[[#This Row],[Summer 2018 Price Check]]*BU167</f>
        <v>153854.39999999999</v>
      </c>
      <c r="BW167" s="21">
        <f>IF(Table1[[#This Row],[Sustainability Check 2 (2018-2019) Status]]="Continued", Table1[Check 2 Students Spring], 0)</f>
        <v>480</v>
      </c>
      <c r="BX167" s="58">
        <f>Table1[[#This Row],[Summer 2018 Price Check]]*Table1[[#This Row],[Spring 2019 Students]]</f>
        <v>153854.39999999999</v>
      </c>
      <c r="BY167" s="31">
        <f t="shared" si="130"/>
        <v>1440</v>
      </c>
      <c r="BZ167" s="58">
        <f t="shared" si="131"/>
        <v>461563.19999999995</v>
      </c>
      <c r="CA167" s="58" t="s">
        <v>141</v>
      </c>
      <c r="CB167" s="21"/>
      <c r="CC167" s="21"/>
      <c r="CD167" s="21"/>
      <c r="CE167" s="21">
        <f t="shared" si="152"/>
        <v>0</v>
      </c>
      <c r="CF167" s="58"/>
      <c r="CG167" s="58">
        <f t="shared" si="133"/>
        <v>0</v>
      </c>
      <c r="CH167" s="17" t="s">
        <v>588</v>
      </c>
      <c r="CI167" s="21">
        <f>IF(Table1[[#This Row],[Check 3 Status]]="Continued", Table1[[#This Row],[Check 3 Students Summer]], 0)</f>
        <v>0</v>
      </c>
      <c r="CJ167" s="58">
        <f>Table1[[#This Row],[Check 3 Per Student Savings]]*CI167</f>
        <v>0</v>
      </c>
      <c r="CK167" s="21">
        <f>IF(Table1[[#This Row],[Check 3 Status]]="Continued", Table1[[#This Row],[Check 3 Students Fall]], 0)</f>
        <v>0</v>
      </c>
      <c r="CL167" s="58">
        <f>Table1[[#This Row],[Check 3 Per Student Savings]]*CK167</f>
        <v>0</v>
      </c>
      <c r="CM167" s="21">
        <f>IF(Table1[[#This Row],[Check 3 Status]]="Continued", Table1[[#This Row],[Check 3 Students Spring]], 0)</f>
        <v>0</v>
      </c>
      <c r="CN167" s="58">
        <f>Table1[[#This Row],[Check 3 Per Student Savings]]*CM167</f>
        <v>0</v>
      </c>
      <c r="CO167" s="21">
        <f t="shared" si="134"/>
        <v>0</v>
      </c>
      <c r="CP167" s="58">
        <f t="shared" si="135"/>
        <v>0</v>
      </c>
      <c r="CQ167" s="58" t="s">
        <v>1777</v>
      </c>
      <c r="CR167" s="21"/>
      <c r="CS167" s="21"/>
      <c r="CT167" s="21"/>
      <c r="CU167" s="21">
        <f t="shared" si="136"/>
        <v>0</v>
      </c>
      <c r="CV167" s="58"/>
      <c r="CW167" s="58">
        <f t="shared" si="137"/>
        <v>0</v>
      </c>
      <c r="CX167" s="58"/>
      <c r="CY167" s="21">
        <f>IF(Table1[[#This Row],[Check 4 Status]]="Continued", Table1[[#This Row],[Check 4 Students Summer]], 0)</f>
        <v>0</v>
      </c>
      <c r="CZ167" s="58">
        <f>Table1[[#This Row],[Check 4 Per Student Savings]]*CY167</f>
        <v>0</v>
      </c>
      <c r="DA167" s="21">
        <f>IF(Table1[[#This Row],[Check 4 Status]]="Continued", Table1[[#This Row],[Check 4 Students Fall]], 0)</f>
        <v>0</v>
      </c>
      <c r="DB167" s="58">
        <f>Table1[[#This Row],[Check 4 Per Student Savings]]*DA167</f>
        <v>0</v>
      </c>
      <c r="DC167" s="21">
        <f>IF(Table1[[#This Row],[Check 4 Status]]="Continued", Table1[[#This Row],[Check 4 Students Spring]], 0)</f>
        <v>0</v>
      </c>
      <c r="DD167" s="58">
        <f>Table1[[#This Row],[Check 4 Per Student Savings]]*DC167</f>
        <v>0</v>
      </c>
      <c r="DE167" s="58">
        <f t="shared" si="138"/>
        <v>0</v>
      </c>
      <c r="DF167" s="58">
        <f t="shared" si="139"/>
        <v>0</v>
      </c>
      <c r="DG16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2400</v>
      </c>
      <c r="DH16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651019.19999999995</v>
      </c>
      <c r="DI167" s="58">
        <f>Table1[[#This Row],[Grand Total Savings]]/Table1[[#This Row],[Total Award]]</f>
        <v>28.520949794094452</v>
      </c>
      <c r="DJ167" s="17"/>
      <c r="DK167" s="17"/>
      <c r="DL167" s="17"/>
      <c r="DM167" s="17"/>
      <c r="EC167" s="17"/>
      <c r="ED167" s="17"/>
      <c r="EE167" s="17"/>
      <c r="EF167" s="17"/>
    </row>
    <row r="168" spans="1:136" x14ac:dyDescent="0.25">
      <c r="A168" s="157">
        <v>329</v>
      </c>
      <c r="B168" s="17" t="s">
        <v>2011</v>
      </c>
      <c r="D168" s="97">
        <v>512673</v>
      </c>
      <c r="E168" s="158">
        <v>42912</v>
      </c>
      <c r="F168" s="165">
        <v>43250</v>
      </c>
      <c r="G168" s="159" t="s">
        <v>841</v>
      </c>
      <c r="H168" s="95" t="s">
        <v>8</v>
      </c>
      <c r="I168" s="226" t="s">
        <v>118</v>
      </c>
      <c r="J168" s="17" t="s">
        <v>225</v>
      </c>
      <c r="K168" s="107">
        <v>10800</v>
      </c>
      <c r="L168" s="107"/>
      <c r="M168" s="101" t="s">
        <v>226</v>
      </c>
      <c r="N168" s="101" t="s">
        <v>227</v>
      </c>
      <c r="O168" s="101" t="s">
        <v>902</v>
      </c>
      <c r="P168" s="101" t="s">
        <v>903</v>
      </c>
      <c r="Q168" s="101" t="s">
        <v>206</v>
      </c>
      <c r="R168" s="101" t="s">
        <v>904</v>
      </c>
      <c r="S168" s="128" t="s">
        <v>36</v>
      </c>
      <c r="T168" s="17" t="s">
        <v>129</v>
      </c>
      <c r="U168" s="128" t="s">
        <v>902</v>
      </c>
      <c r="V168" s="17" t="s">
        <v>150</v>
      </c>
      <c r="W168" s="17" t="s">
        <v>150</v>
      </c>
      <c r="X168" s="17" t="s">
        <v>150</v>
      </c>
      <c r="Y168" s="58">
        <v>29280</v>
      </c>
      <c r="Z168" s="17">
        <v>175</v>
      </c>
      <c r="AA168" s="58">
        <f t="shared" si="129"/>
        <v>167.31428571428572</v>
      </c>
      <c r="AB168" s="21">
        <f t="shared" si="149"/>
        <v>58.333333333333336</v>
      </c>
      <c r="AC168" s="21">
        <f t="shared" si="150"/>
        <v>58.333333333333336</v>
      </c>
      <c r="AD168" s="21">
        <f t="shared" si="151"/>
        <v>58.333333333333336</v>
      </c>
      <c r="AE168" s="17" t="s">
        <v>857</v>
      </c>
      <c r="AF168" s="17" t="s">
        <v>129</v>
      </c>
      <c r="AG168" s="17"/>
      <c r="AI168" s="17" t="s">
        <v>130</v>
      </c>
      <c r="AJ168" s="21">
        <v>0</v>
      </c>
      <c r="AK168" s="58">
        <v>0</v>
      </c>
      <c r="AL168" s="21">
        <v>0</v>
      </c>
      <c r="AM168" s="58">
        <f t="shared" si="140"/>
        <v>0</v>
      </c>
      <c r="AN168" s="21">
        <v>0</v>
      </c>
      <c r="AO168" s="58">
        <f t="shared" si="141"/>
        <v>0</v>
      </c>
      <c r="AP168" s="21">
        <v>0</v>
      </c>
      <c r="AQ168" s="58">
        <f t="shared" si="142"/>
        <v>0</v>
      </c>
      <c r="AR168" s="21">
        <v>0</v>
      </c>
      <c r="AS168" s="58">
        <f t="shared" si="143"/>
        <v>0</v>
      </c>
      <c r="AT168" s="21">
        <v>0</v>
      </c>
      <c r="AU168" s="58">
        <f t="shared" si="144"/>
        <v>0</v>
      </c>
      <c r="AV168" s="21">
        <v>0</v>
      </c>
      <c r="AW168" s="58">
        <v>0</v>
      </c>
      <c r="AX168" s="31">
        <v>0</v>
      </c>
      <c r="AY168" s="58">
        <v>0</v>
      </c>
      <c r="AZ168" s="31">
        <v>0</v>
      </c>
      <c r="BA168" s="58">
        <v>0</v>
      </c>
      <c r="BB168" s="31">
        <v>0</v>
      </c>
      <c r="BC168" s="58">
        <v>0</v>
      </c>
      <c r="BD168" s="31">
        <v>0</v>
      </c>
      <c r="BE168" s="58">
        <v>0</v>
      </c>
      <c r="BF168" s="31">
        <v>0</v>
      </c>
      <c r="BG168" s="58">
        <v>0</v>
      </c>
      <c r="BH168" s="31">
        <f>Table1[[#This Row],[Students Per Spring]]</f>
        <v>58.333333333333336</v>
      </c>
      <c r="BI168" s="58">
        <f t="shared" si="145"/>
        <v>9760</v>
      </c>
      <c r="BJ168" s="31">
        <f t="shared" si="146"/>
        <v>58.333333333333336</v>
      </c>
      <c r="BK168" s="58">
        <f t="shared" si="147"/>
        <v>9760</v>
      </c>
      <c r="BL168" s="58" t="s">
        <v>130</v>
      </c>
      <c r="BM168" s="31">
        <v>0</v>
      </c>
      <c r="BN168" s="31">
        <v>60</v>
      </c>
      <c r="BO168" s="31">
        <v>55</v>
      </c>
      <c r="BP168" s="31">
        <f t="shared" si="148"/>
        <v>115</v>
      </c>
      <c r="BQ168" s="96">
        <v>199.95</v>
      </c>
      <c r="BR168" s="58">
        <f>Table1[[#This Row],[Check 2 Students Total]]*Table1[[#This Row],[Summer 2018 Price Check]]</f>
        <v>22994.25</v>
      </c>
      <c r="BS168" s="31">
        <f>IF(Table1[[#This Row],[Sustainability Check 2 (2018-2019) Status]]="Continued", Table1[[#This Row],[Check 2 Students Summer]], 0)</f>
        <v>0</v>
      </c>
      <c r="BT168" s="58">
        <f>Table1[[#This Row],[Summer 2018 Price Check]]*BS168</f>
        <v>0</v>
      </c>
      <c r="BU168" s="31">
        <f>IF(Table1[[#This Row],[Sustainability Check 2 (2018-2019) Status]]="Continued", Table1[[#This Row],[Check 2 Students Fall]], 0)</f>
        <v>60</v>
      </c>
      <c r="BV168" s="58">
        <f>Table1[[#This Row],[Summer 2018 Price Check]]*BU168</f>
        <v>11997</v>
      </c>
      <c r="BW168" s="21">
        <f>IF(Table1[[#This Row],[Sustainability Check 2 (2018-2019) Status]]="Continued", Table1[Check 2 Students Spring], 0)</f>
        <v>55</v>
      </c>
      <c r="BX168" s="58">
        <f>Table1[[#This Row],[Summer 2018 Price Check]]*Table1[[#This Row],[Spring 2019 Students]]</f>
        <v>10997.25</v>
      </c>
      <c r="BY168" s="31">
        <f t="shared" si="130"/>
        <v>115</v>
      </c>
      <c r="BZ168" s="58">
        <f t="shared" si="131"/>
        <v>22994.25</v>
      </c>
      <c r="CA168" s="58" t="s">
        <v>130</v>
      </c>
      <c r="CB168" s="21">
        <v>0</v>
      </c>
      <c r="CC168" s="21">
        <v>29</v>
      </c>
      <c r="CD168" s="21">
        <v>60</v>
      </c>
      <c r="CE168" s="21">
        <f t="shared" si="152"/>
        <v>89</v>
      </c>
      <c r="CF168" s="58">
        <v>29.71</v>
      </c>
      <c r="CG168" s="58">
        <f t="shared" si="133"/>
        <v>2644.19</v>
      </c>
      <c r="CH168" s="17" t="s">
        <v>857</v>
      </c>
      <c r="CI168" s="21">
        <f>IF(Table1[[#This Row],[Check 3 Status]]="Continued", Table1[[#This Row],[Check 3 Students Summer]], 0)</f>
        <v>0</v>
      </c>
      <c r="CJ168" s="58">
        <f>Table1[[#This Row],[Check 3 Per Student Savings]]*CI168</f>
        <v>0</v>
      </c>
      <c r="CK168" s="21">
        <f>IF(Table1[[#This Row],[Check 3 Status]]="Continued", Table1[[#This Row],[Check 3 Students Fall]], 0)</f>
        <v>29</v>
      </c>
      <c r="CL168" s="58">
        <f>Table1[[#This Row],[Check 3 Per Student Savings]]*CK168</f>
        <v>861.59</v>
      </c>
      <c r="CM168" s="21">
        <f>IF(Table1[[#This Row],[Check 3 Status]]="Continued", Table1[[#This Row],[Check 3 Students Spring]], 0)</f>
        <v>60</v>
      </c>
      <c r="CN168" s="58">
        <f>Table1[[#This Row],[Check 3 Per Student Savings]]*CM168</f>
        <v>1782.6000000000001</v>
      </c>
      <c r="CO168" s="21">
        <f t="shared" si="134"/>
        <v>89</v>
      </c>
      <c r="CP168" s="58">
        <f t="shared" si="135"/>
        <v>2644.19</v>
      </c>
      <c r="CQ168" s="58" t="s">
        <v>130</v>
      </c>
      <c r="CR168" s="21">
        <v>0</v>
      </c>
      <c r="CS168" s="21">
        <v>29</v>
      </c>
      <c r="CT168" s="21">
        <v>60</v>
      </c>
      <c r="CU168" s="21">
        <f t="shared" si="136"/>
        <v>89</v>
      </c>
      <c r="CV168" s="58">
        <v>29.71</v>
      </c>
      <c r="CW168" s="58">
        <f t="shared" si="137"/>
        <v>2644.19</v>
      </c>
      <c r="CX168" s="58"/>
      <c r="CY168" s="21">
        <f>IF(Table1[[#This Row],[Check 4 Status]]="Continued", Table1[[#This Row],[Check 4 Students Summer]], 0)</f>
        <v>0</v>
      </c>
      <c r="CZ168" s="58">
        <f>Table1[[#This Row],[Check 4 Per Student Savings]]*CY168</f>
        <v>0</v>
      </c>
      <c r="DA168" s="21">
        <f>IF(Table1[[#This Row],[Check 4 Status]]="Continued", Table1[[#This Row],[Check 4 Students Fall]], 0)</f>
        <v>29</v>
      </c>
      <c r="DB168" s="58">
        <f>Table1[[#This Row],[Check 4 Per Student Savings]]*DA168</f>
        <v>861.59</v>
      </c>
      <c r="DC168" s="21">
        <f>IF(Table1[[#This Row],[Check 4 Status]]="Continued", Table1[[#This Row],[Check 4 Students Spring]], 0)</f>
        <v>60</v>
      </c>
      <c r="DD168" s="58">
        <f>Table1[[#This Row],[Check 4 Per Student Savings]]*DC168</f>
        <v>1782.6000000000001</v>
      </c>
      <c r="DE168" s="58">
        <f t="shared" si="138"/>
        <v>89</v>
      </c>
      <c r="DF168" s="58">
        <f t="shared" si="139"/>
        <v>2644.19</v>
      </c>
      <c r="DG16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351.33333333333337</v>
      </c>
      <c r="DH16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38042.630000000005</v>
      </c>
      <c r="DI168" s="58">
        <f>Table1[[#This Row],[Grand Total Savings]]/Table1[[#This Row],[Total Award]]</f>
        <v>3.5224657407407411</v>
      </c>
      <c r="DJ168" s="17"/>
      <c r="DK168" s="17"/>
      <c r="DL168" s="17"/>
      <c r="DM168" s="17"/>
      <c r="EC168" s="17"/>
      <c r="ED168" s="17"/>
      <c r="EE168" s="17"/>
      <c r="EF168" s="17"/>
    </row>
    <row r="169" spans="1:136" x14ac:dyDescent="0.25">
      <c r="A169" s="159">
        <v>330</v>
      </c>
      <c r="B169" s="17" t="s">
        <v>2011</v>
      </c>
      <c r="D169" s="97">
        <v>512674</v>
      </c>
      <c r="E169" s="165">
        <v>42951</v>
      </c>
      <c r="F169" s="165">
        <v>43250</v>
      </c>
      <c r="G169" s="159" t="s">
        <v>841</v>
      </c>
      <c r="H169" s="95" t="s">
        <v>8</v>
      </c>
      <c r="I169" s="226" t="s">
        <v>118</v>
      </c>
      <c r="J169" s="17" t="s">
        <v>179</v>
      </c>
      <c r="K169" s="107">
        <v>10800</v>
      </c>
      <c r="L169" s="107"/>
      <c r="M169" s="101" t="s">
        <v>905</v>
      </c>
      <c r="N169" s="101" t="s">
        <v>906</v>
      </c>
      <c r="O169" s="101" t="s">
        <v>907</v>
      </c>
      <c r="P169" s="101" t="s">
        <v>908</v>
      </c>
      <c r="Q169" s="101" t="s">
        <v>776</v>
      </c>
      <c r="R169" s="101" t="s">
        <v>735</v>
      </c>
      <c r="S169" s="128" t="s">
        <v>36</v>
      </c>
      <c r="T169" s="17" t="s">
        <v>129</v>
      </c>
      <c r="U169" s="128" t="s">
        <v>411</v>
      </c>
      <c r="V169" s="17" t="s">
        <v>150</v>
      </c>
      <c r="W169" s="17" t="s">
        <v>150</v>
      </c>
      <c r="X169" s="17" t="s">
        <v>150</v>
      </c>
      <c r="Y169" s="58">
        <v>25035</v>
      </c>
      <c r="Z169" s="17">
        <v>150</v>
      </c>
      <c r="AA169" s="58">
        <f t="shared" si="129"/>
        <v>166.9</v>
      </c>
      <c r="AB169" s="21">
        <f t="shared" si="149"/>
        <v>50</v>
      </c>
      <c r="AC169" s="21">
        <f t="shared" si="150"/>
        <v>50</v>
      </c>
      <c r="AD169" s="21">
        <f t="shared" si="151"/>
        <v>50</v>
      </c>
      <c r="AE169" s="17" t="s">
        <v>588</v>
      </c>
      <c r="AF169" s="17" t="s">
        <v>129</v>
      </c>
      <c r="AG169" s="17"/>
      <c r="AI169" s="17" t="s">
        <v>130</v>
      </c>
      <c r="AJ169" s="21">
        <v>0</v>
      </c>
      <c r="AK169" s="58">
        <v>0</v>
      </c>
      <c r="AL169" s="21">
        <v>0</v>
      </c>
      <c r="AM169" s="58">
        <f t="shared" si="140"/>
        <v>0</v>
      </c>
      <c r="AN169" s="21">
        <v>0</v>
      </c>
      <c r="AO169" s="58">
        <f t="shared" si="141"/>
        <v>0</v>
      </c>
      <c r="AP169" s="21">
        <v>0</v>
      </c>
      <c r="AQ169" s="58">
        <f t="shared" si="142"/>
        <v>0</v>
      </c>
      <c r="AR169" s="21">
        <v>0</v>
      </c>
      <c r="AS169" s="58">
        <f t="shared" si="143"/>
        <v>0</v>
      </c>
      <c r="AT169" s="21">
        <v>0</v>
      </c>
      <c r="AU169" s="58">
        <f t="shared" si="144"/>
        <v>0</v>
      </c>
      <c r="AV169" s="21">
        <v>0</v>
      </c>
      <c r="AW169" s="58">
        <v>0</v>
      </c>
      <c r="AX169" s="31">
        <v>0</v>
      </c>
      <c r="AY169" s="58">
        <v>0</v>
      </c>
      <c r="AZ169" s="31">
        <v>0</v>
      </c>
      <c r="BA169" s="58">
        <v>0</v>
      </c>
      <c r="BB169" s="31">
        <v>0</v>
      </c>
      <c r="BC169" s="58">
        <v>0</v>
      </c>
      <c r="BD169" s="31">
        <v>0</v>
      </c>
      <c r="BE169" s="58">
        <v>0</v>
      </c>
      <c r="BF169" s="31">
        <f>Table1[[#This Row],[Students Per Fall]]</f>
        <v>50</v>
      </c>
      <c r="BG169" s="58">
        <f>$AA169*BF169</f>
        <v>8345</v>
      </c>
      <c r="BH169" s="31">
        <f>IF(Table1[[#This Row],[Sustainability Check 1 (2017-2018) Status]]="Continued", Table1[[#This Row],[Students Per Spring]], 0)</f>
        <v>50</v>
      </c>
      <c r="BI169" s="58">
        <f t="shared" si="145"/>
        <v>8345</v>
      </c>
      <c r="BJ169" s="31">
        <f t="shared" si="146"/>
        <v>100</v>
      </c>
      <c r="BK169" s="58">
        <f t="shared" si="147"/>
        <v>16690</v>
      </c>
      <c r="BL169" s="58" t="s">
        <v>130</v>
      </c>
      <c r="BM169" s="31">
        <v>50</v>
      </c>
      <c r="BN169" s="31">
        <v>50</v>
      </c>
      <c r="BO169" s="31">
        <v>30</v>
      </c>
      <c r="BP169" s="31">
        <f t="shared" si="148"/>
        <v>130</v>
      </c>
      <c r="BQ169" s="96">
        <v>176.99</v>
      </c>
      <c r="BR169" s="58">
        <f>Table1[[#This Row],[Check 2 Students Total]]*Table1[[#This Row],[Summer 2018 Price Check]]</f>
        <v>23008.7</v>
      </c>
      <c r="BS169" s="31">
        <f>IF(Table1[[#This Row],[Sustainability Check 2 (2018-2019) Status]]="Continued", Table1[[#This Row],[Check 2 Students Summer]], 0)</f>
        <v>50</v>
      </c>
      <c r="BT169" s="58">
        <f>Table1[[#This Row],[Summer 2018 Price Check]]*BS169</f>
        <v>8849.5</v>
      </c>
      <c r="BU169" s="31">
        <f>IF(Table1[[#This Row],[Sustainability Check 2 (2018-2019) Status]]="Continued", Table1[[#This Row],[Check 2 Students Fall]], 0)</f>
        <v>50</v>
      </c>
      <c r="BV169" s="58">
        <f>Table1[[#This Row],[Summer 2018 Price Check]]*BU169</f>
        <v>8849.5</v>
      </c>
      <c r="BW169" s="21">
        <f>IF(Table1[[#This Row],[Sustainability Check 2 (2018-2019) Status]]="Continued", Table1[Check 2 Students Spring], 0)</f>
        <v>30</v>
      </c>
      <c r="BX169" s="58">
        <f>Table1[[#This Row],[Summer 2018 Price Check]]*Table1[[#This Row],[Spring 2019 Students]]</f>
        <v>5309.7000000000007</v>
      </c>
      <c r="BY169" s="31">
        <f t="shared" si="130"/>
        <v>130</v>
      </c>
      <c r="BZ169" s="58">
        <f t="shared" si="131"/>
        <v>23008.7</v>
      </c>
      <c r="CA169" s="58" t="s">
        <v>130</v>
      </c>
      <c r="CB169" s="21">
        <v>30</v>
      </c>
      <c r="CC169" s="21">
        <v>60</v>
      </c>
      <c r="CD169" s="21">
        <v>60</v>
      </c>
      <c r="CE169" s="21">
        <f t="shared" si="152"/>
        <v>150</v>
      </c>
      <c r="CF169" s="58">
        <v>166.9</v>
      </c>
      <c r="CG169" s="58">
        <f t="shared" si="133"/>
        <v>25035</v>
      </c>
      <c r="CH169" s="17" t="s">
        <v>588</v>
      </c>
      <c r="CI169" s="21">
        <f>IF(Table1[[#This Row],[Check 3 Status]]="Continued", Table1[[#This Row],[Check 3 Students Summer]], 0)</f>
        <v>30</v>
      </c>
      <c r="CJ169" s="58">
        <f>Table1[[#This Row],[Check 3 Per Student Savings]]*CI169</f>
        <v>5007</v>
      </c>
      <c r="CK169" s="21">
        <f>IF(Table1[[#This Row],[Check 3 Status]]="Continued", Table1[[#This Row],[Check 3 Students Fall]], 0)</f>
        <v>60</v>
      </c>
      <c r="CL169" s="58">
        <f>Table1[[#This Row],[Check 3 Per Student Savings]]*CK169</f>
        <v>10014</v>
      </c>
      <c r="CM169" s="21">
        <f>IF(Table1[[#This Row],[Check 3 Status]]="Continued", Table1[[#This Row],[Check 3 Students Spring]], 0)</f>
        <v>60</v>
      </c>
      <c r="CN169" s="58">
        <f>Table1[[#This Row],[Check 3 Per Student Savings]]*CM169</f>
        <v>10014</v>
      </c>
      <c r="CO169" s="21">
        <f t="shared" si="134"/>
        <v>150</v>
      </c>
      <c r="CP169" s="58">
        <f t="shared" si="135"/>
        <v>25035</v>
      </c>
      <c r="CQ169" s="58" t="s">
        <v>130</v>
      </c>
      <c r="CR169" s="21">
        <v>30</v>
      </c>
      <c r="CS169" s="21">
        <v>60</v>
      </c>
      <c r="CT169" s="21">
        <v>60</v>
      </c>
      <c r="CU169" s="21">
        <f t="shared" si="136"/>
        <v>150</v>
      </c>
      <c r="CV169" s="58">
        <v>166.9</v>
      </c>
      <c r="CW169" s="58">
        <f t="shared" si="137"/>
        <v>25035</v>
      </c>
      <c r="CX169" s="58"/>
      <c r="CY169" s="21">
        <f>IF(Table1[[#This Row],[Check 4 Status]]="Continued", Table1[[#This Row],[Check 4 Students Summer]], 0)</f>
        <v>30</v>
      </c>
      <c r="CZ169" s="58">
        <f>Table1[[#This Row],[Check 4 Per Student Savings]]*CY169</f>
        <v>5007</v>
      </c>
      <c r="DA169" s="21">
        <f>IF(Table1[[#This Row],[Check 4 Status]]="Continued", Table1[[#This Row],[Check 4 Students Fall]], 0)</f>
        <v>60</v>
      </c>
      <c r="DB169" s="58">
        <f>Table1[[#This Row],[Check 4 Per Student Savings]]*DA169</f>
        <v>10014</v>
      </c>
      <c r="DC169" s="21">
        <f>IF(Table1[[#This Row],[Check 4 Status]]="Continued", Table1[[#This Row],[Check 4 Students Spring]], 0)</f>
        <v>60</v>
      </c>
      <c r="DD169" s="58">
        <f>Table1[[#This Row],[Check 4 Per Student Savings]]*DC169</f>
        <v>10014</v>
      </c>
      <c r="DE169" s="58">
        <f t="shared" si="138"/>
        <v>150</v>
      </c>
      <c r="DF169" s="58">
        <f t="shared" si="139"/>
        <v>25035</v>
      </c>
      <c r="DG16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530</v>
      </c>
      <c r="DH16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89768.7</v>
      </c>
      <c r="DI169" s="58">
        <f>Table1[[#This Row],[Grand Total Savings]]/Table1[[#This Row],[Total Award]]</f>
        <v>8.3119166666666668</v>
      </c>
      <c r="DJ169" s="17"/>
      <c r="DK169" s="17"/>
      <c r="DL169" s="17"/>
      <c r="DM169" s="17"/>
      <c r="EC169" s="17"/>
      <c r="ED169" s="17"/>
      <c r="EE169" s="17"/>
      <c r="EF169" s="17"/>
    </row>
    <row r="170" spans="1:136" x14ac:dyDescent="0.25">
      <c r="A170" s="159">
        <v>332</v>
      </c>
      <c r="B170" s="17" t="s">
        <v>2011</v>
      </c>
      <c r="D170" s="97" t="s">
        <v>909</v>
      </c>
      <c r="E170" s="165">
        <v>43201</v>
      </c>
      <c r="F170" s="158">
        <v>43472</v>
      </c>
      <c r="G170" s="159">
        <v>10</v>
      </c>
      <c r="H170" s="95" t="s">
        <v>7</v>
      </c>
      <c r="I170" s="226" t="s">
        <v>118</v>
      </c>
      <c r="J170" s="17" t="s">
        <v>166</v>
      </c>
      <c r="K170" s="107">
        <v>10800</v>
      </c>
      <c r="L170" s="107"/>
      <c r="M170" s="101" t="s">
        <v>910</v>
      </c>
      <c r="N170" s="101" t="s">
        <v>911</v>
      </c>
      <c r="O170" s="101" t="s">
        <v>728</v>
      </c>
      <c r="P170" s="101" t="s">
        <v>205</v>
      </c>
      <c r="Q170" s="101" t="s">
        <v>206</v>
      </c>
      <c r="R170" s="101" t="s">
        <v>204</v>
      </c>
      <c r="S170" s="173" t="s">
        <v>912</v>
      </c>
      <c r="T170" s="173" t="s">
        <v>912</v>
      </c>
      <c r="U170" s="173" t="s">
        <v>912</v>
      </c>
      <c r="V170" s="17" t="s">
        <v>150</v>
      </c>
      <c r="W170" s="17" t="s">
        <v>127</v>
      </c>
      <c r="X170" s="17" t="s">
        <v>139</v>
      </c>
      <c r="Y170" s="58">
        <v>115571</v>
      </c>
      <c r="Z170" s="17">
        <v>494</v>
      </c>
      <c r="AA170" s="58">
        <v>234</v>
      </c>
      <c r="AB170" s="21">
        <v>38</v>
      </c>
      <c r="AC170" s="21">
        <v>228</v>
      </c>
      <c r="AD170" s="21">
        <v>228</v>
      </c>
      <c r="AE170" s="17" t="s">
        <v>913</v>
      </c>
      <c r="AF170" s="17" t="s">
        <v>129</v>
      </c>
      <c r="AG170" s="17"/>
      <c r="AI170" s="17" t="s">
        <v>130</v>
      </c>
      <c r="AJ170" s="21">
        <v>0</v>
      </c>
      <c r="AK170" s="58">
        <v>0</v>
      </c>
      <c r="AL170" s="21">
        <v>0</v>
      </c>
      <c r="AM170" s="58">
        <f t="shared" si="140"/>
        <v>0</v>
      </c>
      <c r="AN170" s="21">
        <v>0</v>
      </c>
      <c r="AO170" s="58">
        <f t="shared" si="141"/>
        <v>0</v>
      </c>
      <c r="AP170" s="21">
        <v>0</v>
      </c>
      <c r="AQ170" s="58">
        <f t="shared" si="142"/>
        <v>0</v>
      </c>
      <c r="AR170" s="21">
        <v>0</v>
      </c>
      <c r="AS170" s="58">
        <f t="shared" si="143"/>
        <v>0</v>
      </c>
      <c r="AT170" s="21">
        <v>0</v>
      </c>
      <c r="AU170" s="58">
        <f t="shared" si="144"/>
        <v>0</v>
      </c>
      <c r="AV170" s="21">
        <v>0</v>
      </c>
      <c r="AW170" s="58">
        <v>0</v>
      </c>
      <c r="AX170" s="31">
        <v>0</v>
      </c>
      <c r="AY170" s="58">
        <v>0</v>
      </c>
      <c r="AZ170" s="31">
        <v>0</v>
      </c>
      <c r="BA170" s="58">
        <v>0</v>
      </c>
      <c r="BB170" s="31">
        <v>0</v>
      </c>
      <c r="BC170" s="58">
        <v>0</v>
      </c>
      <c r="BD170" s="31">
        <v>0</v>
      </c>
      <c r="BE170" s="58">
        <v>0</v>
      </c>
      <c r="BF170" s="31">
        <v>0</v>
      </c>
      <c r="BG170" s="58">
        <v>0</v>
      </c>
      <c r="BH170" s="31">
        <v>0</v>
      </c>
      <c r="BI170" s="58">
        <v>0</v>
      </c>
      <c r="BJ170" s="31">
        <v>0</v>
      </c>
      <c r="BK170" s="58">
        <v>0</v>
      </c>
      <c r="BL170" s="17" t="s">
        <v>130</v>
      </c>
      <c r="BM170" s="31">
        <v>38</v>
      </c>
      <c r="BN170" s="31">
        <v>228</v>
      </c>
      <c r="BO170" s="31">
        <v>228</v>
      </c>
      <c r="BP170" s="31">
        <f t="shared" si="148"/>
        <v>494</v>
      </c>
      <c r="BQ170" s="58">
        <v>234</v>
      </c>
      <c r="BR170" s="58">
        <f>Table1[[#This Row],[Check 2 Students Total]]*Table1[[#This Row],[Summer 2018 Price Check]]</f>
        <v>115596</v>
      </c>
      <c r="BS170" s="31">
        <f>IF(Table1[[#This Row],[Sustainability Check 2 (2018-2019) Status]]="Continued", Table1[[#This Row],[Check 2 Students Summer]], 0)</f>
        <v>38</v>
      </c>
      <c r="BT170" s="58">
        <f>Table1[[#This Row],[Summer 2018 Price Check]]*BS170</f>
        <v>8892</v>
      </c>
      <c r="BU170" s="31">
        <f>IF(Table1[[#This Row],[Sustainability Check 2 (2018-2019) Status]]="Continued", Table1[[#This Row],[Check 2 Students Fall]], 0)</f>
        <v>228</v>
      </c>
      <c r="BV170" s="58">
        <f>Table1[[#This Row],[Summer 2018 Price Check]]*BU170</f>
        <v>53352</v>
      </c>
      <c r="BW170" s="21">
        <f>IF(Table1[[#This Row],[Sustainability Check 2 (2018-2019) Status]]="Continued", Table1[Check 2 Students Spring], 0)</f>
        <v>228</v>
      </c>
      <c r="BX170" s="58">
        <f>Table1[[#This Row],[Summer 2018 Price Check]]*Table1[[#This Row],[Spring 2019 Students]]</f>
        <v>53352</v>
      </c>
      <c r="BY170" s="31">
        <f t="shared" si="130"/>
        <v>494</v>
      </c>
      <c r="BZ170" s="58">
        <f t="shared" si="131"/>
        <v>115596</v>
      </c>
      <c r="CA170" s="17" t="s">
        <v>130</v>
      </c>
      <c r="CB170" s="21">
        <v>20</v>
      </c>
      <c r="CC170" s="21">
        <v>160</v>
      </c>
      <c r="CD170" s="21">
        <v>160</v>
      </c>
      <c r="CE170" s="21">
        <f t="shared" si="152"/>
        <v>340</v>
      </c>
      <c r="CF170" s="58">
        <v>100</v>
      </c>
      <c r="CG170" s="58">
        <f t="shared" si="133"/>
        <v>34000</v>
      </c>
      <c r="CH170" s="17" t="s">
        <v>913</v>
      </c>
      <c r="CI170" s="21">
        <f>IF(Table1[[#This Row],[Check 3 Status]]="Continued", Table1[[#This Row],[Check 3 Students Summer]], 0)</f>
        <v>20</v>
      </c>
      <c r="CJ170" s="58">
        <f>Table1[[#This Row],[Check 3 Per Student Savings]]*CI170</f>
        <v>2000</v>
      </c>
      <c r="CK170" s="21">
        <f>IF(Table1[[#This Row],[Check 3 Status]]="Continued", Table1[[#This Row],[Check 3 Students Fall]], 0)</f>
        <v>160</v>
      </c>
      <c r="CL170" s="58">
        <f>Table1[[#This Row],[Check 3 Per Student Savings]]*CK170</f>
        <v>16000</v>
      </c>
      <c r="CM170" s="21">
        <f>IF(Table1[[#This Row],[Check 3 Status]]="Continued", Table1[[#This Row],[Check 3 Students Spring]], 0)</f>
        <v>160</v>
      </c>
      <c r="CN170" s="58">
        <f>Table1[[#This Row],[Check 3 Per Student Savings]]*CM170</f>
        <v>16000</v>
      </c>
      <c r="CO170" s="21">
        <f t="shared" si="134"/>
        <v>340</v>
      </c>
      <c r="CP170" s="58">
        <f t="shared" si="135"/>
        <v>34000</v>
      </c>
      <c r="CQ170" s="58" t="s">
        <v>130</v>
      </c>
      <c r="CR170" s="21">
        <v>20</v>
      </c>
      <c r="CS170" s="21">
        <v>160</v>
      </c>
      <c r="CT170" s="21">
        <v>160</v>
      </c>
      <c r="CU170" s="21">
        <f t="shared" si="136"/>
        <v>340</v>
      </c>
      <c r="CV170" s="58">
        <v>100</v>
      </c>
      <c r="CW170" s="58">
        <f t="shared" si="137"/>
        <v>34000</v>
      </c>
      <c r="CX170" s="58"/>
      <c r="CY170" s="21">
        <f>IF(Table1[[#This Row],[Check 4 Status]]="Continued", Table1[[#This Row],[Check 4 Students Summer]], 0)</f>
        <v>20</v>
      </c>
      <c r="CZ170" s="58">
        <f>Table1[[#This Row],[Check 4 Per Student Savings]]*CY170</f>
        <v>2000</v>
      </c>
      <c r="DA170" s="21">
        <f>IF(Table1[[#This Row],[Check 4 Status]]="Continued", Table1[[#This Row],[Check 4 Students Fall]], 0)</f>
        <v>160</v>
      </c>
      <c r="DB170" s="58">
        <f>Table1[[#This Row],[Check 4 Per Student Savings]]*DA170</f>
        <v>16000</v>
      </c>
      <c r="DC170" s="21">
        <f>IF(Table1[[#This Row],[Check 4 Status]]="Continued", Table1[[#This Row],[Check 4 Students Spring]], 0)</f>
        <v>160</v>
      </c>
      <c r="DD170" s="58">
        <f>Table1[[#This Row],[Check 4 Per Student Savings]]*DC170</f>
        <v>16000</v>
      </c>
      <c r="DE170" s="58">
        <f t="shared" si="138"/>
        <v>340</v>
      </c>
      <c r="DF170" s="58">
        <f t="shared" si="139"/>
        <v>34000</v>
      </c>
      <c r="DG17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1174</v>
      </c>
      <c r="DH17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183596</v>
      </c>
      <c r="DI170" s="58">
        <f>Table1[[#This Row],[Grand Total Savings]]/Table1[[#This Row],[Total Award]]</f>
        <v>16.999629629629631</v>
      </c>
      <c r="DJ170" s="17"/>
      <c r="DK170" s="17"/>
      <c r="DL170" s="17"/>
      <c r="DM170" s="17"/>
      <c r="EC170" s="17"/>
      <c r="ED170" s="17"/>
      <c r="EE170" s="17"/>
      <c r="EF170" s="17"/>
    </row>
    <row r="171" spans="1:136" x14ac:dyDescent="0.25">
      <c r="A171" s="159">
        <v>333</v>
      </c>
      <c r="B171" s="17" t="s">
        <v>2011</v>
      </c>
      <c r="D171" s="97">
        <v>513789</v>
      </c>
      <c r="E171" s="165">
        <v>43122</v>
      </c>
      <c r="F171" s="158">
        <v>43472</v>
      </c>
      <c r="G171" s="159">
        <v>10</v>
      </c>
      <c r="H171" s="95" t="s">
        <v>7</v>
      </c>
      <c r="I171" s="226" t="s">
        <v>118</v>
      </c>
      <c r="J171" s="17" t="s">
        <v>419</v>
      </c>
      <c r="K171" s="107">
        <v>10800</v>
      </c>
      <c r="L171" s="107"/>
      <c r="M171" s="101" t="s">
        <v>914</v>
      </c>
      <c r="N171" s="101" t="s">
        <v>915</v>
      </c>
      <c r="O171" s="101" t="s">
        <v>916</v>
      </c>
      <c r="P171" s="101" t="s">
        <v>917</v>
      </c>
      <c r="Q171" s="101" t="s">
        <v>148</v>
      </c>
      <c r="R171" s="101" t="s">
        <v>918</v>
      </c>
      <c r="S171" s="173" t="s">
        <v>912</v>
      </c>
      <c r="T171" s="173" t="s">
        <v>912</v>
      </c>
      <c r="U171" s="173" t="s">
        <v>912</v>
      </c>
      <c r="V171" s="17" t="s">
        <v>150</v>
      </c>
      <c r="W171" s="17" t="s">
        <v>150</v>
      </c>
      <c r="X171" s="17" t="s">
        <v>139</v>
      </c>
      <c r="Y171" s="58">
        <v>51960</v>
      </c>
      <c r="Z171" s="17">
        <v>210</v>
      </c>
      <c r="AA171" s="58">
        <v>247</v>
      </c>
      <c r="AB171" s="21">
        <v>30</v>
      </c>
      <c r="AC171" s="21">
        <v>90</v>
      </c>
      <c r="AD171" s="21">
        <v>90</v>
      </c>
      <c r="AE171" s="17" t="s">
        <v>675</v>
      </c>
      <c r="AF171" s="17" t="s">
        <v>129</v>
      </c>
      <c r="AG171" s="17"/>
      <c r="AI171" s="17" t="s">
        <v>130</v>
      </c>
      <c r="AJ171" s="21">
        <v>0</v>
      </c>
      <c r="AK171" s="58">
        <v>0</v>
      </c>
      <c r="AL171" s="21">
        <v>0</v>
      </c>
      <c r="AM171" s="58">
        <f t="shared" si="140"/>
        <v>0</v>
      </c>
      <c r="AN171" s="21">
        <v>0</v>
      </c>
      <c r="AO171" s="58">
        <f t="shared" si="141"/>
        <v>0</v>
      </c>
      <c r="AP171" s="21">
        <v>0</v>
      </c>
      <c r="AQ171" s="58">
        <f t="shared" si="142"/>
        <v>0</v>
      </c>
      <c r="AR171" s="21">
        <v>0</v>
      </c>
      <c r="AS171" s="58">
        <f t="shared" si="143"/>
        <v>0</v>
      </c>
      <c r="AT171" s="21">
        <v>0</v>
      </c>
      <c r="AU171" s="58">
        <f t="shared" si="144"/>
        <v>0</v>
      </c>
      <c r="AV171" s="21">
        <v>0</v>
      </c>
      <c r="AW171" s="58">
        <v>0</v>
      </c>
      <c r="AX171" s="31">
        <v>0</v>
      </c>
      <c r="AY171" s="58">
        <v>0</v>
      </c>
      <c r="AZ171" s="31">
        <v>0</v>
      </c>
      <c r="BA171" s="58">
        <v>0</v>
      </c>
      <c r="BB171" s="31">
        <v>0</v>
      </c>
      <c r="BC171" s="58">
        <v>0</v>
      </c>
      <c r="BD171" s="31">
        <v>0</v>
      </c>
      <c r="BE171" s="58">
        <v>0</v>
      </c>
      <c r="BF171" s="31">
        <v>0</v>
      </c>
      <c r="BG171" s="58">
        <v>0</v>
      </c>
      <c r="BH171" s="31">
        <v>0</v>
      </c>
      <c r="BI171" s="58">
        <v>0</v>
      </c>
      <c r="BJ171" s="31">
        <v>0</v>
      </c>
      <c r="BK171" s="58">
        <v>0</v>
      </c>
      <c r="BL171" s="17" t="s">
        <v>130</v>
      </c>
      <c r="BM171" s="31">
        <v>30</v>
      </c>
      <c r="BN171" s="31">
        <v>90</v>
      </c>
      <c r="BO171" s="31">
        <v>90</v>
      </c>
      <c r="BP171" s="31">
        <f t="shared" si="148"/>
        <v>210</v>
      </c>
      <c r="BQ171" s="58">
        <v>247</v>
      </c>
      <c r="BR171" s="58">
        <f>Table1[[#This Row],[Check 2 Students Total]]*Table1[[#This Row],[Summer 2018 Price Check]]</f>
        <v>51870</v>
      </c>
      <c r="BS171" s="31">
        <v>0</v>
      </c>
      <c r="BT171" s="58">
        <f>Table1[[#This Row],[Summer 2018 Price Check]]*BS171</f>
        <v>0</v>
      </c>
      <c r="BU171" s="31">
        <f>IF(Table1[[#This Row],[Sustainability Check 2 (2018-2019) Status]]="Continued", Table1[[#This Row],[Check 2 Students Fall]], 0)</f>
        <v>90</v>
      </c>
      <c r="BV171" s="58">
        <f>Table1[[#This Row],[Summer 2018 Price Check]]*BU171</f>
        <v>22230</v>
      </c>
      <c r="BW171" s="21">
        <f>IF(Table1[[#This Row],[Sustainability Check 2 (2018-2019) Status]]="Continued", Table1[Check 2 Students Spring], 0)</f>
        <v>90</v>
      </c>
      <c r="BX171" s="58">
        <f>Table1[[#This Row],[Summer 2018 Price Check]]*Table1[[#This Row],[Spring 2019 Students]]</f>
        <v>22230</v>
      </c>
      <c r="BY171" s="31">
        <f t="shared" si="130"/>
        <v>180</v>
      </c>
      <c r="BZ171" s="58">
        <f t="shared" si="131"/>
        <v>44460</v>
      </c>
      <c r="CA171" s="17" t="s">
        <v>130</v>
      </c>
      <c r="CB171" s="21">
        <v>0</v>
      </c>
      <c r="CC171" s="21">
        <v>90</v>
      </c>
      <c r="CD171" s="21">
        <v>90</v>
      </c>
      <c r="CE171" s="21">
        <f t="shared" si="152"/>
        <v>180</v>
      </c>
      <c r="CF171" s="58">
        <v>247</v>
      </c>
      <c r="CG171" s="58">
        <f t="shared" si="133"/>
        <v>44460</v>
      </c>
      <c r="CH171" s="17" t="s">
        <v>675</v>
      </c>
      <c r="CI171" s="21">
        <f>IF(Table1[[#This Row],[Check 3 Status]]="Continued", Table1[[#This Row],[Check 3 Students Summer]], 0)</f>
        <v>0</v>
      </c>
      <c r="CJ171" s="58">
        <f>Table1[[#This Row],[Check 3 Per Student Savings]]*CI171</f>
        <v>0</v>
      </c>
      <c r="CK171" s="21">
        <f>IF(Table1[[#This Row],[Check 3 Status]]="Continued", Table1[[#This Row],[Check 3 Students Fall]], 0)</f>
        <v>90</v>
      </c>
      <c r="CL171" s="58">
        <f>Table1[[#This Row],[Check 3 Per Student Savings]]*CK171</f>
        <v>22230</v>
      </c>
      <c r="CM171" s="21">
        <f>IF(Table1[[#This Row],[Check 3 Status]]="Continued", Table1[[#This Row],[Check 3 Students Spring]], 0)</f>
        <v>90</v>
      </c>
      <c r="CN171" s="58">
        <f>Table1[[#This Row],[Check 3 Per Student Savings]]*CM171</f>
        <v>22230</v>
      </c>
      <c r="CO171" s="21">
        <f t="shared" si="134"/>
        <v>180</v>
      </c>
      <c r="CP171" s="58">
        <f t="shared" si="135"/>
        <v>44460</v>
      </c>
      <c r="CQ171" s="58" t="s">
        <v>130</v>
      </c>
      <c r="CR171" s="21">
        <v>0</v>
      </c>
      <c r="CS171" s="21">
        <v>90</v>
      </c>
      <c r="CT171" s="21">
        <v>90</v>
      </c>
      <c r="CU171" s="21">
        <f t="shared" si="136"/>
        <v>180</v>
      </c>
      <c r="CV171" s="58">
        <v>247</v>
      </c>
      <c r="CW171" s="58">
        <f t="shared" si="137"/>
        <v>44460</v>
      </c>
      <c r="CX171" s="58"/>
      <c r="CY171" s="21">
        <f>IF(Table1[[#This Row],[Check 4 Status]]="Continued", Table1[[#This Row],[Check 4 Students Summer]], 0)</f>
        <v>0</v>
      </c>
      <c r="CZ171" s="58">
        <f>Table1[[#This Row],[Check 4 Per Student Savings]]*CY171</f>
        <v>0</v>
      </c>
      <c r="DA171" s="21">
        <f>IF(Table1[[#This Row],[Check 4 Status]]="Continued", Table1[[#This Row],[Check 4 Students Fall]], 0)</f>
        <v>90</v>
      </c>
      <c r="DB171" s="58">
        <f>Table1[[#This Row],[Check 4 Per Student Savings]]*DA171</f>
        <v>22230</v>
      </c>
      <c r="DC171" s="21">
        <f>IF(Table1[[#This Row],[Check 4 Status]]="Continued", Table1[[#This Row],[Check 4 Students Spring]], 0)</f>
        <v>90</v>
      </c>
      <c r="DD171" s="58">
        <f>Table1[[#This Row],[Check 4 Per Student Savings]]*DC171</f>
        <v>22230</v>
      </c>
      <c r="DE171" s="58">
        <f t="shared" si="138"/>
        <v>180</v>
      </c>
      <c r="DF171" s="58">
        <f t="shared" si="139"/>
        <v>44460</v>
      </c>
      <c r="DG17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540</v>
      </c>
      <c r="DH17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133380</v>
      </c>
      <c r="DI171" s="58">
        <f>Table1[[#This Row],[Grand Total Savings]]/Table1[[#This Row],[Total Award]]</f>
        <v>12.35</v>
      </c>
      <c r="DJ171" s="17"/>
      <c r="DK171" s="17"/>
      <c r="DL171" s="17"/>
      <c r="DM171" s="17"/>
      <c r="EC171" s="17"/>
      <c r="ED171" s="17"/>
      <c r="EE171" s="17"/>
      <c r="EF171" s="17"/>
    </row>
    <row r="172" spans="1:136" x14ac:dyDescent="0.25">
      <c r="A172" s="157">
        <v>334</v>
      </c>
      <c r="B172" s="17" t="s">
        <v>2011</v>
      </c>
      <c r="D172" s="97">
        <v>513573</v>
      </c>
      <c r="E172" s="165">
        <v>43070</v>
      </c>
      <c r="F172" s="158">
        <v>43472</v>
      </c>
      <c r="G172" s="157">
        <v>10</v>
      </c>
      <c r="H172" s="95" t="s">
        <v>7</v>
      </c>
      <c r="I172" s="226" t="s">
        <v>118</v>
      </c>
      <c r="J172" s="17" t="s">
        <v>132</v>
      </c>
      <c r="K172" s="107">
        <v>30000</v>
      </c>
      <c r="L172" s="107"/>
      <c r="M172" s="101" t="s">
        <v>919</v>
      </c>
      <c r="N172" s="101" t="s">
        <v>920</v>
      </c>
      <c r="O172" s="101" t="s">
        <v>921</v>
      </c>
      <c r="P172" s="101" t="s">
        <v>922</v>
      </c>
      <c r="Q172" s="101" t="s">
        <v>177</v>
      </c>
      <c r="R172" s="101" t="s">
        <v>129</v>
      </c>
      <c r="S172" s="173" t="s">
        <v>912</v>
      </c>
      <c r="T172" s="173" t="s">
        <v>912</v>
      </c>
      <c r="U172" s="173" t="s">
        <v>912</v>
      </c>
      <c r="V172" s="17" t="s">
        <v>150</v>
      </c>
      <c r="W172" s="17" t="s">
        <v>127</v>
      </c>
      <c r="X172" s="17" t="s">
        <v>127</v>
      </c>
      <c r="Y172" s="58">
        <v>74411</v>
      </c>
      <c r="Z172" s="17">
        <v>600</v>
      </c>
      <c r="AA172" s="58">
        <v>124</v>
      </c>
      <c r="AB172" s="21">
        <v>95</v>
      </c>
      <c r="AC172" s="21">
        <v>253</v>
      </c>
      <c r="AD172" s="21">
        <v>253</v>
      </c>
      <c r="AE172" s="17" t="s">
        <v>913</v>
      </c>
      <c r="AF172" s="17" t="s">
        <v>129</v>
      </c>
      <c r="AG172" s="17"/>
      <c r="AI172" s="17" t="s">
        <v>130</v>
      </c>
      <c r="AJ172" s="21">
        <v>0</v>
      </c>
      <c r="AK172" s="58">
        <v>0</v>
      </c>
      <c r="AL172" s="21">
        <v>0</v>
      </c>
      <c r="AM172" s="58">
        <f t="shared" si="140"/>
        <v>0</v>
      </c>
      <c r="AN172" s="21">
        <v>0</v>
      </c>
      <c r="AO172" s="58">
        <f t="shared" si="141"/>
        <v>0</v>
      </c>
      <c r="AP172" s="21">
        <v>0</v>
      </c>
      <c r="AQ172" s="58">
        <f t="shared" si="142"/>
        <v>0</v>
      </c>
      <c r="AR172" s="21">
        <v>0</v>
      </c>
      <c r="AS172" s="58">
        <f t="shared" si="143"/>
        <v>0</v>
      </c>
      <c r="AT172" s="21">
        <v>0</v>
      </c>
      <c r="AU172" s="58">
        <f t="shared" si="144"/>
        <v>0</v>
      </c>
      <c r="AV172" s="21">
        <v>0</v>
      </c>
      <c r="AW172" s="58">
        <v>0</v>
      </c>
      <c r="AX172" s="31">
        <v>0</v>
      </c>
      <c r="AY172" s="58">
        <v>0</v>
      </c>
      <c r="AZ172" s="31">
        <v>0</v>
      </c>
      <c r="BA172" s="58">
        <v>0</v>
      </c>
      <c r="BB172" s="31">
        <v>0</v>
      </c>
      <c r="BC172" s="58">
        <v>0</v>
      </c>
      <c r="BD172" s="31">
        <v>0</v>
      </c>
      <c r="BE172" s="58">
        <v>0</v>
      </c>
      <c r="BF172" s="31">
        <v>0</v>
      </c>
      <c r="BG172" s="58">
        <v>0</v>
      </c>
      <c r="BH172" s="31">
        <v>0</v>
      </c>
      <c r="BI172" s="58">
        <v>0</v>
      </c>
      <c r="BJ172" s="31">
        <v>0</v>
      </c>
      <c r="BK172" s="58">
        <v>0</v>
      </c>
      <c r="BL172" s="17" t="s">
        <v>130</v>
      </c>
      <c r="BM172" s="31">
        <v>95</v>
      </c>
      <c r="BN172" s="31">
        <v>253</v>
      </c>
      <c r="BO172" s="31">
        <v>253</v>
      </c>
      <c r="BP172" s="31">
        <f t="shared" si="148"/>
        <v>601</v>
      </c>
      <c r="BQ172" s="58">
        <v>124</v>
      </c>
      <c r="BR172" s="58">
        <f>Table1[[#This Row],[Check 2 Students Total]]*Table1[[#This Row],[Summer 2018 Price Check]]</f>
        <v>74524</v>
      </c>
      <c r="BS172" s="31">
        <f>IF(Table1[[#This Row],[Sustainability Check 2 (2018-2019) Status]]="Continued", Table1[[#This Row],[Check 2 Students Summer]], 0)</f>
        <v>95</v>
      </c>
      <c r="BT172" s="58">
        <f>Table1[[#This Row],[Summer 2018 Price Check]]*BS172</f>
        <v>11780</v>
      </c>
      <c r="BU172" s="31">
        <f>IF(Table1[[#This Row],[Sustainability Check 2 (2018-2019) Status]]="Continued", Table1[[#This Row],[Check 2 Students Fall]], 0)</f>
        <v>253</v>
      </c>
      <c r="BV172" s="58">
        <f>Table1[[#This Row],[Summer 2018 Price Check]]*BU172</f>
        <v>31372</v>
      </c>
      <c r="BW172" s="21">
        <f>IF(Table1[[#This Row],[Sustainability Check 2 (2018-2019) Status]]="Continued", Table1[Check 2 Students Spring], 0)</f>
        <v>253</v>
      </c>
      <c r="BX172" s="58">
        <f>Table1[[#This Row],[Summer 2018 Price Check]]*Table1[[#This Row],[Spring 2019 Students]]</f>
        <v>31372</v>
      </c>
      <c r="BY172" s="31">
        <f t="shared" si="130"/>
        <v>601</v>
      </c>
      <c r="BZ172" s="58">
        <f t="shared" si="131"/>
        <v>74524</v>
      </c>
      <c r="CA172" s="17" t="s">
        <v>130</v>
      </c>
      <c r="CB172" s="21">
        <v>95</v>
      </c>
      <c r="CC172" s="21">
        <v>253</v>
      </c>
      <c r="CD172" s="21">
        <v>253</v>
      </c>
      <c r="CE172" s="21">
        <f t="shared" ref="CE172:CE193" si="153">CB172+CC172+CD172</f>
        <v>601</v>
      </c>
      <c r="CF172" s="58">
        <v>124</v>
      </c>
      <c r="CG172" s="58">
        <f t="shared" si="133"/>
        <v>74524</v>
      </c>
      <c r="CH172" s="17" t="s">
        <v>913</v>
      </c>
      <c r="CI172" s="21">
        <f>IF(Table1[[#This Row],[Check 3 Status]]="Continued", Table1[[#This Row],[Check 3 Students Summer]], 0)</f>
        <v>95</v>
      </c>
      <c r="CJ172" s="58">
        <f>Table1[[#This Row],[Check 3 Per Student Savings]]*CI172</f>
        <v>11780</v>
      </c>
      <c r="CK172" s="21">
        <f>IF(Table1[[#This Row],[Check 3 Status]]="Continued", Table1[[#This Row],[Check 3 Students Fall]], 0)</f>
        <v>253</v>
      </c>
      <c r="CL172" s="58">
        <f>Table1[[#This Row],[Check 3 Per Student Savings]]*CK172</f>
        <v>31372</v>
      </c>
      <c r="CM172" s="21">
        <f>IF(Table1[[#This Row],[Check 3 Status]]="Continued", Table1[[#This Row],[Check 3 Students Spring]], 0)</f>
        <v>253</v>
      </c>
      <c r="CN172" s="58">
        <f>Table1[[#This Row],[Check 3 Per Student Savings]]*CM172</f>
        <v>31372</v>
      </c>
      <c r="CO172" s="21">
        <f t="shared" si="134"/>
        <v>601</v>
      </c>
      <c r="CP172" s="58">
        <f t="shared" si="135"/>
        <v>74524</v>
      </c>
      <c r="CQ172" s="58" t="s">
        <v>130</v>
      </c>
      <c r="CR172" s="21">
        <v>95</v>
      </c>
      <c r="CS172" s="21">
        <v>253</v>
      </c>
      <c r="CT172" s="21">
        <v>253</v>
      </c>
      <c r="CU172" s="21">
        <f t="shared" si="136"/>
        <v>601</v>
      </c>
      <c r="CV172" s="58">
        <v>124</v>
      </c>
      <c r="CW172" s="58">
        <f t="shared" si="137"/>
        <v>74524</v>
      </c>
      <c r="CX172" s="58"/>
      <c r="CY172" s="21">
        <f>IF(Table1[[#This Row],[Check 4 Status]]="Continued", Table1[[#This Row],[Check 4 Students Summer]], 0)</f>
        <v>95</v>
      </c>
      <c r="CZ172" s="58">
        <f>Table1[[#This Row],[Check 4 Per Student Savings]]*CY172</f>
        <v>11780</v>
      </c>
      <c r="DA172" s="21">
        <f>IF(Table1[[#This Row],[Check 4 Status]]="Continued", Table1[[#This Row],[Check 4 Students Fall]], 0)</f>
        <v>253</v>
      </c>
      <c r="DB172" s="58">
        <f>Table1[[#This Row],[Check 4 Per Student Savings]]*DA172</f>
        <v>31372</v>
      </c>
      <c r="DC172" s="21">
        <f>IF(Table1[[#This Row],[Check 4 Status]]="Continued", Table1[[#This Row],[Check 4 Students Spring]], 0)</f>
        <v>253</v>
      </c>
      <c r="DD172" s="58">
        <f>Table1[[#This Row],[Check 4 Per Student Savings]]*DC172</f>
        <v>31372</v>
      </c>
      <c r="DE172" s="58">
        <f t="shared" si="138"/>
        <v>601</v>
      </c>
      <c r="DF172" s="58">
        <f t="shared" si="139"/>
        <v>74524</v>
      </c>
      <c r="DG17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1803</v>
      </c>
      <c r="DH17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223572</v>
      </c>
      <c r="DI172" s="58">
        <f>Table1[[#This Row],[Grand Total Savings]]/Table1[[#This Row],[Total Award]]</f>
        <v>7.4523999999999999</v>
      </c>
      <c r="DJ172" s="17"/>
      <c r="DK172" s="17"/>
      <c r="DL172" s="17"/>
      <c r="DM172" s="17"/>
      <c r="EC172" s="17"/>
      <c r="ED172" s="17"/>
      <c r="EE172" s="17"/>
      <c r="EF172" s="17"/>
    </row>
    <row r="173" spans="1:136" x14ac:dyDescent="0.25">
      <c r="A173" s="159">
        <v>335</v>
      </c>
      <c r="B173" s="17" t="s">
        <v>2011</v>
      </c>
      <c r="D173" s="97">
        <v>513852</v>
      </c>
      <c r="E173" s="165">
        <v>43145</v>
      </c>
      <c r="F173" s="165">
        <v>43339</v>
      </c>
      <c r="G173" s="157">
        <v>10</v>
      </c>
      <c r="H173" s="95" t="s">
        <v>7</v>
      </c>
      <c r="I173" s="226" t="s">
        <v>118</v>
      </c>
      <c r="J173" s="17" t="s">
        <v>388</v>
      </c>
      <c r="K173" s="107">
        <v>25800</v>
      </c>
      <c r="L173" s="107"/>
      <c r="M173" s="101" t="s">
        <v>696</v>
      </c>
      <c r="N173" s="101" t="s">
        <v>923</v>
      </c>
      <c r="O173" s="101" t="s">
        <v>924</v>
      </c>
      <c r="P173" s="101" t="s">
        <v>925</v>
      </c>
      <c r="Q173" s="101" t="s">
        <v>177</v>
      </c>
      <c r="R173" s="101" t="s">
        <v>129</v>
      </c>
      <c r="S173" s="173" t="s">
        <v>912</v>
      </c>
      <c r="T173" s="173" t="s">
        <v>912</v>
      </c>
      <c r="U173" s="173" t="s">
        <v>912</v>
      </c>
      <c r="V173" s="17" t="s">
        <v>150</v>
      </c>
      <c r="W173" s="17" t="s">
        <v>127</v>
      </c>
      <c r="X173" s="17" t="s">
        <v>127</v>
      </c>
      <c r="Y173" s="58">
        <v>81930</v>
      </c>
      <c r="Z173" s="17">
        <v>534</v>
      </c>
      <c r="AA173" s="58">
        <v>153</v>
      </c>
      <c r="AB173" s="21">
        <v>148</v>
      </c>
      <c r="AC173" s="21">
        <v>178</v>
      </c>
      <c r="AD173" s="21">
        <v>208</v>
      </c>
      <c r="AE173" s="17" t="s">
        <v>913</v>
      </c>
      <c r="AF173" s="17" t="s">
        <v>129</v>
      </c>
      <c r="AG173" s="17"/>
      <c r="AI173" s="17" t="s">
        <v>130</v>
      </c>
      <c r="AJ173" s="21">
        <v>0</v>
      </c>
      <c r="AK173" s="58">
        <v>0</v>
      </c>
      <c r="AL173" s="21">
        <v>0</v>
      </c>
      <c r="AM173" s="58">
        <f t="shared" si="140"/>
        <v>0</v>
      </c>
      <c r="AN173" s="21">
        <v>0</v>
      </c>
      <c r="AO173" s="58">
        <f t="shared" si="141"/>
        <v>0</v>
      </c>
      <c r="AP173" s="21">
        <v>0</v>
      </c>
      <c r="AQ173" s="58">
        <f t="shared" si="142"/>
        <v>0</v>
      </c>
      <c r="AR173" s="21">
        <v>0</v>
      </c>
      <c r="AS173" s="58">
        <f t="shared" si="143"/>
        <v>0</v>
      </c>
      <c r="AT173" s="21">
        <v>0</v>
      </c>
      <c r="AU173" s="58">
        <f t="shared" si="144"/>
        <v>0</v>
      </c>
      <c r="AV173" s="21">
        <v>0</v>
      </c>
      <c r="AW173" s="58">
        <v>0</v>
      </c>
      <c r="AX173" s="31">
        <v>0</v>
      </c>
      <c r="AY173" s="58">
        <v>0</v>
      </c>
      <c r="AZ173" s="31">
        <v>0</v>
      </c>
      <c r="BA173" s="58">
        <v>0</v>
      </c>
      <c r="BB173" s="31">
        <v>0</v>
      </c>
      <c r="BC173" s="58">
        <v>0</v>
      </c>
      <c r="BD173" s="31">
        <v>0</v>
      </c>
      <c r="BE173" s="58">
        <v>0</v>
      </c>
      <c r="BF173" s="31">
        <v>0</v>
      </c>
      <c r="BG173" s="58">
        <v>0</v>
      </c>
      <c r="BH173" s="31">
        <v>0</v>
      </c>
      <c r="BI173" s="58">
        <v>0</v>
      </c>
      <c r="BJ173" s="31">
        <v>0</v>
      </c>
      <c r="BK173" s="58">
        <v>0</v>
      </c>
      <c r="BL173" s="17" t="s">
        <v>130</v>
      </c>
      <c r="BM173" s="31">
        <v>118</v>
      </c>
      <c r="BN173" s="31">
        <v>203</v>
      </c>
      <c r="BO173" s="31">
        <v>132</v>
      </c>
      <c r="BP173" s="31">
        <f t="shared" si="148"/>
        <v>453</v>
      </c>
      <c r="BQ173" s="58">
        <v>153</v>
      </c>
      <c r="BR173" s="58">
        <f>Table1[[#This Row],[Check 2 Students Total]]*Table1[[#This Row],[Summer 2018 Price Check]]</f>
        <v>69309</v>
      </c>
      <c r="BS173" s="31">
        <f>IF(Table1[[#This Row],[Sustainability Check 2 (2018-2019) Status]]="Continued", Table1[[#This Row],[Check 2 Students Summer]], 0)</f>
        <v>118</v>
      </c>
      <c r="BT173" s="58">
        <f>Table1[[#This Row],[Summer 2018 Price Check]]*BS173</f>
        <v>18054</v>
      </c>
      <c r="BU173" s="31">
        <f>IF(Table1[[#This Row],[Sustainability Check 2 (2018-2019) Status]]="Continued", Table1[[#This Row],[Check 2 Students Fall]], 0)</f>
        <v>203</v>
      </c>
      <c r="BV173" s="58">
        <f>Table1[[#This Row],[Summer 2018 Price Check]]*BU173</f>
        <v>31059</v>
      </c>
      <c r="BW173" s="21">
        <f>IF(Table1[[#This Row],[Sustainability Check 2 (2018-2019) Status]]="Continued", Table1[Check 2 Students Spring], 0)</f>
        <v>132</v>
      </c>
      <c r="BX173" s="58">
        <f>Table1[[#This Row],[Summer 2018 Price Check]]*Table1[[#This Row],[Spring 2019 Students]]</f>
        <v>20196</v>
      </c>
      <c r="BY173" s="31">
        <f t="shared" si="130"/>
        <v>453</v>
      </c>
      <c r="BZ173" s="58">
        <f t="shared" si="131"/>
        <v>69309</v>
      </c>
      <c r="CA173" s="17" t="s">
        <v>130</v>
      </c>
      <c r="CB173" s="21">
        <v>73</v>
      </c>
      <c r="CC173" s="21">
        <v>139</v>
      </c>
      <c r="CD173" s="21">
        <v>139</v>
      </c>
      <c r="CE173" s="21">
        <f t="shared" si="153"/>
        <v>351</v>
      </c>
      <c r="CF173" s="58">
        <v>184.21</v>
      </c>
      <c r="CG173" s="58">
        <f t="shared" si="133"/>
        <v>64657.710000000006</v>
      </c>
      <c r="CH173" s="17" t="s">
        <v>913</v>
      </c>
      <c r="CI173" s="21">
        <f>IF(Table1[[#This Row],[Check 3 Status]]="Continued", Table1[[#This Row],[Check 3 Students Summer]], 0)</f>
        <v>73</v>
      </c>
      <c r="CJ173" s="58">
        <f>Table1[[#This Row],[Check 3 Per Student Savings]]*CI173</f>
        <v>13447.33</v>
      </c>
      <c r="CK173" s="21">
        <f>IF(Table1[[#This Row],[Check 3 Status]]="Continued", Table1[[#This Row],[Check 3 Students Fall]], 0)</f>
        <v>139</v>
      </c>
      <c r="CL173" s="58">
        <f>Table1[[#This Row],[Check 3 Per Student Savings]]*CK173</f>
        <v>25605.190000000002</v>
      </c>
      <c r="CM173" s="21">
        <f>IF(Table1[[#This Row],[Check 3 Status]]="Continued", Table1[[#This Row],[Check 3 Students Spring]], 0)</f>
        <v>139</v>
      </c>
      <c r="CN173" s="58">
        <f>Table1[[#This Row],[Check 3 Per Student Savings]]*CM173</f>
        <v>25605.190000000002</v>
      </c>
      <c r="CO173" s="21">
        <f t="shared" si="134"/>
        <v>351</v>
      </c>
      <c r="CP173" s="58">
        <f t="shared" si="135"/>
        <v>64657.710000000006</v>
      </c>
      <c r="CQ173" s="58" t="s">
        <v>130</v>
      </c>
      <c r="CR173" s="21">
        <v>73</v>
      </c>
      <c r="CS173" s="21">
        <v>139</v>
      </c>
      <c r="CT173" s="21">
        <v>139</v>
      </c>
      <c r="CU173" s="21">
        <f t="shared" si="136"/>
        <v>351</v>
      </c>
      <c r="CV173" s="58">
        <v>184.21</v>
      </c>
      <c r="CW173" s="58">
        <f t="shared" si="137"/>
        <v>64657.710000000006</v>
      </c>
      <c r="CX173" s="58"/>
      <c r="CY173" s="21">
        <f>IF(Table1[[#This Row],[Check 4 Status]]="Continued", Table1[[#This Row],[Check 4 Students Summer]], 0)</f>
        <v>73</v>
      </c>
      <c r="CZ173" s="58">
        <f>Table1[[#This Row],[Check 4 Per Student Savings]]*CY173</f>
        <v>13447.33</v>
      </c>
      <c r="DA173" s="21">
        <f>IF(Table1[[#This Row],[Check 4 Status]]="Continued", Table1[[#This Row],[Check 4 Students Fall]], 0)</f>
        <v>139</v>
      </c>
      <c r="DB173" s="58">
        <f>Table1[[#This Row],[Check 4 Per Student Savings]]*DA173</f>
        <v>25605.190000000002</v>
      </c>
      <c r="DC173" s="21">
        <f>IF(Table1[[#This Row],[Check 4 Status]]="Continued", Table1[[#This Row],[Check 4 Students Spring]], 0)</f>
        <v>139</v>
      </c>
      <c r="DD173" s="58">
        <f>Table1[[#This Row],[Check 4 Per Student Savings]]*DC173</f>
        <v>25605.190000000002</v>
      </c>
      <c r="DE173" s="58">
        <f t="shared" si="138"/>
        <v>351</v>
      </c>
      <c r="DF173" s="58">
        <f t="shared" si="139"/>
        <v>64657.710000000006</v>
      </c>
      <c r="DG17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1155</v>
      </c>
      <c r="DH17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198624.42000000004</v>
      </c>
      <c r="DI173" s="58">
        <f>Table1[[#This Row],[Grand Total Savings]]/Table1[[#This Row],[Total Award]]</f>
        <v>7.6986209302325594</v>
      </c>
      <c r="DJ173" s="17"/>
      <c r="DK173" s="17"/>
      <c r="DL173" s="17"/>
      <c r="DM173" s="17"/>
      <c r="EC173" s="17"/>
      <c r="ED173" s="17"/>
      <c r="EE173" s="17"/>
      <c r="EF173" s="17"/>
    </row>
    <row r="174" spans="1:136" x14ac:dyDescent="0.25">
      <c r="A174" s="159">
        <v>336</v>
      </c>
      <c r="B174" s="17" t="s">
        <v>2011</v>
      </c>
      <c r="D174" s="97" t="s">
        <v>926</v>
      </c>
      <c r="E174" s="165">
        <v>43201</v>
      </c>
      <c r="F174" s="165">
        <v>43333</v>
      </c>
      <c r="G174" s="157">
        <v>10</v>
      </c>
      <c r="H174" s="95" t="s">
        <v>7</v>
      </c>
      <c r="I174" s="226" t="s">
        <v>118</v>
      </c>
      <c r="J174" s="17" t="s">
        <v>210</v>
      </c>
      <c r="K174" s="107">
        <v>10800</v>
      </c>
      <c r="L174" s="107"/>
      <c r="M174" s="101" t="s">
        <v>927</v>
      </c>
      <c r="N174" s="101" t="s">
        <v>928</v>
      </c>
      <c r="O174" s="101" t="s">
        <v>731</v>
      </c>
      <c r="P174" s="101" t="s">
        <v>929</v>
      </c>
      <c r="Q174" s="101" t="s">
        <v>272</v>
      </c>
      <c r="R174" s="101" t="s">
        <v>731</v>
      </c>
      <c r="S174" s="173" t="s">
        <v>912</v>
      </c>
      <c r="T174" s="173" t="s">
        <v>912</v>
      </c>
      <c r="U174" s="173" t="s">
        <v>912</v>
      </c>
      <c r="V174" s="17" t="s">
        <v>127</v>
      </c>
      <c r="W174" s="17" t="s">
        <v>127</v>
      </c>
      <c r="X174" s="17" t="s">
        <v>139</v>
      </c>
      <c r="Y174" s="58">
        <v>7100</v>
      </c>
      <c r="Z174" s="17">
        <v>77</v>
      </c>
      <c r="AA174" s="58">
        <v>92</v>
      </c>
      <c r="AB174" s="21">
        <v>26</v>
      </c>
      <c r="AC174" s="21">
        <v>51</v>
      </c>
      <c r="AD174" s="21">
        <v>51</v>
      </c>
      <c r="AE174" s="17" t="s">
        <v>913</v>
      </c>
      <c r="AF174" s="17" t="s">
        <v>129</v>
      </c>
      <c r="AG174" s="17"/>
      <c r="AI174" s="17" t="s">
        <v>130</v>
      </c>
      <c r="AJ174" s="21">
        <v>0</v>
      </c>
      <c r="AK174" s="58">
        <v>0</v>
      </c>
      <c r="AL174" s="21">
        <v>0</v>
      </c>
      <c r="AM174" s="58">
        <f t="shared" si="140"/>
        <v>0</v>
      </c>
      <c r="AN174" s="21">
        <v>0</v>
      </c>
      <c r="AO174" s="58">
        <f t="shared" si="141"/>
        <v>0</v>
      </c>
      <c r="AP174" s="21">
        <v>0</v>
      </c>
      <c r="AQ174" s="58">
        <f t="shared" si="142"/>
        <v>0</v>
      </c>
      <c r="AR174" s="21">
        <v>0</v>
      </c>
      <c r="AS174" s="58">
        <f t="shared" si="143"/>
        <v>0</v>
      </c>
      <c r="AT174" s="21">
        <v>0</v>
      </c>
      <c r="AU174" s="58">
        <f t="shared" si="144"/>
        <v>0</v>
      </c>
      <c r="AV174" s="21">
        <v>0</v>
      </c>
      <c r="AW174" s="58">
        <v>0</v>
      </c>
      <c r="AX174" s="31">
        <v>0</v>
      </c>
      <c r="AY174" s="58">
        <v>0</v>
      </c>
      <c r="AZ174" s="31">
        <v>0</v>
      </c>
      <c r="BA174" s="58">
        <v>0</v>
      </c>
      <c r="BB174" s="31">
        <v>0</v>
      </c>
      <c r="BC174" s="58">
        <v>0</v>
      </c>
      <c r="BD174" s="31">
        <v>0</v>
      </c>
      <c r="BE174" s="58">
        <v>0</v>
      </c>
      <c r="BF174" s="31">
        <v>0</v>
      </c>
      <c r="BG174" s="58">
        <v>0</v>
      </c>
      <c r="BH174" s="31">
        <v>0</v>
      </c>
      <c r="BI174" s="58">
        <v>0</v>
      </c>
      <c r="BJ174" s="31">
        <v>0</v>
      </c>
      <c r="BK174" s="58">
        <v>0</v>
      </c>
      <c r="BL174" s="17" t="s">
        <v>130</v>
      </c>
      <c r="BM174" s="31">
        <v>26</v>
      </c>
      <c r="BN174" s="31">
        <v>51</v>
      </c>
      <c r="BO174" s="31">
        <v>51</v>
      </c>
      <c r="BP174" s="31">
        <f t="shared" si="148"/>
        <v>128</v>
      </c>
      <c r="BQ174" s="58">
        <v>92</v>
      </c>
      <c r="BR174" s="58">
        <f>Table1[[#This Row],[Check 2 Students Total]]*Table1[[#This Row],[Summer 2018 Price Check]]</f>
        <v>11776</v>
      </c>
      <c r="BS174" s="31">
        <f>IF(Table1[[#This Row],[Sustainability Check 2 (2018-2019) Status]]="Continued", Table1[[#This Row],[Check 2 Students Summer]], 0)</f>
        <v>26</v>
      </c>
      <c r="BT174" s="58">
        <f>Table1[[#This Row],[Summer 2018 Price Check]]*BS174</f>
        <v>2392</v>
      </c>
      <c r="BU174" s="31">
        <f>IF(Table1[[#This Row],[Sustainability Check 2 (2018-2019) Status]]="Continued", Table1[[#This Row],[Check 2 Students Fall]], 0)</f>
        <v>51</v>
      </c>
      <c r="BV174" s="58">
        <f>Table1[[#This Row],[Summer 2018 Price Check]]*BU174</f>
        <v>4692</v>
      </c>
      <c r="BW174" s="21">
        <f>IF(Table1[[#This Row],[Sustainability Check 2 (2018-2019) Status]]="Continued", Table1[Check 2 Students Spring], 0)</f>
        <v>51</v>
      </c>
      <c r="BX174" s="58">
        <f>Table1[[#This Row],[Summer 2018 Price Check]]*Table1[[#This Row],[Spring 2019 Students]]</f>
        <v>4692</v>
      </c>
      <c r="BY174" s="31">
        <f t="shared" si="130"/>
        <v>128</v>
      </c>
      <c r="BZ174" s="58">
        <f t="shared" si="131"/>
        <v>11776</v>
      </c>
      <c r="CA174" s="17" t="s">
        <v>130</v>
      </c>
      <c r="CB174" s="21">
        <v>13</v>
      </c>
      <c r="CC174" s="21">
        <v>49</v>
      </c>
      <c r="CD174" s="21">
        <v>60</v>
      </c>
      <c r="CE174" s="21">
        <f t="shared" si="153"/>
        <v>122</v>
      </c>
      <c r="CF174" s="58">
        <v>92</v>
      </c>
      <c r="CG174" s="58">
        <f t="shared" si="133"/>
        <v>11224</v>
      </c>
      <c r="CH174" s="17" t="s">
        <v>913</v>
      </c>
      <c r="CI174" s="21">
        <f>IF(Table1[[#This Row],[Check 3 Status]]="Continued", Table1[[#This Row],[Check 3 Students Summer]], 0)</f>
        <v>13</v>
      </c>
      <c r="CJ174" s="58">
        <f>Table1[[#This Row],[Check 3 Per Student Savings]]*CI174</f>
        <v>1196</v>
      </c>
      <c r="CK174" s="21">
        <f>IF(Table1[[#This Row],[Check 3 Status]]="Continued", Table1[[#This Row],[Check 3 Students Fall]], 0)</f>
        <v>49</v>
      </c>
      <c r="CL174" s="58">
        <f>Table1[[#This Row],[Check 3 Per Student Savings]]*CK174</f>
        <v>4508</v>
      </c>
      <c r="CM174" s="21">
        <f>IF(Table1[[#This Row],[Check 3 Status]]="Continued", Table1[[#This Row],[Check 3 Students Spring]], 0)</f>
        <v>60</v>
      </c>
      <c r="CN174" s="58">
        <f>Table1[[#This Row],[Check 3 Per Student Savings]]*CM174</f>
        <v>5520</v>
      </c>
      <c r="CO174" s="21">
        <f t="shared" si="134"/>
        <v>122</v>
      </c>
      <c r="CP174" s="58">
        <f t="shared" si="135"/>
        <v>11224</v>
      </c>
      <c r="CQ174" s="58" t="s">
        <v>130</v>
      </c>
      <c r="CR174" s="21">
        <v>13</v>
      </c>
      <c r="CS174" s="21">
        <v>49</v>
      </c>
      <c r="CT174" s="21">
        <v>60</v>
      </c>
      <c r="CU174" s="21">
        <f t="shared" si="136"/>
        <v>122</v>
      </c>
      <c r="CV174" s="58">
        <v>92</v>
      </c>
      <c r="CW174" s="58">
        <f t="shared" si="137"/>
        <v>11224</v>
      </c>
      <c r="CX174" s="58"/>
      <c r="CY174" s="21">
        <f>IF(Table1[[#This Row],[Check 4 Status]]="Continued", Table1[[#This Row],[Check 4 Students Summer]], 0)</f>
        <v>13</v>
      </c>
      <c r="CZ174" s="58">
        <f>Table1[[#This Row],[Check 4 Per Student Savings]]*CY174</f>
        <v>1196</v>
      </c>
      <c r="DA174" s="21">
        <f>IF(Table1[[#This Row],[Check 4 Status]]="Continued", Table1[[#This Row],[Check 4 Students Fall]], 0)</f>
        <v>49</v>
      </c>
      <c r="DB174" s="58">
        <f>Table1[[#This Row],[Check 4 Per Student Savings]]*DA174</f>
        <v>4508</v>
      </c>
      <c r="DC174" s="21">
        <f>IF(Table1[[#This Row],[Check 4 Status]]="Continued", Table1[[#This Row],[Check 4 Students Spring]], 0)</f>
        <v>60</v>
      </c>
      <c r="DD174" s="58">
        <f>Table1[[#This Row],[Check 4 Per Student Savings]]*DC174</f>
        <v>5520</v>
      </c>
      <c r="DE174" s="58">
        <f t="shared" si="138"/>
        <v>122</v>
      </c>
      <c r="DF174" s="58">
        <f t="shared" si="139"/>
        <v>11224</v>
      </c>
      <c r="DG17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372</v>
      </c>
      <c r="DH17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34224</v>
      </c>
      <c r="DI174" s="58">
        <f>Table1[[#This Row],[Grand Total Savings]]/Table1[[#This Row],[Total Award]]</f>
        <v>3.1688888888888891</v>
      </c>
      <c r="DJ174" s="17"/>
      <c r="DK174" s="17"/>
      <c r="DL174" s="17"/>
      <c r="DM174" s="17"/>
      <c r="EC174" s="17"/>
      <c r="ED174" s="17"/>
      <c r="EE174" s="17"/>
      <c r="EF174" s="17"/>
    </row>
    <row r="175" spans="1:136" x14ac:dyDescent="0.25">
      <c r="A175" s="159">
        <v>337</v>
      </c>
      <c r="B175" s="17" t="s">
        <v>2011</v>
      </c>
      <c r="D175" s="97">
        <v>513850</v>
      </c>
      <c r="E175" s="165">
        <v>43132</v>
      </c>
      <c r="F175" s="165">
        <v>43257</v>
      </c>
      <c r="G175" s="157">
        <v>10</v>
      </c>
      <c r="H175" s="95" t="s">
        <v>7</v>
      </c>
      <c r="I175" s="226" t="s">
        <v>118</v>
      </c>
      <c r="J175" s="17" t="s">
        <v>250</v>
      </c>
      <c r="K175" s="107">
        <v>10800</v>
      </c>
      <c r="L175" s="107"/>
      <c r="M175" s="101" t="s">
        <v>930</v>
      </c>
      <c r="N175" s="101" t="s">
        <v>931</v>
      </c>
      <c r="O175" s="101" t="s">
        <v>932</v>
      </c>
      <c r="P175" s="101" t="s">
        <v>933</v>
      </c>
      <c r="Q175" s="101" t="s">
        <v>272</v>
      </c>
      <c r="R175" s="101" t="s">
        <v>932</v>
      </c>
      <c r="S175" s="17" t="s">
        <v>129</v>
      </c>
      <c r="T175" s="17" t="s">
        <v>129</v>
      </c>
      <c r="U175" s="17" t="s">
        <v>157</v>
      </c>
      <c r="V175" s="17" t="s">
        <v>150</v>
      </c>
      <c r="W175" s="17" t="s">
        <v>127</v>
      </c>
      <c r="X175" s="17" t="s">
        <v>139</v>
      </c>
      <c r="Y175" s="58">
        <v>83300</v>
      </c>
      <c r="Z175" s="17">
        <v>350</v>
      </c>
      <c r="AA175" s="58">
        <v>238</v>
      </c>
      <c r="AB175" s="21">
        <v>175</v>
      </c>
      <c r="AC175" s="21">
        <v>175</v>
      </c>
      <c r="AD175" s="21">
        <v>175</v>
      </c>
      <c r="AE175" s="17" t="s">
        <v>857</v>
      </c>
      <c r="AF175" s="17" t="s">
        <v>129</v>
      </c>
      <c r="AG175" s="17"/>
      <c r="AI175" s="17" t="s">
        <v>130</v>
      </c>
      <c r="AJ175" s="21">
        <v>0</v>
      </c>
      <c r="AK175" s="58">
        <v>0</v>
      </c>
      <c r="AL175" s="21">
        <v>0</v>
      </c>
      <c r="AM175" s="58">
        <f t="shared" si="140"/>
        <v>0</v>
      </c>
      <c r="AN175" s="21">
        <v>0</v>
      </c>
      <c r="AO175" s="58">
        <f t="shared" si="141"/>
        <v>0</v>
      </c>
      <c r="AP175" s="21">
        <v>0</v>
      </c>
      <c r="AQ175" s="58">
        <f t="shared" si="142"/>
        <v>0</v>
      </c>
      <c r="AR175" s="21">
        <v>0</v>
      </c>
      <c r="AS175" s="58">
        <f t="shared" si="143"/>
        <v>0</v>
      </c>
      <c r="AT175" s="21">
        <v>0</v>
      </c>
      <c r="AU175" s="58">
        <f t="shared" si="144"/>
        <v>0</v>
      </c>
      <c r="AV175" s="21">
        <v>0</v>
      </c>
      <c r="AW175" s="58">
        <v>0</v>
      </c>
      <c r="AX175" s="31">
        <v>0</v>
      </c>
      <c r="AY175" s="58">
        <v>0</v>
      </c>
      <c r="AZ175" s="31">
        <v>0</v>
      </c>
      <c r="BA175" s="58">
        <v>0</v>
      </c>
      <c r="BB175" s="31">
        <v>0</v>
      </c>
      <c r="BC175" s="58">
        <v>0</v>
      </c>
      <c r="BD175" s="31">
        <v>0</v>
      </c>
      <c r="BE175" s="58">
        <v>0</v>
      </c>
      <c r="BF175" s="31">
        <v>0</v>
      </c>
      <c r="BG175" s="58">
        <v>0</v>
      </c>
      <c r="BH175" s="31">
        <f>Table1[[#This Row],[Students Per Spring]]</f>
        <v>175</v>
      </c>
      <c r="BI175" s="58">
        <f>$AA175*BH175</f>
        <v>41650</v>
      </c>
      <c r="BJ175" s="31">
        <f>BD175+BF175+BH175</f>
        <v>175</v>
      </c>
      <c r="BK175" s="58">
        <f>BE175+BG175+BI175</f>
        <v>41650</v>
      </c>
      <c r="BL175" s="17" t="s">
        <v>130</v>
      </c>
      <c r="BM175" s="31">
        <v>175</v>
      </c>
      <c r="BN175" s="31">
        <v>175</v>
      </c>
      <c r="BO175" s="31">
        <v>175</v>
      </c>
      <c r="BP175" s="31">
        <f t="shared" si="148"/>
        <v>525</v>
      </c>
      <c r="BQ175" s="58">
        <v>238</v>
      </c>
      <c r="BR175" s="58">
        <f>Table1[[#This Row],[Check 2 Students Total]]*Table1[[#This Row],[Summer 2018 Price Check]]</f>
        <v>124950</v>
      </c>
      <c r="BS175" s="31">
        <f>IF(Table1[[#This Row],[Sustainability Check 2 (2018-2019) Status]]="Continued", Table1[[#This Row],[Check 2 Students Summer]], 0)</f>
        <v>175</v>
      </c>
      <c r="BT175" s="58">
        <f>Table1[[#This Row],[Summer 2018 Price Check]]*BS175</f>
        <v>41650</v>
      </c>
      <c r="BU175" s="31">
        <f>IF(Table1[[#This Row],[Sustainability Check 2 (2018-2019) Status]]="Continued", Table1[[#This Row],[Check 2 Students Fall]], 0)</f>
        <v>175</v>
      </c>
      <c r="BV175" s="58">
        <f>Table1[[#This Row],[Summer 2018 Price Check]]*BU175</f>
        <v>41650</v>
      </c>
      <c r="BW175" s="21">
        <f>IF(Table1[[#This Row],[Sustainability Check 2 (2018-2019) Status]]="Continued", Table1[Check 2 Students Spring], 0)</f>
        <v>175</v>
      </c>
      <c r="BX175" s="58">
        <f>Table1[[#This Row],[Summer 2018 Price Check]]*Table1[[#This Row],[Spring 2019 Students]]</f>
        <v>41650</v>
      </c>
      <c r="BY175" s="31">
        <f t="shared" si="130"/>
        <v>525</v>
      </c>
      <c r="BZ175" s="58">
        <f t="shared" si="131"/>
        <v>124950</v>
      </c>
      <c r="CA175" s="17" t="s">
        <v>130</v>
      </c>
      <c r="CB175" s="21">
        <v>33</v>
      </c>
      <c r="CC175" s="21">
        <v>123</v>
      </c>
      <c r="CD175" s="21">
        <v>100</v>
      </c>
      <c r="CE175" s="21">
        <f t="shared" si="153"/>
        <v>256</v>
      </c>
      <c r="CF175" s="58">
        <v>55</v>
      </c>
      <c r="CG175" s="58">
        <f t="shared" si="133"/>
        <v>14080</v>
      </c>
      <c r="CH175" s="17" t="s">
        <v>857</v>
      </c>
      <c r="CI175" s="21">
        <f>IF(Table1[[#This Row],[Check 3 Status]]="Continued", Table1[[#This Row],[Check 3 Students Summer]], 0)</f>
        <v>33</v>
      </c>
      <c r="CJ175" s="58">
        <f>Table1[[#This Row],[Check 3 Per Student Savings]]*CI175</f>
        <v>1815</v>
      </c>
      <c r="CK175" s="21">
        <f>IF(Table1[[#This Row],[Check 3 Status]]="Continued", Table1[[#This Row],[Check 3 Students Fall]], 0)</f>
        <v>123</v>
      </c>
      <c r="CL175" s="58">
        <f>Table1[[#This Row],[Check 3 Per Student Savings]]*CK175</f>
        <v>6765</v>
      </c>
      <c r="CM175" s="21">
        <f>IF(Table1[[#This Row],[Check 3 Status]]="Continued", Table1[[#This Row],[Check 3 Students Spring]], 0)</f>
        <v>100</v>
      </c>
      <c r="CN175" s="58">
        <f>Table1[[#This Row],[Check 3 Per Student Savings]]*CM175</f>
        <v>5500</v>
      </c>
      <c r="CO175" s="21">
        <f t="shared" si="134"/>
        <v>256</v>
      </c>
      <c r="CP175" s="58">
        <f t="shared" si="135"/>
        <v>14080</v>
      </c>
      <c r="CQ175" s="58" t="s">
        <v>1777</v>
      </c>
      <c r="CR175" s="21">
        <v>33</v>
      </c>
      <c r="CS175" s="21">
        <v>123</v>
      </c>
      <c r="CT175" s="21">
        <v>100</v>
      </c>
      <c r="CU175" s="21">
        <v>0</v>
      </c>
      <c r="CV175" s="58">
        <v>0</v>
      </c>
      <c r="CW175" s="58">
        <f t="shared" si="137"/>
        <v>0</v>
      </c>
      <c r="CX175" s="58"/>
      <c r="CY175" s="21">
        <f>IF(Table1[[#This Row],[Check 4 Status]]="Continued", Table1[[#This Row],[Check 4 Students Summer]], 0)</f>
        <v>0</v>
      </c>
      <c r="CZ175" s="58">
        <f>Table1[[#This Row],[Check 4 Per Student Savings]]*CY175</f>
        <v>0</v>
      </c>
      <c r="DA175" s="21">
        <f>IF(Table1[[#This Row],[Check 4 Status]]="Continued", Table1[[#This Row],[Check 4 Students Fall]], 0)</f>
        <v>0</v>
      </c>
      <c r="DB175" s="58">
        <f>Table1[[#This Row],[Check 4 Per Student Savings]]*DA175</f>
        <v>0</v>
      </c>
      <c r="DC175" s="21">
        <f>IF(Table1[[#This Row],[Check 4 Status]]="Continued", Table1[[#This Row],[Check 4 Students Spring]], 0)</f>
        <v>0</v>
      </c>
      <c r="DD175" s="58">
        <f>Table1[[#This Row],[Check 4 Per Student Savings]]*DC175</f>
        <v>0</v>
      </c>
      <c r="DE175" s="58">
        <f t="shared" si="138"/>
        <v>0</v>
      </c>
      <c r="DF175" s="58">
        <f t="shared" si="139"/>
        <v>0</v>
      </c>
      <c r="DG17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956</v>
      </c>
      <c r="DH17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180680</v>
      </c>
      <c r="DI175" s="58">
        <f>Table1[[#This Row],[Grand Total Savings]]/Table1[[#This Row],[Total Award]]</f>
        <v>16.729629629629631</v>
      </c>
      <c r="DJ175" s="17"/>
      <c r="DK175" s="17"/>
      <c r="DL175" s="17"/>
      <c r="DM175" s="17"/>
      <c r="EC175" s="17"/>
      <c r="ED175" s="17"/>
      <c r="EE175" s="17"/>
      <c r="EF175" s="17"/>
    </row>
    <row r="176" spans="1:136" x14ac:dyDescent="0.25">
      <c r="A176" s="159">
        <v>338</v>
      </c>
      <c r="B176" s="17" t="s">
        <v>2011</v>
      </c>
      <c r="D176" s="97">
        <v>513787</v>
      </c>
      <c r="E176" s="165">
        <v>43122</v>
      </c>
      <c r="F176" s="165">
        <v>43333</v>
      </c>
      <c r="G176" s="157">
        <v>10</v>
      </c>
      <c r="H176" s="95" t="s">
        <v>7</v>
      </c>
      <c r="I176" s="226" t="s">
        <v>118</v>
      </c>
      <c r="J176" s="17" t="s">
        <v>2000</v>
      </c>
      <c r="K176" s="107">
        <v>10800</v>
      </c>
      <c r="L176" s="107"/>
      <c r="M176" s="101" t="s">
        <v>934</v>
      </c>
      <c r="N176" s="101" t="s">
        <v>935</v>
      </c>
      <c r="O176" s="101" t="s">
        <v>936</v>
      </c>
      <c r="P176" s="101" t="s">
        <v>937</v>
      </c>
      <c r="Q176" s="101" t="s">
        <v>192</v>
      </c>
      <c r="R176" s="101" t="s">
        <v>129</v>
      </c>
      <c r="S176" s="173" t="s">
        <v>912</v>
      </c>
      <c r="T176" s="173" t="s">
        <v>912</v>
      </c>
      <c r="U176" s="173" t="s">
        <v>912</v>
      </c>
      <c r="V176" s="17" t="s">
        <v>150</v>
      </c>
      <c r="W176" s="17" t="s">
        <v>150</v>
      </c>
      <c r="X176" s="17" t="s">
        <v>150</v>
      </c>
      <c r="Y176" s="58">
        <v>1874</v>
      </c>
      <c r="Z176" s="17">
        <v>25</v>
      </c>
      <c r="AA176" s="58">
        <v>75</v>
      </c>
      <c r="AB176" s="21">
        <v>25</v>
      </c>
      <c r="AC176" s="21">
        <v>0</v>
      </c>
      <c r="AD176" s="21">
        <v>0</v>
      </c>
      <c r="AE176" s="17" t="s">
        <v>913</v>
      </c>
      <c r="AF176" s="17" t="s">
        <v>129</v>
      </c>
      <c r="AG176" s="17"/>
      <c r="AI176" s="17" t="s">
        <v>130</v>
      </c>
      <c r="AJ176" s="21">
        <v>0</v>
      </c>
      <c r="AK176" s="58">
        <v>0</v>
      </c>
      <c r="AL176" s="21">
        <v>0</v>
      </c>
      <c r="AM176" s="58">
        <f t="shared" si="140"/>
        <v>0</v>
      </c>
      <c r="AN176" s="21">
        <v>0</v>
      </c>
      <c r="AO176" s="58">
        <f t="shared" si="141"/>
        <v>0</v>
      </c>
      <c r="AP176" s="21">
        <v>0</v>
      </c>
      <c r="AQ176" s="58">
        <f t="shared" si="142"/>
        <v>0</v>
      </c>
      <c r="AR176" s="21">
        <v>0</v>
      </c>
      <c r="AS176" s="58">
        <f t="shared" si="143"/>
        <v>0</v>
      </c>
      <c r="AT176" s="21">
        <v>0</v>
      </c>
      <c r="AU176" s="58">
        <f t="shared" si="144"/>
        <v>0</v>
      </c>
      <c r="AV176" s="21">
        <v>0</v>
      </c>
      <c r="AW176" s="58">
        <v>0</v>
      </c>
      <c r="AX176" s="31">
        <v>0</v>
      </c>
      <c r="AY176" s="58">
        <v>0</v>
      </c>
      <c r="AZ176" s="31">
        <v>0</v>
      </c>
      <c r="BA176" s="58">
        <v>0</v>
      </c>
      <c r="BB176" s="31">
        <v>0</v>
      </c>
      <c r="BC176" s="58">
        <v>0</v>
      </c>
      <c r="BD176" s="31">
        <v>0</v>
      </c>
      <c r="BE176" s="58">
        <v>0</v>
      </c>
      <c r="BF176" s="31">
        <v>0</v>
      </c>
      <c r="BG176" s="58">
        <v>0</v>
      </c>
      <c r="BH176" s="31">
        <v>0</v>
      </c>
      <c r="BI176" s="58">
        <v>0</v>
      </c>
      <c r="BJ176" s="31">
        <v>0</v>
      </c>
      <c r="BK176" s="58">
        <v>0</v>
      </c>
      <c r="BL176" s="17" t="s">
        <v>130</v>
      </c>
      <c r="BM176" s="31">
        <v>25</v>
      </c>
      <c r="BN176" s="31">
        <v>0</v>
      </c>
      <c r="BO176" s="31">
        <v>0</v>
      </c>
      <c r="BP176" s="31">
        <f t="shared" si="148"/>
        <v>25</v>
      </c>
      <c r="BQ176" s="58">
        <v>75</v>
      </c>
      <c r="BR176" s="58">
        <f>Table1[[#This Row],[Check 2 Students Total]]*Table1[[#This Row],[Summer 2018 Price Check]]</f>
        <v>1875</v>
      </c>
      <c r="BS176" s="31">
        <f>IF(Table1[[#This Row],[Sustainability Check 2 (2018-2019) Status]]="Continued", Table1[[#This Row],[Check 2 Students Summer]], 0)</f>
        <v>25</v>
      </c>
      <c r="BT176" s="58">
        <f>Table1[[#This Row],[Summer 2018 Price Check]]*BS176</f>
        <v>1875</v>
      </c>
      <c r="BU176" s="31">
        <f>IF(Table1[[#This Row],[Sustainability Check 2 (2018-2019) Status]]="Continued", Table1[[#This Row],[Check 2 Students Fall]], 0)</f>
        <v>0</v>
      </c>
      <c r="BV176" s="58">
        <f>Table1[[#This Row],[Summer 2018 Price Check]]*BU176</f>
        <v>0</v>
      </c>
      <c r="BW176" s="21">
        <f>IF(Table1[[#This Row],[Sustainability Check 2 (2018-2019) Status]]="Continued", Table1[Check 2 Students Spring], 0)</f>
        <v>0</v>
      </c>
      <c r="BX176" s="58">
        <f>Table1[[#This Row],[Summer 2018 Price Check]]*Table1[[#This Row],[Spring 2019 Students]]</f>
        <v>0</v>
      </c>
      <c r="BY176" s="31">
        <f t="shared" si="130"/>
        <v>25</v>
      </c>
      <c r="BZ176" s="58">
        <f t="shared" si="131"/>
        <v>1875</v>
      </c>
      <c r="CA176" s="17" t="s">
        <v>130</v>
      </c>
      <c r="CB176" s="21">
        <v>25</v>
      </c>
      <c r="CC176" s="21">
        <v>0</v>
      </c>
      <c r="CD176" s="21">
        <v>0</v>
      </c>
      <c r="CE176" s="21">
        <f t="shared" si="153"/>
        <v>25</v>
      </c>
      <c r="CF176" s="58">
        <v>75</v>
      </c>
      <c r="CG176" s="58">
        <f t="shared" si="133"/>
        <v>1875</v>
      </c>
      <c r="CH176" s="17" t="s">
        <v>913</v>
      </c>
      <c r="CI176" s="21">
        <f>IF(Table1[[#This Row],[Check 3 Status]]="Continued", Table1[[#This Row],[Check 3 Students Summer]], 0)</f>
        <v>25</v>
      </c>
      <c r="CJ176" s="58">
        <f>Table1[[#This Row],[Check 3 Per Student Savings]]*CI176</f>
        <v>1875</v>
      </c>
      <c r="CK176" s="21">
        <f>IF(Table1[[#This Row],[Check 3 Status]]="Continued", Table1[[#This Row],[Check 3 Students Fall]], 0)</f>
        <v>0</v>
      </c>
      <c r="CL176" s="58">
        <f>Table1[[#This Row],[Check 3 Per Student Savings]]*CK176</f>
        <v>0</v>
      </c>
      <c r="CM176" s="21">
        <f>IF(Table1[[#This Row],[Check 3 Status]]="Continued", Table1[[#This Row],[Check 3 Students Spring]], 0)</f>
        <v>0</v>
      </c>
      <c r="CN176" s="58">
        <f>Table1[[#This Row],[Check 3 Per Student Savings]]*CM176</f>
        <v>0</v>
      </c>
      <c r="CO176" s="21">
        <f t="shared" si="134"/>
        <v>25</v>
      </c>
      <c r="CP176" s="58">
        <f t="shared" si="135"/>
        <v>1875</v>
      </c>
      <c r="CQ176" s="58" t="s">
        <v>130</v>
      </c>
      <c r="CR176" s="21">
        <v>25</v>
      </c>
      <c r="CS176" s="21">
        <v>0</v>
      </c>
      <c r="CT176" s="21">
        <v>0</v>
      </c>
      <c r="CU176" s="21">
        <f t="shared" si="136"/>
        <v>25</v>
      </c>
      <c r="CV176" s="58">
        <v>75</v>
      </c>
      <c r="CW176" s="58">
        <f t="shared" si="137"/>
        <v>1875</v>
      </c>
      <c r="CX176" s="58"/>
      <c r="CY176" s="21">
        <f>IF(Table1[[#This Row],[Check 4 Status]]="Continued", Table1[[#This Row],[Check 4 Students Summer]], 0)</f>
        <v>25</v>
      </c>
      <c r="CZ176" s="58">
        <f>Table1[[#This Row],[Check 4 Per Student Savings]]*CY176</f>
        <v>1875</v>
      </c>
      <c r="DA176" s="21">
        <f>IF(Table1[[#This Row],[Check 4 Status]]="Continued", Table1[[#This Row],[Check 4 Students Fall]], 0)</f>
        <v>0</v>
      </c>
      <c r="DB176" s="58">
        <f>Table1[[#This Row],[Check 4 Per Student Savings]]*DA176</f>
        <v>0</v>
      </c>
      <c r="DC176" s="21">
        <f>IF(Table1[[#This Row],[Check 4 Status]]="Continued", Table1[[#This Row],[Check 4 Students Spring]], 0)</f>
        <v>0</v>
      </c>
      <c r="DD176" s="58">
        <f>Table1[[#This Row],[Check 4 Per Student Savings]]*DC176</f>
        <v>0</v>
      </c>
      <c r="DE176" s="58">
        <f t="shared" si="138"/>
        <v>25</v>
      </c>
      <c r="DF176" s="58">
        <f t="shared" si="139"/>
        <v>1875</v>
      </c>
      <c r="DG17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75</v>
      </c>
      <c r="DH17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5625</v>
      </c>
      <c r="DI176" s="58">
        <f>Table1[[#This Row],[Grand Total Savings]]/Table1[[#This Row],[Total Award]]</f>
        <v>0.52083333333333337</v>
      </c>
      <c r="DJ176" s="17"/>
      <c r="DK176" s="17"/>
      <c r="DL176" s="17"/>
      <c r="DM176" s="17"/>
      <c r="EC176" s="17"/>
      <c r="ED176" s="17"/>
      <c r="EE176" s="17"/>
      <c r="EF176" s="17"/>
    </row>
    <row r="177" spans="1:136" x14ac:dyDescent="0.25">
      <c r="A177" s="157">
        <v>339</v>
      </c>
      <c r="B177" s="17" t="s">
        <v>2011</v>
      </c>
      <c r="D177" s="97">
        <v>513582</v>
      </c>
      <c r="E177" s="165">
        <v>43110</v>
      </c>
      <c r="F177" s="158">
        <v>43472</v>
      </c>
      <c r="G177" s="159">
        <v>10</v>
      </c>
      <c r="H177" s="95" t="s">
        <v>7</v>
      </c>
      <c r="I177" s="226" t="s">
        <v>118</v>
      </c>
      <c r="J177" s="17" t="s">
        <v>132</v>
      </c>
      <c r="K177" s="107">
        <v>10800</v>
      </c>
      <c r="L177" s="107"/>
      <c r="M177" s="101" t="s">
        <v>938</v>
      </c>
      <c r="N177" s="101" t="s">
        <v>939</v>
      </c>
      <c r="O177" s="101" t="s">
        <v>940</v>
      </c>
      <c r="P177" s="101" t="s">
        <v>941</v>
      </c>
      <c r="Q177" s="101" t="s">
        <v>488</v>
      </c>
      <c r="R177" s="101" t="s">
        <v>129</v>
      </c>
      <c r="S177" s="173" t="s">
        <v>912</v>
      </c>
      <c r="T177" s="173" t="s">
        <v>912</v>
      </c>
      <c r="U177" s="173" t="s">
        <v>912</v>
      </c>
      <c r="V177" s="17" t="s">
        <v>150</v>
      </c>
      <c r="W177" s="17" t="s">
        <v>127</v>
      </c>
      <c r="X177" s="17" t="s">
        <v>127</v>
      </c>
      <c r="Y177" s="58">
        <v>19277</v>
      </c>
      <c r="Z177" s="17">
        <v>120</v>
      </c>
      <c r="AA177" s="58">
        <v>161</v>
      </c>
      <c r="AB177" s="21">
        <v>0</v>
      </c>
      <c r="AC177" s="21">
        <v>60</v>
      </c>
      <c r="AD177" s="21">
        <v>60</v>
      </c>
      <c r="AE177" s="17" t="s">
        <v>675</v>
      </c>
      <c r="AF177" s="17" t="s">
        <v>129</v>
      </c>
      <c r="AG177" s="17"/>
      <c r="AI177" s="17" t="s">
        <v>130</v>
      </c>
      <c r="AJ177" s="21">
        <v>0</v>
      </c>
      <c r="AK177" s="58">
        <v>0</v>
      </c>
      <c r="AL177" s="21">
        <v>0</v>
      </c>
      <c r="AM177" s="58">
        <f t="shared" ref="AM177:AM184" si="154">AK177</f>
        <v>0</v>
      </c>
      <c r="AN177" s="21">
        <v>0</v>
      </c>
      <c r="AO177" s="58">
        <f t="shared" ref="AO177:AO184" si="155">$AA177*AN177</f>
        <v>0</v>
      </c>
      <c r="AP177" s="21">
        <v>0</v>
      </c>
      <c r="AQ177" s="58">
        <f t="shared" ref="AQ177:AQ184" si="156">$AA177*AP177</f>
        <v>0</v>
      </c>
      <c r="AR177" s="21">
        <v>0</v>
      </c>
      <c r="AS177" s="58">
        <f t="shared" ref="AS177:AS184" si="157">$AA177*AR177</f>
        <v>0</v>
      </c>
      <c r="AT177" s="21">
        <v>0</v>
      </c>
      <c r="AU177" s="58">
        <f t="shared" ref="AU177:AU184" si="158">AO177+AQ177+AS177</f>
        <v>0</v>
      </c>
      <c r="AV177" s="21">
        <v>0</v>
      </c>
      <c r="AW177" s="58">
        <v>0</v>
      </c>
      <c r="AX177" s="31">
        <v>0</v>
      </c>
      <c r="AY177" s="58">
        <v>0</v>
      </c>
      <c r="AZ177" s="31">
        <v>0</v>
      </c>
      <c r="BA177" s="58">
        <v>0</v>
      </c>
      <c r="BB177" s="31">
        <v>0</v>
      </c>
      <c r="BC177" s="58">
        <v>0</v>
      </c>
      <c r="BD177" s="31">
        <v>0</v>
      </c>
      <c r="BE177" s="58">
        <v>0</v>
      </c>
      <c r="BF177" s="31">
        <v>0</v>
      </c>
      <c r="BG177" s="58">
        <v>0</v>
      </c>
      <c r="BH177" s="31">
        <v>0</v>
      </c>
      <c r="BI177" s="58">
        <v>0</v>
      </c>
      <c r="BJ177" s="31">
        <v>0</v>
      </c>
      <c r="BK177" s="58">
        <v>0</v>
      </c>
      <c r="BL177" s="17" t="s">
        <v>130</v>
      </c>
      <c r="BM177" s="31">
        <v>0</v>
      </c>
      <c r="BN177" s="31">
        <v>60</v>
      </c>
      <c r="BO177" s="31">
        <v>60</v>
      </c>
      <c r="BP177" s="31">
        <f t="shared" si="148"/>
        <v>120</v>
      </c>
      <c r="BQ177" s="58">
        <v>161</v>
      </c>
      <c r="BR177" s="58">
        <f>Table1[[#This Row],[Check 2 Students Total]]*Table1[[#This Row],[Summer 2018 Price Check]]</f>
        <v>19320</v>
      </c>
      <c r="BS177" s="31">
        <v>0</v>
      </c>
      <c r="BT177" s="58">
        <f>Table1[[#This Row],[Summer 2018 Price Check]]*BS177</f>
        <v>0</v>
      </c>
      <c r="BU177" s="31">
        <f>IF(Table1[[#This Row],[Sustainability Check 2 (2018-2019) Status]]="Continued", Table1[[#This Row],[Check 2 Students Fall]], 0)</f>
        <v>60</v>
      </c>
      <c r="BV177" s="58">
        <f>Table1[[#This Row],[Summer 2018 Price Check]]*BU177</f>
        <v>9660</v>
      </c>
      <c r="BW177" s="21">
        <f>IF(Table1[[#This Row],[Sustainability Check 2 (2018-2019) Status]]="Continued", Table1[Check 2 Students Spring], 0)</f>
        <v>60</v>
      </c>
      <c r="BX177" s="58">
        <f>Table1[[#This Row],[Summer 2018 Price Check]]*Table1[[#This Row],[Spring 2019 Students]]</f>
        <v>9660</v>
      </c>
      <c r="BY177" s="31">
        <f t="shared" si="130"/>
        <v>120</v>
      </c>
      <c r="BZ177" s="58">
        <f t="shared" si="131"/>
        <v>19320</v>
      </c>
      <c r="CA177" s="17" t="s">
        <v>130</v>
      </c>
      <c r="CB177" s="21">
        <v>0</v>
      </c>
      <c r="CC177" s="21">
        <v>60</v>
      </c>
      <c r="CD177" s="21">
        <v>60</v>
      </c>
      <c r="CE177" s="21">
        <f t="shared" si="153"/>
        <v>120</v>
      </c>
      <c r="CF177" s="58">
        <v>161</v>
      </c>
      <c r="CG177" s="58">
        <f t="shared" si="133"/>
        <v>19320</v>
      </c>
      <c r="CH177" s="17" t="s">
        <v>675</v>
      </c>
      <c r="CI177" s="21">
        <f>IF(Table1[[#This Row],[Check 3 Status]]="Continued", Table1[[#This Row],[Check 3 Students Summer]], 0)</f>
        <v>0</v>
      </c>
      <c r="CJ177" s="58">
        <f>Table1[[#This Row],[Check 3 Per Student Savings]]*CI177</f>
        <v>0</v>
      </c>
      <c r="CK177" s="21">
        <f>IF(Table1[[#This Row],[Check 3 Status]]="Continued", Table1[[#This Row],[Check 3 Students Fall]], 0)</f>
        <v>60</v>
      </c>
      <c r="CL177" s="58">
        <f>Table1[[#This Row],[Check 3 Per Student Savings]]*CK177</f>
        <v>9660</v>
      </c>
      <c r="CM177" s="21">
        <f>IF(Table1[[#This Row],[Check 3 Status]]="Continued", Table1[[#This Row],[Check 3 Students Spring]], 0)</f>
        <v>60</v>
      </c>
      <c r="CN177" s="58">
        <f>Table1[[#This Row],[Check 3 Per Student Savings]]*CM177</f>
        <v>9660</v>
      </c>
      <c r="CO177" s="21">
        <f t="shared" si="134"/>
        <v>120</v>
      </c>
      <c r="CP177" s="58">
        <f t="shared" si="135"/>
        <v>19320</v>
      </c>
      <c r="CQ177" s="58" t="s">
        <v>130</v>
      </c>
      <c r="CR177" s="21">
        <v>0</v>
      </c>
      <c r="CS177" s="21">
        <v>60</v>
      </c>
      <c r="CT177" s="21">
        <v>60</v>
      </c>
      <c r="CU177" s="21">
        <f t="shared" si="136"/>
        <v>120</v>
      </c>
      <c r="CV177" s="58">
        <v>161</v>
      </c>
      <c r="CW177" s="58">
        <f t="shared" si="137"/>
        <v>19320</v>
      </c>
      <c r="CX177" s="58"/>
      <c r="CY177" s="21">
        <f>IF(Table1[[#This Row],[Check 4 Status]]="Continued", Table1[[#This Row],[Check 4 Students Summer]], 0)</f>
        <v>0</v>
      </c>
      <c r="CZ177" s="58">
        <f>Table1[[#This Row],[Check 4 Per Student Savings]]*CY177</f>
        <v>0</v>
      </c>
      <c r="DA177" s="21">
        <f>IF(Table1[[#This Row],[Check 4 Status]]="Continued", Table1[[#This Row],[Check 4 Students Fall]], 0)</f>
        <v>60</v>
      </c>
      <c r="DB177" s="58">
        <f>Table1[[#This Row],[Check 4 Per Student Savings]]*DA177</f>
        <v>9660</v>
      </c>
      <c r="DC177" s="21">
        <f>IF(Table1[[#This Row],[Check 4 Status]]="Continued", Table1[[#This Row],[Check 4 Students Spring]], 0)</f>
        <v>60</v>
      </c>
      <c r="DD177" s="58">
        <f>Table1[[#This Row],[Check 4 Per Student Savings]]*DC177</f>
        <v>9660</v>
      </c>
      <c r="DE177" s="58">
        <f t="shared" si="138"/>
        <v>120</v>
      </c>
      <c r="DF177" s="58">
        <f t="shared" si="139"/>
        <v>19320</v>
      </c>
      <c r="DG17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360</v>
      </c>
      <c r="DH17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57960</v>
      </c>
      <c r="DI177" s="58">
        <f>Table1[[#This Row],[Grand Total Savings]]/Table1[[#This Row],[Total Award]]</f>
        <v>5.3666666666666663</v>
      </c>
      <c r="DJ177" s="17"/>
      <c r="DK177" s="17"/>
      <c r="DL177" s="17"/>
      <c r="DM177" s="17"/>
      <c r="EC177" s="17"/>
      <c r="ED177" s="17"/>
      <c r="EE177" s="17"/>
      <c r="EF177" s="17"/>
    </row>
    <row r="178" spans="1:136" x14ac:dyDescent="0.25">
      <c r="A178" s="157">
        <v>340</v>
      </c>
      <c r="B178" s="17" t="s">
        <v>2011</v>
      </c>
      <c r="D178" s="97">
        <v>513572</v>
      </c>
      <c r="E178" s="165">
        <v>43070</v>
      </c>
      <c r="F178" s="158">
        <v>43472</v>
      </c>
      <c r="G178" s="159">
        <v>10</v>
      </c>
      <c r="H178" s="95" t="s">
        <v>7</v>
      </c>
      <c r="I178" s="226" t="s">
        <v>118</v>
      </c>
      <c r="J178" s="17" t="s">
        <v>132</v>
      </c>
      <c r="K178" s="107">
        <v>10800</v>
      </c>
      <c r="L178" s="107"/>
      <c r="M178" s="101" t="s">
        <v>519</v>
      </c>
      <c r="N178" s="101" t="s">
        <v>520</v>
      </c>
      <c r="O178" s="101" t="s">
        <v>942</v>
      </c>
      <c r="P178" s="101" t="s">
        <v>943</v>
      </c>
      <c r="Q178" s="101" t="s">
        <v>543</v>
      </c>
      <c r="R178" s="101" t="s">
        <v>129</v>
      </c>
      <c r="S178" s="173" t="s">
        <v>912</v>
      </c>
      <c r="T178" s="173" t="s">
        <v>912</v>
      </c>
      <c r="U178" s="173" t="s">
        <v>912</v>
      </c>
      <c r="V178" s="17" t="s">
        <v>150</v>
      </c>
      <c r="W178" s="17" t="s">
        <v>139</v>
      </c>
      <c r="X178" s="17" t="s">
        <v>127</v>
      </c>
      <c r="Y178" s="58">
        <v>55086</v>
      </c>
      <c r="Z178" s="17">
        <v>290</v>
      </c>
      <c r="AA178" s="58">
        <v>190</v>
      </c>
      <c r="AB178" s="21">
        <v>58</v>
      </c>
      <c r="AC178" s="21">
        <v>116</v>
      </c>
      <c r="AD178" s="21">
        <v>116</v>
      </c>
      <c r="AE178" s="17" t="s">
        <v>675</v>
      </c>
      <c r="AF178" s="17" t="s">
        <v>129</v>
      </c>
      <c r="AG178" s="17"/>
      <c r="AI178" s="17" t="s">
        <v>130</v>
      </c>
      <c r="AJ178" s="21">
        <v>0</v>
      </c>
      <c r="AK178" s="58">
        <v>0</v>
      </c>
      <c r="AL178" s="21">
        <v>0</v>
      </c>
      <c r="AM178" s="58">
        <f t="shared" si="154"/>
        <v>0</v>
      </c>
      <c r="AN178" s="21">
        <v>0</v>
      </c>
      <c r="AO178" s="58">
        <f t="shared" si="155"/>
        <v>0</v>
      </c>
      <c r="AP178" s="21">
        <v>0</v>
      </c>
      <c r="AQ178" s="58">
        <f t="shared" si="156"/>
        <v>0</v>
      </c>
      <c r="AR178" s="21">
        <v>0</v>
      </c>
      <c r="AS178" s="58">
        <f t="shared" si="157"/>
        <v>0</v>
      </c>
      <c r="AT178" s="21">
        <v>0</v>
      </c>
      <c r="AU178" s="58">
        <f t="shared" si="158"/>
        <v>0</v>
      </c>
      <c r="AV178" s="21">
        <v>0</v>
      </c>
      <c r="AW178" s="58">
        <v>0</v>
      </c>
      <c r="AX178" s="31">
        <v>0</v>
      </c>
      <c r="AY178" s="58">
        <v>0</v>
      </c>
      <c r="AZ178" s="31">
        <v>0</v>
      </c>
      <c r="BA178" s="58">
        <v>0</v>
      </c>
      <c r="BB178" s="31">
        <v>0</v>
      </c>
      <c r="BC178" s="58">
        <v>0</v>
      </c>
      <c r="BD178" s="31">
        <v>0</v>
      </c>
      <c r="BE178" s="58">
        <v>0</v>
      </c>
      <c r="BF178" s="31">
        <v>0</v>
      </c>
      <c r="BG178" s="58">
        <v>0</v>
      </c>
      <c r="BH178" s="31">
        <v>0</v>
      </c>
      <c r="BI178" s="58">
        <v>0</v>
      </c>
      <c r="BJ178" s="31">
        <v>0</v>
      </c>
      <c r="BK178" s="58">
        <v>0</v>
      </c>
      <c r="BL178" s="17" t="s">
        <v>130</v>
      </c>
      <c r="BM178" s="31">
        <v>58</v>
      </c>
      <c r="BN178" s="31">
        <v>116</v>
      </c>
      <c r="BO178" s="31">
        <v>116</v>
      </c>
      <c r="BP178" s="31">
        <f t="shared" si="148"/>
        <v>290</v>
      </c>
      <c r="BQ178" s="58">
        <v>190</v>
      </c>
      <c r="BR178" s="58">
        <f>Table1[[#This Row],[Check 2 Students Total]]*Table1[[#This Row],[Summer 2018 Price Check]]</f>
        <v>55100</v>
      </c>
      <c r="BS178" s="31">
        <v>0</v>
      </c>
      <c r="BT178" s="58">
        <f>Table1[[#This Row],[Summer 2018 Price Check]]*BS178</f>
        <v>0</v>
      </c>
      <c r="BU178" s="31">
        <f>IF(Table1[[#This Row],[Sustainability Check 2 (2018-2019) Status]]="Continued", Table1[[#This Row],[Check 2 Students Fall]], 0)</f>
        <v>116</v>
      </c>
      <c r="BV178" s="58">
        <f>Table1[[#This Row],[Summer 2018 Price Check]]*BU178</f>
        <v>22040</v>
      </c>
      <c r="BW178" s="21">
        <f>IF(Table1[[#This Row],[Sustainability Check 2 (2018-2019) Status]]="Continued", Table1[Check 2 Students Spring], 0)</f>
        <v>116</v>
      </c>
      <c r="BX178" s="58">
        <f>Table1[[#This Row],[Summer 2018 Price Check]]*Table1[[#This Row],[Spring 2019 Students]]</f>
        <v>22040</v>
      </c>
      <c r="BY178" s="31">
        <f t="shared" si="130"/>
        <v>232</v>
      </c>
      <c r="BZ178" s="58">
        <f t="shared" si="131"/>
        <v>44080</v>
      </c>
      <c r="CA178" s="17" t="s">
        <v>142</v>
      </c>
      <c r="CB178" s="21">
        <v>0</v>
      </c>
      <c r="CC178" s="21">
        <v>0</v>
      </c>
      <c r="CD178" s="21">
        <v>0</v>
      </c>
      <c r="CE178" s="21">
        <f t="shared" si="153"/>
        <v>0</v>
      </c>
      <c r="CF178" s="58">
        <v>0</v>
      </c>
      <c r="CG178" s="58">
        <f t="shared" si="133"/>
        <v>0</v>
      </c>
      <c r="CH178" s="17" t="s">
        <v>675</v>
      </c>
      <c r="CI178" s="21">
        <f>IF(Table1[[#This Row],[Check 3 Status]]="Continued", Table1[[#This Row],[Check 3 Students Summer]], 0)</f>
        <v>0</v>
      </c>
      <c r="CJ178" s="58">
        <f>Table1[[#This Row],[Check 3 Per Student Savings]]*CI178</f>
        <v>0</v>
      </c>
      <c r="CK178" s="21">
        <f>IF(Table1[[#This Row],[Check 3 Status]]="Continued", Table1[[#This Row],[Check 3 Students Fall]], 0)</f>
        <v>0</v>
      </c>
      <c r="CL178" s="58">
        <f>Table1[[#This Row],[Check 3 Per Student Savings]]*CK178</f>
        <v>0</v>
      </c>
      <c r="CM178" s="21">
        <f>IF(Table1[[#This Row],[Check 3 Status]]="Continued", Table1[[#This Row],[Check 3 Students Spring]], 0)</f>
        <v>0</v>
      </c>
      <c r="CN178" s="58">
        <f>Table1[[#This Row],[Check 3 Per Student Savings]]*CM178</f>
        <v>0</v>
      </c>
      <c r="CO178" s="21">
        <f t="shared" si="134"/>
        <v>0</v>
      </c>
      <c r="CP178" s="58">
        <f t="shared" si="135"/>
        <v>0</v>
      </c>
      <c r="CQ178" s="58" t="s">
        <v>142</v>
      </c>
      <c r="CR178" s="21">
        <v>0</v>
      </c>
      <c r="CS178" s="21">
        <v>0</v>
      </c>
      <c r="CT178" s="21">
        <v>0</v>
      </c>
      <c r="CU178" s="21">
        <f t="shared" si="136"/>
        <v>0</v>
      </c>
      <c r="CV178" s="58">
        <v>0</v>
      </c>
      <c r="CW178" s="58">
        <f t="shared" si="137"/>
        <v>0</v>
      </c>
      <c r="CX178" s="58"/>
      <c r="CY178" s="21">
        <f>IF(Table1[[#This Row],[Check 4 Status]]="Continued", Table1[[#This Row],[Check 4 Students Summer]], 0)</f>
        <v>0</v>
      </c>
      <c r="CZ178" s="58">
        <f>Table1[[#This Row],[Check 4 Per Student Savings]]*CY178</f>
        <v>0</v>
      </c>
      <c r="DA178" s="21">
        <f>IF(Table1[[#This Row],[Check 4 Status]]="Continued", Table1[[#This Row],[Check 4 Students Fall]], 0)</f>
        <v>0</v>
      </c>
      <c r="DB178" s="58">
        <f>Table1[[#This Row],[Check 4 Per Student Savings]]*DA178</f>
        <v>0</v>
      </c>
      <c r="DC178" s="21">
        <f>IF(Table1[[#This Row],[Check 4 Status]]="Continued", Table1[[#This Row],[Check 4 Students Spring]], 0)</f>
        <v>0</v>
      </c>
      <c r="DD178" s="58">
        <f>Table1[[#This Row],[Check 4 Per Student Savings]]*DC178</f>
        <v>0</v>
      </c>
      <c r="DE178" s="58">
        <f t="shared" si="138"/>
        <v>0</v>
      </c>
      <c r="DF178" s="58">
        <f t="shared" si="139"/>
        <v>0</v>
      </c>
      <c r="DG17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232</v>
      </c>
      <c r="DH17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44080</v>
      </c>
      <c r="DI178" s="58">
        <f>Table1[[#This Row],[Grand Total Savings]]/Table1[[#This Row],[Total Award]]</f>
        <v>4.0814814814814815</v>
      </c>
      <c r="DJ178" s="17"/>
      <c r="DK178" s="17"/>
      <c r="DL178" s="17"/>
      <c r="DM178" s="17"/>
      <c r="EC178" s="17"/>
      <c r="ED178" s="17"/>
      <c r="EE178" s="17"/>
      <c r="EF178" s="17"/>
    </row>
    <row r="179" spans="1:136" x14ac:dyDescent="0.25">
      <c r="A179" s="159">
        <v>341</v>
      </c>
      <c r="B179" s="17" t="s">
        <v>2011</v>
      </c>
      <c r="D179" s="97">
        <v>513916</v>
      </c>
      <c r="E179" s="165">
        <v>43172</v>
      </c>
      <c r="G179" s="159">
        <v>10</v>
      </c>
      <c r="H179" s="95" t="s">
        <v>7</v>
      </c>
      <c r="I179" s="226" t="s">
        <v>118</v>
      </c>
      <c r="J179" s="17" t="s">
        <v>172</v>
      </c>
      <c r="K179" s="107">
        <v>10500</v>
      </c>
      <c r="L179" s="107"/>
      <c r="M179" s="101" t="s">
        <v>944</v>
      </c>
      <c r="N179" s="101" t="s">
        <v>945</v>
      </c>
      <c r="O179" s="101" t="s">
        <v>454</v>
      </c>
      <c r="P179" s="101" t="s">
        <v>455</v>
      </c>
      <c r="Q179" s="101" t="s">
        <v>456</v>
      </c>
      <c r="R179" s="101" t="s">
        <v>454</v>
      </c>
      <c r="S179" s="17" t="s">
        <v>129</v>
      </c>
      <c r="T179" s="17" t="s">
        <v>125</v>
      </c>
      <c r="U179" s="17" t="s">
        <v>946</v>
      </c>
      <c r="V179" s="17" t="s">
        <v>150</v>
      </c>
      <c r="W179" s="17" t="s">
        <v>150</v>
      </c>
      <c r="X179" s="17" t="s">
        <v>150</v>
      </c>
      <c r="Y179" s="58">
        <v>73660</v>
      </c>
      <c r="Z179" s="17">
        <v>580</v>
      </c>
      <c r="AA179" s="58">
        <v>127</v>
      </c>
      <c r="AB179" s="21">
        <v>116</v>
      </c>
      <c r="AC179" s="21">
        <v>116</v>
      </c>
      <c r="AD179" s="21">
        <v>348</v>
      </c>
      <c r="AE179" s="17" t="s">
        <v>857</v>
      </c>
      <c r="AF179" s="17" t="s">
        <v>129</v>
      </c>
      <c r="AG179" s="17"/>
      <c r="AI179" s="17" t="s">
        <v>130</v>
      </c>
      <c r="AJ179" s="21">
        <v>0</v>
      </c>
      <c r="AK179" s="58">
        <v>0</v>
      </c>
      <c r="AL179" s="21">
        <v>0</v>
      </c>
      <c r="AM179" s="58">
        <f t="shared" si="154"/>
        <v>0</v>
      </c>
      <c r="AN179" s="21">
        <v>0</v>
      </c>
      <c r="AO179" s="58">
        <f t="shared" si="155"/>
        <v>0</v>
      </c>
      <c r="AP179" s="21">
        <v>0</v>
      </c>
      <c r="AQ179" s="58">
        <f t="shared" si="156"/>
        <v>0</v>
      </c>
      <c r="AR179" s="21">
        <v>0</v>
      </c>
      <c r="AS179" s="58">
        <f t="shared" si="157"/>
        <v>0</v>
      </c>
      <c r="AT179" s="21">
        <v>0</v>
      </c>
      <c r="AU179" s="58">
        <f t="shared" si="158"/>
        <v>0</v>
      </c>
      <c r="AV179" s="21">
        <v>0</v>
      </c>
      <c r="AW179" s="58">
        <v>0</v>
      </c>
      <c r="AX179" s="31">
        <v>0</v>
      </c>
      <c r="AY179" s="58">
        <v>0</v>
      </c>
      <c r="AZ179" s="31">
        <v>0</v>
      </c>
      <c r="BA179" s="58">
        <v>0</v>
      </c>
      <c r="BB179" s="31">
        <v>0</v>
      </c>
      <c r="BC179" s="58">
        <v>0</v>
      </c>
      <c r="BD179" s="31">
        <v>0</v>
      </c>
      <c r="BE179" s="58">
        <v>0</v>
      </c>
      <c r="BF179" s="31">
        <v>0</v>
      </c>
      <c r="BG179" s="58">
        <v>0</v>
      </c>
      <c r="BH179" s="31">
        <f>Table1[[#This Row],[Students Per Spring]]</f>
        <v>348</v>
      </c>
      <c r="BI179" s="58">
        <f>$AA179*BH179</f>
        <v>44196</v>
      </c>
      <c r="BJ179" s="31">
        <f>BD179+BF179+BH179</f>
        <v>348</v>
      </c>
      <c r="BK179" s="58">
        <f>BE179+BG179+BI179</f>
        <v>44196</v>
      </c>
      <c r="BL179" s="17" t="s">
        <v>130</v>
      </c>
      <c r="BM179" s="31">
        <v>125</v>
      </c>
      <c r="BN179" s="31">
        <v>125</v>
      </c>
      <c r="BO179" s="31">
        <v>125</v>
      </c>
      <c r="BP179" s="31">
        <f t="shared" si="148"/>
        <v>375</v>
      </c>
      <c r="BQ179" s="58">
        <v>175</v>
      </c>
      <c r="BR179" s="58">
        <f>Table1[[#This Row],[Check 2 Students Total]]*Table1[[#This Row],[Summer 2018 Price Check]]</f>
        <v>65625</v>
      </c>
      <c r="BS179" s="31">
        <f>IF(Table1[[#This Row],[Sustainability Check 2 (2018-2019) Status]]="Continued", Table1[[#This Row],[Check 2 Students Summer]], 0)</f>
        <v>125</v>
      </c>
      <c r="BT179" s="58">
        <f>Table1[[#This Row],[Summer 2018 Price Check]]*BS179</f>
        <v>21875</v>
      </c>
      <c r="BU179" s="31">
        <f>IF(Table1[[#This Row],[Sustainability Check 2 (2018-2019) Status]]="Continued", Table1[[#This Row],[Check 2 Students Fall]], 0)</f>
        <v>125</v>
      </c>
      <c r="BV179" s="58">
        <f>Table1[[#This Row],[Summer 2018 Price Check]]*BU179</f>
        <v>21875</v>
      </c>
      <c r="BW179" s="21">
        <f>IF(Table1[[#This Row],[Sustainability Check 2 (2018-2019) Status]]="Continued", Table1[Check 2 Students Spring], 0)</f>
        <v>125</v>
      </c>
      <c r="BX179" s="58">
        <f>Table1[[#This Row],[Summer 2018 Price Check]]*Table1[[#This Row],[Spring 2019 Students]]</f>
        <v>21875</v>
      </c>
      <c r="BY179" s="31">
        <f t="shared" si="130"/>
        <v>375</v>
      </c>
      <c r="BZ179" s="58">
        <f t="shared" si="131"/>
        <v>65625</v>
      </c>
      <c r="CA179" s="17" t="s">
        <v>130</v>
      </c>
      <c r="CB179" s="21">
        <v>0</v>
      </c>
      <c r="CC179" s="21">
        <v>250</v>
      </c>
      <c r="CD179" s="21">
        <v>167</v>
      </c>
      <c r="CE179" s="21">
        <f t="shared" si="153"/>
        <v>417</v>
      </c>
      <c r="CF179" s="58">
        <v>75</v>
      </c>
      <c r="CG179" s="58">
        <f t="shared" si="133"/>
        <v>31275</v>
      </c>
      <c r="CH179" s="17" t="s">
        <v>857</v>
      </c>
      <c r="CI179" s="21">
        <f>IF(Table1[[#This Row],[Check 3 Status]]="Continued", Table1[[#This Row],[Check 3 Students Summer]], 0)</f>
        <v>0</v>
      </c>
      <c r="CJ179" s="58">
        <f>Table1[[#This Row],[Check 3 Per Student Savings]]*CI179</f>
        <v>0</v>
      </c>
      <c r="CK179" s="21">
        <f>IF(Table1[[#This Row],[Check 3 Status]]="Continued", Table1[[#This Row],[Check 3 Students Fall]], 0)</f>
        <v>250</v>
      </c>
      <c r="CL179" s="58">
        <f>Table1[[#This Row],[Check 3 Per Student Savings]]*CK179</f>
        <v>18750</v>
      </c>
      <c r="CM179" s="21">
        <f>IF(Table1[[#This Row],[Check 3 Status]]="Continued", Table1[[#This Row],[Check 3 Students Spring]], 0)</f>
        <v>167</v>
      </c>
      <c r="CN179" s="58">
        <f>Table1[[#This Row],[Check 3 Per Student Savings]]*CM179</f>
        <v>12525</v>
      </c>
      <c r="CO179" s="21">
        <f t="shared" si="134"/>
        <v>417</v>
      </c>
      <c r="CP179" s="58">
        <f t="shared" si="135"/>
        <v>31275</v>
      </c>
      <c r="CQ179" s="58" t="s">
        <v>130</v>
      </c>
      <c r="CR179" s="21">
        <v>0</v>
      </c>
      <c r="CS179" s="21">
        <v>250</v>
      </c>
      <c r="CT179" s="21">
        <v>167</v>
      </c>
      <c r="CU179" s="21">
        <v>0</v>
      </c>
      <c r="CV179" s="58">
        <v>75</v>
      </c>
      <c r="CW179" s="58">
        <f t="shared" si="137"/>
        <v>0</v>
      </c>
      <c r="CX179" s="58"/>
      <c r="CY179" s="21">
        <f>IF(Table1[[#This Row],[Check 4 Status]]="Continued", Table1[[#This Row],[Check 4 Students Summer]], 0)</f>
        <v>0</v>
      </c>
      <c r="CZ179" s="58">
        <f>Table1[[#This Row],[Check 4 Per Student Savings]]*CY179</f>
        <v>0</v>
      </c>
      <c r="DA179" s="100">
        <v>0</v>
      </c>
      <c r="DB179" s="99">
        <v>0</v>
      </c>
      <c r="DC179" s="100">
        <v>0</v>
      </c>
      <c r="DD179" s="99">
        <v>0</v>
      </c>
      <c r="DE179" s="58">
        <f t="shared" si="138"/>
        <v>0</v>
      </c>
      <c r="DF179" s="58">
        <f t="shared" si="139"/>
        <v>0</v>
      </c>
      <c r="DG17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1140</v>
      </c>
      <c r="DH17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141096</v>
      </c>
      <c r="DI179" s="58">
        <f>Table1[[#This Row],[Grand Total Savings]]/Table1[[#This Row],[Total Award]]</f>
        <v>13.437714285714286</v>
      </c>
      <c r="DJ179" s="17"/>
      <c r="DK179" s="17"/>
      <c r="DL179" s="17"/>
      <c r="DM179" s="17"/>
      <c r="EC179" s="17"/>
      <c r="ED179" s="17"/>
      <c r="EE179" s="17"/>
      <c r="EF179" s="17"/>
    </row>
    <row r="180" spans="1:136" x14ac:dyDescent="0.25">
      <c r="A180" s="159">
        <v>342</v>
      </c>
      <c r="B180" s="17" t="s">
        <v>2011</v>
      </c>
      <c r="D180" s="97">
        <v>513975</v>
      </c>
      <c r="E180" s="165">
        <v>43158</v>
      </c>
      <c r="F180" s="158">
        <v>43472</v>
      </c>
      <c r="G180" s="159">
        <v>10</v>
      </c>
      <c r="H180" s="95" t="s">
        <v>7</v>
      </c>
      <c r="I180" s="226" t="s">
        <v>118</v>
      </c>
      <c r="J180" s="17" t="s">
        <v>201</v>
      </c>
      <c r="K180" s="107">
        <v>10800</v>
      </c>
      <c r="L180" s="107"/>
      <c r="M180" s="101" t="s">
        <v>202</v>
      </c>
      <c r="N180" s="101" t="s">
        <v>203</v>
      </c>
      <c r="O180" s="101" t="s">
        <v>947</v>
      </c>
      <c r="P180" s="101" t="s">
        <v>948</v>
      </c>
      <c r="Q180" s="101" t="s">
        <v>206</v>
      </c>
      <c r="R180" s="101" t="s">
        <v>129</v>
      </c>
      <c r="S180" s="173" t="s">
        <v>912</v>
      </c>
      <c r="T180" s="173" t="s">
        <v>912</v>
      </c>
      <c r="U180" s="173" t="s">
        <v>912</v>
      </c>
      <c r="V180" s="17" t="s">
        <v>150</v>
      </c>
      <c r="W180" s="17" t="s">
        <v>150</v>
      </c>
      <c r="X180" s="17" t="s">
        <v>150</v>
      </c>
      <c r="Y180" s="58">
        <v>29026</v>
      </c>
      <c r="Z180" s="17">
        <v>210</v>
      </c>
      <c r="AA180" s="58">
        <v>138</v>
      </c>
      <c r="AB180" s="21">
        <v>42</v>
      </c>
      <c r="AC180" s="21">
        <v>84</v>
      </c>
      <c r="AD180" s="21">
        <v>84</v>
      </c>
      <c r="AE180" s="17" t="s">
        <v>675</v>
      </c>
      <c r="AF180" s="17" t="s">
        <v>129</v>
      </c>
      <c r="AG180" s="17"/>
      <c r="AI180" s="17" t="s">
        <v>130</v>
      </c>
      <c r="AJ180" s="21">
        <v>0</v>
      </c>
      <c r="AK180" s="58">
        <v>0</v>
      </c>
      <c r="AL180" s="21">
        <v>0</v>
      </c>
      <c r="AM180" s="58">
        <f t="shared" si="154"/>
        <v>0</v>
      </c>
      <c r="AN180" s="21">
        <v>0</v>
      </c>
      <c r="AO180" s="58">
        <f t="shared" si="155"/>
        <v>0</v>
      </c>
      <c r="AP180" s="21">
        <v>0</v>
      </c>
      <c r="AQ180" s="58">
        <f t="shared" si="156"/>
        <v>0</v>
      </c>
      <c r="AR180" s="21">
        <v>0</v>
      </c>
      <c r="AS180" s="58">
        <f t="shared" si="157"/>
        <v>0</v>
      </c>
      <c r="AT180" s="21">
        <v>0</v>
      </c>
      <c r="AU180" s="58">
        <f t="shared" si="158"/>
        <v>0</v>
      </c>
      <c r="AV180" s="21">
        <v>0</v>
      </c>
      <c r="AW180" s="58">
        <v>0</v>
      </c>
      <c r="AX180" s="31">
        <v>0</v>
      </c>
      <c r="AY180" s="58">
        <v>0</v>
      </c>
      <c r="AZ180" s="31">
        <v>0</v>
      </c>
      <c r="BA180" s="58">
        <v>0</v>
      </c>
      <c r="BB180" s="31">
        <v>0</v>
      </c>
      <c r="BC180" s="58">
        <v>0</v>
      </c>
      <c r="BD180" s="31">
        <v>0</v>
      </c>
      <c r="BE180" s="58">
        <v>0</v>
      </c>
      <c r="BF180" s="31">
        <v>0</v>
      </c>
      <c r="BG180" s="58">
        <v>0</v>
      </c>
      <c r="BH180" s="31">
        <v>0</v>
      </c>
      <c r="BI180" s="58">
        <v>0</v>
      </c>
      <c r="BJ180" s="31">
        <v>0</v>
      </c>
      <c r="BK180" s="58">
        <v>0</v>
      </c>
      <c r="BL180" s="17" t="s">
        <v>130</v>
      </c>
      <c r="BM180" s="31">
        <v>42</v>
      </c>
      <c r="BN180" s="31">
        <v>84</v>
      </c>
      <c r="BO180" s="31">
        <v>84</v>
      </c>
      <c r="BP180" s="31">
        <f t="shared" si="148"/>
        <v>210</v>
      </c>
      <c r="BQ180" s="58">
        <v>138</v>
      </c>
      <c r="BR180" s="58">
        <f>Table1[[#This Row],[Check 2 Students Total]]*Table1[[#This Row],[Summer 2018 Price Check]]</f>
        <v>28980</v>
      </c>
      <c r="BS180" s="31">
        <v>0</v>
      </c>
      <c r="BT180" s="58">
        <f>Table1[[#This Row],[Summer 2018 Price Check]]*BS180</f>
        <v>0</v>
      </c>
      <c r="BU180" s="31">
        <f>IF(Table1[[#This Row],[Sustainability Check 2 (2018-2019) Status]]="Continued", Table1[[#This Row],[Check 2 Students Fall]], 0)</f>
        <v>84</v>
      </c>
      <c r="BV180" s="58">
        <f>Table1[[#This Row],[Summer 2018 Price Check]]*BU180</f>
        <v>11592</v>
      </c>
      <c r="BW180" s="21">
        <f>IF(Table1[[#This Row],[Sustainability Check 2 (2018-2019) Status]]="Continued", Table1[Check 2 Students Spring], 0)</f>
        <v>84</v>
      </c>
      <c r="BX180" s="58">
        <f>Table1[[#This Row],[Summer 2018 Price Check]]*Table1[[#This Row],[Spring 2019 Students]]</f>
        <v>11592</v>
      </c>
      <c r="BY180" s="31">
        <f t="shared" si="130"/>
        <v>168</v>
      </c>
      <c r="BZ180" s="58">
        <f t="shared" si="131"/>
        <v>23184</v>
      </c>
      <c r="CA180" s="17" t="s">
        <v>130</v>
      </c>
      <c r="CB180" s="21">
        <v>42</v>
      </c>
      <c r="CC180" s="21">
        <v>84</v>
      </c>
      <c r="CD180" s="21">
        <v>84</v>
      </c>
      <c r="CE180" s="21">
        <f t="shared" si="153"/>
        <v>210</v>
      </c>
      <c r="CF180" s="58">
        <v>138</v>
      </c>
      <c r="CG180" s="58">
        <f t="shared" si="133"/>
        <v>28980</v>
      </c>
      <c r="CH180" s="17" t="s">
        <v>675</v>
      </c>
      <c r="CI180" s="21">
        <f>IF(Table1[[#This Row],[Check 3 Status]]="Continued", Table1[[#This Row],[Check 3 Students Summer]], 0)</f>
        <v>42</v>
      </c>
      <c r="CJ180" s="58">
        <f>Table1[[#This Row],[Check 3 Per Student Savings]]*CI180</f>
        <v>5796</v>
      </c>
      <c r="CK180" s="21">
        <f>IF(Table1[[#This Row],[Check 3 Status]]="Continued", Table1[[#This Row],[Check 3 Students Fall]], 0)</f>
        <v>84</v>
      </c>
      <c r="CL180" s="58">
        <f>Table1[[#This Row],[Check 3 Per Student Savings]]*CK180</f>
        <v>11592</v>
      </c>
      <c r="CM180" s="21">
        <f>IF(Table1[[#This Row],[Check 3 Status]]="Continued", Table1[[#This Row],[Check 3 Students Spring]], 0)</f>
        <v>84</v>
      </c>
      <c r="CN180" s="58">
        <f>Table1[[#This Row],[Check 3 Per Student Savings]]*CM180</f>
        <v>11592</v>
      </c>
      <c r="CO180" s="21">
        <f t="shared" si="134"/>
        <v>210</v>
      </c>
      <c r="CP180" s="58">
        <f t="shared" si="135"/>
        <v>28980</v>
      </c>
      <c r="CQ180" s="58" t="s">
        <v>130</v>
      </c>
      <c r="CR180" s="21">
        <v>42</v>
      </c>
      <c r="CS180" s="21">
        <v>84</v>
      </c>
      <c r="CT180" s="21">
        <v>84</v>
      </c>
      <c r="CU180" s="21">
        <f t="shared" si="136"/>
        <v>210</v>
      </c>
      <c r="CV180" s="58">
        <v>138</v>
      </c>
      <c r="CW180" s="58">
        <f t="shared" si="137"/>
        <v>28980</v>
      </c>
      <c r="CX180" s="58"/>
      <c r="CY180" s="21">
        <f>IF(Table1[[#This Row],[Check 4 Status]]="Continued", Table1[[#This Row],[Check 4 Students Summer]], 0)</f>
        <v>42</v>
      </c>
      <c r="CZ180" s="58">
        <f>Table1[[#This Row],[Check 4 Per Student Savings]]*CY180</f>
        <v>5796</v>
      </c>
      <c r="DA180" s="21">
        <f>IF(Table1[[#This Row],[Check 4 Status]]="Continued", Table1[[#This Row],[Check 4 Students Fall]], 0)</f>
        <v>84</v>
      </c>
      <c r="DB180" s="58">
        <f>Table1[[#This Row],[Check 4 Per Student Savings]]*DA180</f>
        <v>11592</v>
      </c>
      <c r="DC180" s="21">
        <f>IF(Table1[[#This Row],[Check 4 Status]]="Continued", Table1[[#This Row],[Check 4 Students Spring]], 0)</f>
        <v>84</v>
      </c>
      <c r="DD180" s="58">
        <f>Table1[[#This Row],[Check 4 Per Student Savings]]*DC180</f>
        <v>11592</v>
      </c>
      <c r="DE180" s="58">
        <f t="shared" si="138"/>
        <v>210</v>
      </c>
      <c r="DF180" s="58">
        <f t="shared" si="139"/>
        <v>28980</v>
      </c>
      <c r="DG18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588</v>
      </c>
      <c r="DH18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81144</v>
      </c>
      <c r="DI180" s="58">
        <f>Table1[[#This Row],[Grand Total Savings]]/Table1[[#This Row],[Total Award]]</f>
        <v>7.5133333333333336</v>
      </c>
      <c r="DJ180" s="17"/>
      <c r="DK180" s="17"/>
      <c r="DL180" s="17"/>
      <c r="DM180" s="17"/>
      <c r="EC180" s="17"/>
      <c r="ED180" s="17"/>
      <c r="EE180" s="17"/>
      <c r="EF180" s="17"/>
    </row>
    <row r="181" spans="1:136" x14ac:dyDescent="0.25">
      <c r="A181" s="159">
        <v>343</v>
      </c>
      <c r="B181" s="17" t="s">
        <v>2011</v>
      </c>
      <c r="D181" s="97">
        <v>513619</v>
      </c>
      <c r="E181" s="165">
        <v>43109</v>
      </c>
      <c r="F181" s="158">
        <v>43472</v>
      </c>
      <c r="G181" s="159">
        <v>10</v>
      </c>
      <c r="H181" s="95" t="s">
        <v>7</v>
      </c>
      <c r="I181" s="226" t="s">
        <v>118</v>
      </c>
      <c r="J181" s="17" t="s">
        <v>276</v>
      </c>
      <c r="K181" s="107">
        <v>10800</v>
      </c>
      <c r="L181" s="107"/>
      <c r="M181" s="101" t="s">
        <v>949</v>
      </c>
      <c r="N181" s="101" t="s">
        <v>950</v>
      </c>
      <c r="O181" s="101" t="s">
        <v>951</v>
      </c>
      <c r="P181" s="101" t="s">
        <v>952</v>
      </c>
      <c r="Q181" s="101" t="s">
        <v>317</v>
      </c>
      <c r="R181" s="101" t="s">
        <v>129</v>
      </c>
      <c r="S181" s="101" t="s">
        <v>953</v>
      </c>
      <c r="T181" s="101" t="s">
        <v>953</v>
      </c>
      <c r="U181" s="101" t="s">
        <v>953</v>
      </c>
      <c r="V181" s="17" t="s">
        <v>150</v>
      </c>
      <c r="W181" s="17" t="s">
        <v>150</v>
      </c>
      <c r="X181" s="17" t="s">
        <v>150</v>
      </c>
      <c r="Y181" s="58">
        <v>26754</v>
      </c>
      <c r="Z181" s="17">
        <v>312</v>
      </c>
      <c r="AA181" s="58">
        <v>86</v>
      </c>
      <c r="AB181" s="21">
        <v>26</v>
      </c>
      <c r="AC181" s="21">
        <v>130</v>
      </c>
      <c r="AD181" s="21">
        <v>156</v>
      </c>
      <c r="AE181" s="17" t="s">
        <v>857</v>
      </c>
      <c r="AF181" s="17" t="s">
        <v>129</v>
      </c>
      <c r="AG181" s="17"/>
      <c r="AI181" s="17" t="s">
        <v>130</v>
      </c>
      <c r="AJ181" s="21">
        <v>0</v>
      </c>
      <c r="AK181" s="58">
        <v>0</v>
      </c>
      <c r="AL181" s="21">
        <v>0</v>
      </c>
      <c r="AM181" s="58">
        <f t="shared" si="154"/>
        <v>0</v>
      </c>
      <c r="AN181" s="21">
        <v>0</v>
      </c>
      <c r="AO181" s="58">
        <f t="shared" si="155"/>
        <v>0</v>
      </c>
      <c r="AP181" s="21">
        <v>0</v>
      </c>
      <c r="AQ181" s="58">
        <f t="shared" si="156"/>
        <v>0</v>
      </c>
      <c r="AR181" s="21">
        <v>0</v>
      </c>
      <c r="AS181" s="58">
        <f t="shared" si="157"/>
        <v>0</v>
      </c>
      <c r="AT181" s="21">
        <v>0</v>
      </c>
      <c r="AU181" s="58">
        <f t="shared" si="158"/>
        <v>0</v>
      </c>
      <c r="AV181" s="21">
        <v>0</v>
      </c>
      <c r="AW181" s="58">
        <v>0</v>
      </c>
      <c r="AX181" s="31">
        <v>0</v>
      </c>
      <c r="AY181" s="58">
        <v>0</v>
      </c>
      <c r="AZ181" s="31">
        <v>0</v>
      </c>
      <c r="BA181" s="58">
        <v>0</v>
      </c>
      <c r="BB181" s="31">
        <v>0</v>
      </c>
      <c r="BC181" s="58">
        <v>0</v>
      </c>
      <c r="BD181" s="31">
        <v>0</v>
      </c>
      <c r="BE181" s="58">
        <v>0</v>
      </c>
      <c r="BF181" s="31">
        <v>0</v>
      </c>
      <c r="BG181" s="58">
        <v>0</v>
      </c>
      <c r="BH181" s="31">
        <f>Table1[[#This Row],[Students Per Spring]]</f>
        <v>156</v>
      </c>
      <c r="BI181" s="58">
        <f>$AA181*BH181</f>
        <v>13416</v>
      </c>
      <c r="BJ181" s="31">
        <f>BD181+BF181+BH181</f>
        <v>156</v>
      </c>
      <c r="BK181" s="58">
        <f>BE181+BG181+BI181</f>
        <v>13416</v>
      </c>
      <c r="BL181" s="17" t="s">
        <v>130</v>
      </c>
      <c r="BM181" s="31">
        <v>26</v>
      </c>
      <c r="BN181" s="31">
        <v>130</v>
      </c>
      <c r="BO181" s="31">
        <v>156</v>
      </c>
      <c r="BP181" s="31">
        <f t="shared" ref="BP181:BP184" si="159">SUM(BM181:BO181)</f>
        <v>312</v>
      </c>
      <c r="BQ181" s="58">
        <v>86</v>
      </c>
      <c r="BR181" s="58">
        <f>Table1[[#This Row],[Check 2 Students Total]]*Table1[[#This Row],[Summer 2018 Price Check]]</f>
        <v>26832</v>
      </c>
      <c r="BS181" s="31">
        <f>IF(Table1[[#This Row],[Sustainability Check 2 (2018-2019) Status]]="Continued", Table1[[#This Row],[Check 2 Students Summer]], 0)</f>
        <v>26</v>
      </c>
      <c r="BT181" s="58">
        <f>Table1[[#This Row],[Summer 2018 Price Check]]*BS181</f>
        <v>2236</v>
      </c>
      <c r="BU181" s="31">
        <f>IF(Table1[[#This Row],[Sustainability Check 2 (2018-2019) Status]]="Continued", Table1[[#This Row],[Check 2 Students Fall]], 0)</f>
        <v>130</v>
      </c>
      <c r="BV181" s="58">
        <f>Table1[[#This Row],[Summer 2018 Price Check]]*BU181</f>
        <v>11180</v>
      </c>
      <c r="BW181" s="21">
        <f>IF(Table1[[#This Row],[Sustainability Check 2 (2018-2019) Status]]="Continued", Table1[Check 2 Students Spring], 0)</f>
        <v>156</v>
      </c>
      <c r="BX181" s="58">
        <f>Table1[[#This Row],[Summer 2018 Price Check]]*Table1[[#This Row],[Spring 2019 Students]]</f>
        <v>13416</v>
      </c>
      <c r="BY181" s="31">
        <f t="shared" si="130"/>
        <v>312</v>
      </c>
      <c r="BZ181" s="58">
        <f t="shared" si="131"/>
        <v>26832</v>
      </c>
      <c r="CA181" s="17" t="s">
        <v>142</v>
      </c>
      <c r="CB181" s="21">
        <v>0</v>
      </c>
      <c r="CC181" s="21">
        <v>0</v>
      </c>
      <c r="CD181" s="21">
        <v>0</v>
      </c>
      <c r="CE181" s="21">
        <f t="shared" si="153"/>
        <v>0</v>
      </c>
      <c r="CF181" s="58">
        <v>0</v>
      </c>
      <c r="CG181" s="58">
        <f t="shared" si="133"/>
        <v>0</v>
      </c>
      <c r="CH181" s="17" t="s">
        <v>857</v>
      </c>
      <c r="CI181" s="21">
        <f>IF(Table1[[#This Row],[Check 3 Status]]="Continued", Table1[[#This Row],[Check 3 Students Summer]], 0)</f>
        <v>0</v>
      </c>
      <c r="CJ181" s="58">
        <f>Table1[[#This Row],[Check 3 Per Student Savings]]*CI181</f>
        <v>0</v>
      </c>
      <c r="CK181" s="21">
        <f>IF(Table1[[#This Row],[Check 3 Status]]="Continued", Table1[[#This Row],[Check 3 Students Fall]], 0)</f>
        <v>0</v>
      </c>
      <c r="CL181" s="58">
        <f>Table1[[#This Row],[Check 3 Per Student Savings]]*CK181</f>
        <v>0</v>
      </c>
      <c r="CM181" s="21">
        <f>IF(Table1[[#This Row],[Check 3 Status]]="Continued", Table1[[#This Row],[Check 3 Students Spring]], 0)</f>
        <v>0</v>
      </c>
      <c r="CN181" s="58">
        <f>Table1[[#This Row],[Check 3 Per Student Savings]]*CM181</f>
        <v>0</v>
      </c>
      <c r="CO181" s="21">
        <f t="shared" si="134"/>
        <v>0</v>
      </c>
      <c r="CP181" s="58">
        <f t="shared" si="135"/>
        <v>0</v>
      </c>
      <c r="CQ181" s="58" t="s">
        <v>142</v>
      </c>
      <c r="CR181" s="21">
        <v>0</v>
      </c>
      <c r="CS181" s="21">
        <v>0</v>
      </c>
      <c r="CT181" s="21">
        <v>0</v>
      </c>
      <c r="CU181" s="21">
        <f t="shared" si="136"/>
        <v>0</v>
      </c>
      <c r="CV181" s="58">
        <v>0</v>
      </c>
      <c r="CW181" s="58">
        <f t="shared" si="137"/>
        <v>0</v>
      </c>
      <c r="CX181" s="58"/>
      <c r="CY181" s="21">
        <f>IF(Table1[[#This Row],[Check 4 Status]]="Continued", Table1[[#This Row],[Check 4 Students Summer]], 0)</f>
        <v>0</v>
      </c>
      <c r="CZ181" s="58">
        <f>Table1[[#This Row],[Check 4 Per Student Savings]]*CY181</f>
        <v>0</v>
      </c>
      <c r="DA181" s="21">
        <f>IF(Table1[[#This Row],[Check 4 Status]]="Continued", Table1[[#This Row],[Check 4 Students Fall]], 0)</f>
        <v>0</v>
      </c>
      <c r="DB181" s="58">
        <f>Table1[[#This Row],[Check 4 Per Student Savings]]*DA181</f>
        <v>0</v>
      </c>
      <c r="DC181" s="21">
        <f>IF(Table1[[#This Row],[Check 4 Status]]="Continued", Table1[[#This Row],[Check 4 Students Spring]], 0)</f>
        <v>0</v>
      </c>
      <c r="DD181" s="58">
        <f>Table1[[#This Row],[Check 4 Per Student Savings]]*DC181</f>
        <v>0</v>
      </c>
      <c r="DE181" s="58">
        <f t="shared" si="138"/>
        <v>0</v>
      </c>
      <c r="DF181" s="58">
        <f t="shared" si="139"/>
        <v>0</v>
      </c>
      <c r="DG18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468</v>
      </c>
      <c r="DH18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40248</v>
      </c>
      <c r="DI181" s="58">
        <f>Table1[[#This Row],[Grand Total Savings]]/Table1[[#This Row],[Total Award]]</f>
        <v>3.7266666666666666</v>
      </c>
      <c r="DJ181" s="17"/>
      <c r="DK181" s="17"/>
      <c r="DL181" s="17"/>
      <c r="DM181" s="17"/>
      <c r="EC181" s="17"/>
      <c r="ED181" s="17"/>
      <c r="EE181" s="17"/>
      <c r="EF181" s="17"/>
    </row>
    <row r="182" spans="1:136" x14ac:dyDescent="0.25">
      <c r="A182" s="159">
        <v>344</v>
      </c>
      <c r="B182" s="17" t="s">
        <v>2011</v>
      </c>
      <c r="D182" s="97">
        <v>514044</v>
      </c>
      <c r="E182" s="165">
        <v>43171</v>
      </c>
      <c r="F182" s="158">
        <v>43497</v>
      </c>
      <c r="G182" s="159">
        <v>10</v>
      </c>
      <c r="H182" s="95" t="s">
        <v>7</v>
      </c>
      <c r="I182" s="226" t="s">
        <v>118</v>
      </c>
      <c r="J182" s="17" t="s">
        <v>671</v>
      </c>
      <c r="K182" s="107">
        <v>26636</v>
      </c>
      <c r="L182" s="107"/>
      <c r="M182" s="101" t="s">
        <v>672</v>
      </c>
      <c r="N182" s="101" t="s">
        <v>673</v>
      </c>
      <c r="O182" s="101" t="s">
        <v>954</v>
      </c>
      <c r="P182" s="101" t="s">
        <v>955</v>
      </c>
      <c r="Q182" s="101" t="s">
        <v>148</v>
      </c>
      <c r="R182" s="101" t="s">
        <v>956</v>
      </c>
      <c r="S182" s="173" t="s">
        <v>912</v>
      </c>
      <c r="T182" s="173" t="s">
        <v>912</v>
      </c>
      <c r="U182" s="173" t="s">
        <v>912</v>
      </c>
      <c r="V182" s="17" t="s">
        <v>150</v>
      </c>
      <c r="W182" s="17" t="s">
        <v>150</v>
      </c>
      <c r="X182" s="17" t="s">
        <v>150</v>
      </c>
      <c r="Y182" s="58">
        <v>300000</v>
      </c>
      <c r="Z182" s="17">
        <v>1650</v>
      </c>
      <c r="AA182" s="58">
        <v>182</v>
      </c>
      <c r="AB182" s="21">
        <v>150</v>
      </c>
      <c r="AC182" s="21">
        <v>1110</v>
      </c>
      <c r="AD182" s="21">
        <v>750</v>
      </c>
      <c r="AE182" s="17" t="s">
        <v>675</v>
      </c>
      <c r="AF182" s="17" t="s">
        <v>129</v>
      </c>
      <c r="AG182" s="17"/>
      <c r="AI182" s="17" t="s">
        <v>130</v>
      </c>
      <c r="AJ182" s="21">
        <v>0</v>
      </c>
      <c r="AK182" s="58">
        <v>0</v>
      </c>
      <c r="AL182" s="21">
        <v>0</v>
      </c>
      <c r="AM182" s="58">
        <f t="shared" si="154"/>
        <v>0</v>
      </c>
      <c r="AN182" s="21">
        <v>0</v>
      </c>
      <c r="AO182" s="58">
        <f t="shared" si="155"/>
        <v>0</v>
      </c>
      <c r="AP182" s="21">
        <v>0</v>
      </c>
      <c r="AQ182" s="58">
        <f t="shared" si="156"/>
        <v>0</v>
      </c>
      <c r="AR182" s="21">
        <v>0</v>
      </c>
      <c r="AS182" s="58">
        <f t="shared" si="157"/>
        <v>0</v>
      </c>
      <c r="AT182" s="21">
        <v>0</v>
      </c>
      <c r="AU182" s="58">
        <f t="shared" si="158"/>
        <v>0</v>
      </c>
      <c r="AV182" s="21">
        <v>0</v>
      </c>
      <c r="AW182" s="58">
        <v>0</v>
      </c>
      <c r="AX182" s="31">
        <v>0</v>
      </c>
      <c r="AY182" s="58">
        <v>0</v>
      </c>
      <c r="AZ182" s="31">
        <v>0</v>
      </c>
      <c r="BA182" s="58">
        <v>0</v>
      </c>
      <c r="BB182" s="31">
        <v>0</v>
      </c>
      <c r="BC182" s="58">
        <v>0</v>
      </c>
      <c r="BD182" s="31">
        <v>0</v>
      </c>
      <c r="BE182" s="58">
        <v>0</v>
      </c>
      <c r="BF182" s="31">
        <v>0</v>
      </c>
      <c r="BG182" s="58">
        <v>0</v>
      </c>
      <c r="BH182" s="31">
        <v>0</v>
      </c>
      <c r="BI182" s="58">
        <v>0</v>
      </c>
      <c r="BJ182" s="31">
        <v>0</v>
      </c>
      <c r="BK182" s="58">
        <v>0</v>
      </c>
      <c r="BL182" s="17" t="s">
        <v>130</v>
      </c>
      <c r="BM182" s="31">
        <v>150</v>
      </c>
      <c r="BN182" s="31">
        <v>1110</v>
      </c>
      <c r="BO182" s="31">
        <v>750</v>
      </c>
      <c r="BP182" s="31">
        <f t="shared" si="159"/>
        <v>2010</v>
      </c>
      <c r="BQ182" s="58">
        <v>182</v>
      </c>
      <c r="BR182" s="58">
        <f>Table1[[#This Row],[Check 2 Students Total]]*Table1[[#This Row],[Summer 2018 Price Check]]</f>
        <v>365820</v>
      </c>
      <c r="BS182" s="31">
        <v>0</v>
      </c>
      <c r="BT182" s="58">
        <f>Table1[[#This Row],[Summer 2018 Price Check]]*BS182</f>
        <v>0</v>
      </c>
      <c r="BU182" s="31">
        <f>IF(Table1[[#This Row],[Sustainability Check 2 (2018-2019) Status]]="Continued", Table1[[#This Row],[Check 2 Students Fall]], 0)</f>
        <v>1110</v>
      </c>
      <c r="BV182" s="58">
        <f>Table1[[#This Row],[Summer 2018 Price Check]]*BU182</f>
        <v>202020</v>
      </c>
      <c r="BW182" s="21">
        <f>IF(Table1[[#This Row],[Sustainability Check 2 (2018-2019) Status]]="Continued", Table1[Check 2 Students Spring], 0)</f>
        <v>750</v>
      </c>
      <c r="BX182" s="58">
        <f>Table1[[#This Row],[Summer 2018 Price Check]]*Table1[[#This Row],[Spring 2019 Students]]</f>
        <v>136500</v>
      </c>
      <c r="BY182" s="31">
        <f t="shared" si="130"/>
        <v>1860</v>
      </c>
      <c r="BZ182" s="58">
        <f t="shared" si="131"/>
        <v>338520</v>
      </c>
      <c r="CA182" s="17" t="s">
        <v>130</v>
      </c>
      <c r="CB182" s="21">
        <v>150</v>
      </c>
      <c r="CC182" s="21">
        <v>1110</v>
      </c>
      <c r="CD182" s="21">
        <v>750</v>
      </c>
      <c r="CE182" s="21">
        <f t="shared" si="153"/>
        <v>2010</v>
      </c>
      <c r="CF182" s="58">
        <v>86</v>
      </c>
      <c r="CG182" s="58">
        <f t="shared" si="133"/>
        <v>172860</v>
      </c>
      <c r="CH182" s="17" t="s">
        <v>675</v>
      </c>
      <c r="CI182" s="21">
        <f>IF(Table1[[#This Row],[Check 3 Status]]="Continued", Table1[[#This Row],[Check 3 Students Summer]], 0)</f>
        <v>150</v>
      </c>
      <c r="CJ182" s="58">
        <f>Table1[[#This Row],[Check 3 Per Student Savings]]*CI182</f>
        <v>12900</v>
      </c>
      <c r="CK182" s="21">
        <f>IF(Table1[[#This Row],[Check 3 Status]]="Continued", Table1[[#This Row],[Check 3 Students Fall]], 0)</f>
        <v>1110</v>
      </c>
      <c r="CL182" s="58">
        <f>Table1[[#This Row],[Check 3 Per Student Savings]]*CK182</f>
        <v>95460</v>
      </c>
      <c r="CM182" s="21">
        <f>IF(Table1[[#This Row],[Check 3 Status]]="Continued", Table1[[#This Row],[Check 3 Students Spring]], 0)</f>
        <v>750</v>
      </c>
      <c r="CN182" s="58">
        <f>Table1[[#This Row],[Check 3 Per Student Savings]]*CM182</f>
        <v>64500</v>
      </c>
      <c r="CO182" s="21">
        <f t="shared" si="134"/>
        <v>2010</v>
      </c>
      <c r="CP182" s="58">
        <f t="shared" si="135"/>
        <v>172860</v>
      </c>
      <c r="CQ182" s="58" t="s">
        <v>130</v>
      </c>
      <c r="CR182" s="21">
        <v>150</v>
      </c>
      <c r="CS182" s="21">
        <v>1110</v>
      </c>
      <c r="CT182" s="21">
        <v>750</v>
      </c>
      <c r="CU182" s="21">
        <f t="shared" si="136"/>
        <v>2010</v>
      </c>
      <c r="CV182" s="58">
        <v>86</v>
      </c>
      <c r="CW182" s="58">
        <f t="shared" si="137"/>
        <v>172860</v>
      </c>
      <c r="CX182" s="58"/>
      <c r="CY182" s="21">
        <f>IF(Table1[[#This Row],[Check 4 Status]]="Continued", Table1[[#This Row],[Check 4 Students Summer]], 0)</f>
        <v>150</v>
      </c>
      <c r="CZ182" s="58">
        <f>Table1[[#This Row],[Check 4 Per Student Savings]]*CY182</f>
        <v>12900</v>
      </c>
      <c r="DA182" s="21">
        <f>IF(Table1[[#This Row],[Check 4 Status]]="Continued", Table1[[#This Row],[Check 4 Students Fall]], 0)</f>
        <v>1110</v>
      </c>
      <c r="DB182" s="58">
        <f>Table1[[#This Row],[Check 4 Per Student Savings]]*DA182</f>
        <v>95460</v>
      </c>
      <c r="DC182" s="21">
        <f>IF(Table1[[#This Row],[Check 4 Status]]="Continued", Table1[[#This Row],[Check 4 Students Spring]], 0)</f>
        <v>750</v>
      </c>
      <c r="DD182" s="58">
        <f>Table1[[#This Row],[Check 4 Per Student Savings]]*DC182</f>
        <v>64500</v>
      </c>
      <c r="DE182" s="58">
        <f t="shared" si="138"/>
        <v>2010</v>
      </c>
      <c r="DF182" s="58">
        <f t="shared" si="139"/>
        <v>172860</v>
      </c>
      <c r="DG18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5880</v>
      </c>
      <c r="DH18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684240</v>
      </c>
      <c r="DI182" s="58">
        <f>Table1[[#This Row],[Grand Total Savings]]/Table1[[#This Row],[Total Award]]</f>
        <v>25.688541823096561</v>
      </c>
      <c r="DJ182" s="17"/>
      <c r="DK182" s="17"/>
      <c r="DL182" s="17"/>
      <c r="DM182" s="17"/>
      <c r="EC182" s="17"/>
      <c r="ED182" s="17"/>
      <c r="EE182" s="17"/>
      <c r="EF182" s="17"/>
    </row>
    <row r="183" spans="1:136" x14ac:dyDescent="0.25">
      <c r="A183" s="159">
        <v>345</v>
      </c>
      <c r="B183" s="17" t="s">
        <v>2011</v>
      </c>
      <c r="D183" s="97">
        <v>513851</v>
      </c>
      <c r="E183" s="165">
        <v>43171</v>
      </c>
      <c r="F183" s="158">
        <v>43511</v>
      </c>
      <c r="G183" s="159">
        <v>10</v>
      </c>
      <c r="H183" s="95" t="s">
        <v>7</v>
      </c>
      <c r="I183" s="226" t="s">
        <v>118</v>
      </c>
      <c r="J183" s="17" t="s">
        <v>250</v>
      </c>
      <c r="K183" s="107">
        <v>30000</v>
      </c>
      <c r="L183" s="107"/>
      <c r="M183" s="101" t="s">
        <v>565</v>
      </c>
      <c r="N183" s="101" t="s">
        <v>957</v>
      </c>
      <c r="O183" s="101" t="s">
        <v>309</v>
      </c>
      <c r="P183" s="101" t="s">
        <v>310</v>
      </c>
      <c r="Q183" s="101" t="s">
        <v>148</v>
      </c>
      <c r="R183" s="101" t="s">
        <v>309</v>
      </c>
      <c r="S183" s="173" t="s">
        <v>912</v>
      </c>
      <c r="T183" s="173" t="s">
        <v>912</v>
      </c>
      <c r="U183" s="173" t="s">
        <v>912</v>
      </c>
      <c r="V183" s="17" t="s">
        <v>150</v>
      </c>
      <c r="W183" s="17" t="s">
        <v>150</v>
      </c>
      <c r="X183" s="17" t="s">
        <v>150</v>
      </c>
      <c r="Y183" s="58">
        <v>405000</v>
      </c>
      <c r="Z183" s="17">
        <v>2700</v>
      </c>
      <c r="AA183" s="58">
        <v>150</v>
      </c>
      <c r="AB183" s="21">
        <v>300</v>
      </c>
      <c r="AC183" s="21">
        <v>1200</v>
      </c>
      <c r="AD183" s="21">
        <v>1200</v>
      </c>
      <c r="AE183" s="17" t="s">
        <v>675</v>
      </c>
      <c r="AF183" s="17" t="s">
        <v>129</v>
      </c>
      <c r="AG183" s="17"/>
      <c r="AI183" s="17" t="s">
        <v>130</v>
      </c>
      <c r="AJ183" s="21">
        <v>0</v>
      </c>
      <c r="AK183" s="58">
        <v>0</v>
      </c>
      <c r="AL183" s="21">
        <v>0</v>
      </c>
      <c r="AM183" s="58">
        <f t="shared" si="154"/>
        <v>0</v>
      </c>
      <c r="AN183" s="21">
        <v>0</v>
      </c>
      <c r="AO183" s="58">
        <f t="shared" si="155"/>
        <v>0</v>
      </c>
      <c r="AP183" s="21">
        <v>0</v>
      </c>
      <c r="AQ183" s="58">
        <f t="shared" si="156"/>
        <v>0</v>
      </c>
      <c r="AR183" s="21">
        <v>0</v>
      </c>
      <c r="AS183" s="58">
        <f t="shared" si="157"/>
        <v>0</v>
      </c>
      <c r="AT183" s="21">
        <v>0</v>
      </c>
      <c r="AU183" s="58">
        <f t="shared" si="158"/>
        <v>0</v>
      </c>
      <c r="AV183" s="21">
        <v>0</v>
      </c>
      <c r="AW183" s="58">
        <v>0</v>
      </c>
      <c r="AX183" s="31">
        <v>0</v>
      </c>
      <c r="AY183" s="58">
        <v>0</v>
      </c>
      <c r="AZ183" s="31">
        <v>0</v>
      </c>
      <c r="BA183" s="58">
        <v>0</v>
      </c>
      <c r="BB183" s="31">
        <v>0</v>
      </c>
      <c r="BC183" s="58">
        <v>0</v>
      </c>
      <c r="BD183" s="31">
        <v>0</v>
      </c>
      <c r="BE183" s="58">
        <v>0</v>
      </c>
      <c r="BF183" s="31">
        <v>0</v>
      </c>
      <c r="BG183" s="58">
        <v>0</v>
      </c>
      <c r="BH183" s="31">
        <v>0</v>
      </c>
      <c r="BI183" s="58">
        <v>0</v>
      </c>
      <c r="BJ183" s="31">
        <v>0</v>
      </c>
      <c r="BK183" s="58">
        <v>0</v>
      </c>
      <c r="BL183" s="17" t="s">
        <v>130</v>
      </c>
      <c r="BM183" s="31">
        <v>300</v>
      </c>
      <c r="BN183" s="31">
        <v>1200</v>
      </c>
      <c r="BO183" s="31">
        <v>1200</v>
      </c>
      <c r="BP183" s="31">
        <f t="shared" si="159"/>
        <v>2700</v>
      </c>
      <c r="BQ183" s="58">
        <v>150</v>
      </c>
      <c r="BR183" s="58">
        <f>Table1[[#This Row],[Check 2 Students Total]]*Table1[[#This Row],[Summer 2018 Price Check]]</f>
        <v>405000</v>
      </c>
      <c r="BS183" s="31">
        <v>0</v>
      </c>
      <c r="BT183" s="58">
        <f>Table1[[#This Row],[Summer 2018 Price Check]]*BS183</f>
        <v>0</v>
      </c>
      <c r="BU183" s="31">
        <f>IF(Table1[[#This Row],[Sustainability Check 2 (2018-2019) Status]]="Continued", Table1[[#This Row],[Check 2 Students Fall]], 0)</f>
        <v>1200</v>
      </c>
      <c r="BV183" s="58">
        <f>Table1[[#This Row],[Summer 2018 Price Check]]*BU183</f>
        <v>180000</v>
      </c>
      <c r="BW183" s="21">
        <f>IF(Table1[[#This Row],[Sustainability Check 2 (2018-2019) Status]]="Continued", Table1[Check 2 Students Spring], 0)</f>
        <v>1200</v>
      </c>
      <c r="BX183" s="58">
        <f>Table1[[#This Row],[Summer 2018 Price Check]]*Table1[[#This Row],[Spring 2019 Students]]</f>
        <v>180000</v>
      </c>
      <c r="BY183" s="31">
        <f t="shared" si="130"/>
        <v>2400</v>
      </c>
      <c r="BZ183" s="58">
        <f t="shared" si="131"/>
        <v>360000</v>
      </c>
      <c r="CA183" s="17" t="s">
        <v>130</v>
      </c>
      <c r="CB183" s="21">
        <v>300</v>
      </c>
      <c r="CC183" s="21">
        <v>1200</v>
      </c>
      <c r="CD183" s="21">
        <v>1200</v>
      </c>
      <c r="CE183" s="21">
        <f t="shared" si="153"/>
        <v>2700</v>
      </c>
      <c r="CF183" s="58">
        <v>150</v>
      </c>
      <c r="CG183" s="58">
        <f t="shared" si="133"/>
        <v>405000</v>
      </c>
      <c r="CH183" s="17" t="s">
        <v>675</v>
      </c>
      <c r="CI183" s="21">
        <f>IF(Table1[[#This Row],[Check 3 Status]]="Continued", Table1[[#This Row],[Check 3 Students Summer]], 0)</f>
        <v>300</v>
      </c>
      <c r="CJ183" s="58">
        <f>Table1[[#This Row],[Check 3 Per Student Savings]]*CI183</f>
        <v>45000</v>
      </c>
      <c r="CK183" s="21">
        <f>IF(Table1[[#This Row],[Check 3 Status]]="Continued", Table1[[#This Row],[Check 3 Students Fall]], 0)</f>
        <v>1200</v>
      </c>
      <c r="CL183" s="58">
        <f>Table1[[#This Row],[Check 3 Per Student Savings]]*CK183</f>
        <v>180000</v>
      </c>
      <c r="CM183" s="21">
        <f>IF(Table1[[#This Row],[Check 3 Status]]="Continued", Table1[[#This Row],[Check 3 Students Spring]], 0)</f>
        <v>1200</v>
      </c>
      <c r="CN183" s="58">
        <f>Table1[[#This Row],[Check 3 Per Student Savings]]*CM183</f>
        <v>180000</v>
      </c>
      <c r="CO183" s="21">
        <f t="shared" si="134"/>
        <v>2700</v>
      </c>
      <c r="CP183" s="58">
        <f t="shared" si="135"/>
        <v>405000</v>
      </c>
      <c r="CQ183" s="58" t="s">
        <v>130</v>
      </c>
      <c r="CR183" s="21">
        <v>300</v>
      </c>
      <c r="CS183" s="21">
        <v>1200</v>
      </c>
      <c r="CT183" s="21">
        <v>1200</v>
      </c>
      <c r="CU183" s="21">
        <f t="shared" si="136"/>
        <v>2700</v>
      </c>
      <c r="CV183" s="58">
        <v>150</v>
      </c>
      <c r="CW183" s="58">
        <f t="shared" si="137"/>
        <v>405000</v>
      </c>
      <c r="CX183" s="58"/>
      <c r="CY183" s="21">
        <f>IF(Table1[[#This Row],[Check 4 Status]]="Continued", Table1[[#This Row],[Check 4 Students Summer]], 0)</f>
        <v>300</v>
      </c>
      <c r="CZ183" s="58">
        <f>Table1[[#This Row],[Check 4 Per Student Savings]]*CY183</f>
        <v>45000</v>
      </c>
      <c r="DA183" s="21">
        <f>IF(Table1[[#This Row],[Check 4 Status]]="Continued", Table1[[#This Row],[Check 4 Students Fall]], 0)</f>
        <v>1200</v>
      </c>
      <c r="DB183" s="58">
        <f>Table1[[#This Row],[Check 4 Per Student Savings]]*DA183</f>
        <v>180000</v>
      </c>
      <c r="DC183" s="21">
        <f>IF(Table1[[#This Row],[Check 4 Status]]="Continued", Table1[[#This Row],[Check 4 Students Spring]], 0)</f>
        <v>1200</v>
      </c>
      <c r="DD183" s="58">
        <f>Table1[[#This Row],[Check 4 Per Student Savings]]*DC183</f>
        <v>180000</v>
      </c>
      <c r="DE183" s="58">
        <f t="shared" si="138"/>
        <v>2700</v>
      </c>
      <c r="DF183" s="58">
        <f t="shared" si="139"/>
        <v>405000</v>
      </c>
      <c r="DG18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7800</v>
      </c>
      <c r="DH18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1170000</v>
      </c>
      <c r="DI183" s="58">
        <f>Table1[[#This Row],[Grand Total Savings]]/Table1[[#This Row],[Total Award]]</f>
        <v>39</v>
      </c>
      <c r="DJ183" s="17"/>
      <c r="DK183" s="17"/>
      <c r="DL183" s="17"/>
      <c r="DM183" s="17"/>
      <c r="EC183" s="17"/>
      <c r="ED183" s="17"/>
      <c r="EE183" s="17"/>
      <c r="EF183" s="17"/>
    </row>
    <row r="184" spans="1:136" x14ac:dyDescent="0.25">
      <c r="A184" s="159">
        <v>347</v>
      </c>
      <c r="B184" s="17" t="s">
        <v>2011</v>
      </c>
      <c r="D184" s="97">
        <v>513703</v>
      </c>
      <c r="E184" s="165">
        <v>43132</v>
      </c>
      <c r="F184" s="158">
        <v>43514</v>
      </c>
      <c r="G184" s="159">
        <v>10</v>
      </c>
      <c r="H184" s="95" t="s">
        <v>7</v>
      </c>
      <c r="I184" s="226" t="s">
        <v>118</v>
      </c>
      <c r="J184" s="17" t="s">
        <v>276</v>
      </c>
      <c r="K184" s="107">
        <v>30000</v>
      </c>
      <c r="L184" s="107"/>
      <c r="M184" s="101" t="s">
        <v>826</v>
      </c>
      <c r="N184" s="101" t="s">
        <v>827</v>
      </c>
      <c r="O184" s="101" t="s">
        <v>958</v>
      </c>
      <c r="P184" s="101" t="s">
        <v>959</v>
      </c>
      <c r="Q184" s="101" t="s">
        <v>714</v>
      </c>
      <c r="R184" s="101" t="s">
        <v>960</v>
      </c>
      <c r="S184" s="101" t="s">
        <v>953</v>
      </c>
      <c r="T184" s="101" t="s">
        <v>953</v>
      </c>
      <c r="U184" s="101" t="s">
        <v>953</v>
      </c>
      <c r="V184" s="17" t="s">
        <v>150</v>
      </c>
      <c r="W184" s="17" t="s">
        <v>150</v>
      </c>
      <c r="X184" s="17" t="s">
        <v>150</v>
      </c>
      <c r="Y184" s="58">
        <v>77333</v>
      </c>
      <c r="Z184" s="17">
        <v>735</v>
      </c>
      <c r="AA184" s="58">
        <v>105</v>
      </c>
      <c r="AB184" s="21">
        <v>70</v>
      </c>
      <c r="AC184" s="21">
        <v>385</v>
      </c>
      <c r="AD184" s="21">
        <v>280</v>
      </c>
      <c r="AE184" s="17" t="s">
        <v>675</v>
      </c>
      <c r="AF184" s="17" t="s">
        <v>129</v>
      </c>
      <c r="AG184" s="17"/>
      <c r="AI184" s="17" t="s">
        <v>130</v>
      </c>
      <c r="AJ184" s="21">
        <v>0</v>
      </c>
      <c r="AK184" s="58">
        <v>0</v>
      </c>
      <c r="AL184" s="21">
        <v>0</v>
      </c>
      <c r="AM184" s="58">
        <f t="shared" si="154"/>
        <v>0</v>
      </c>
      <c r="AN184" s="21">
        <v>0</v>
      </c>
      <c r="AO184" s="58">
        <f t="shared" si="155"/>
        <v>0</v>
      </c>
      <c r="AP184" s="21">
        <v>0</v>
      </c>
      <c r="AQ184" s="58">
        <f t="shared" si="156"/>
        <v>0</v>
      </c>
      <c r="AR184" s="21">
        <v>0</v>
      </c>
      <c r="AS184" s="58">
        <f t="shared" si="157"/>
        <v>0</v>
      </c>
      <c r="AT184" s="21">
        <v>0</v>
      </c>
      <c r="AU184" s="58">
        <f t="shared" si="158"/>
        <v>0</v>
      </c>
      <c r="AV184" s="21">
        <v>0</v>
      </c>
      <c r="AW184" s="58">
        <v>0</v>
      </c>
      <c r="AX184" s="31">
        <v>0</v>
      </c>
      <c r="AY184" s="58">
        <v>0</v>
      </c>
      <c r="AZ184" s="31">
        <v>0</v>
      </c>
      <c r="BA184" s="58">
        <v>0</v>
      </c>
      <c r="BB184" s="31">
        <v>0</v>
      </c>
      <c r="BC184" s="58">
        <v>0</v>
      </c>
      <c r="BD184" s="31">
        <v>0</v>
      </c>
      <c r="BE184" s="58">
        <v>0</v>
      </c>
      <c r="BF184" s="31">
        <v>0</v>
      </c>
      <c r="BG184" s="58">
        <v>0</v>
      </c>
      <c r="BH184" s="31">
        <v>0</v>
      </c>
      <c r="BI184" s="58">
        <v>0</v>
      </c>
      <c r="BJ184" s="31">
        <v>0</v>
      </c>
      <c r="BK184" s="58">
        <v>0</v>
      </c>
      <c r="BL184" s="17" t="s">
        <v>130</v>
      </c>
      <c r="BM184" s="31">
        <v>70</v>
      </c>
      <c r="BN184" s="31">
        <v>385</v>
      </c>
      <c r="BO184" s="31">
        <v>280</v>
      </c>
      <c r="BP184" s="31">
        <f t="shared" si="159"/>
        <v>735</v>
      </c>
      <c r="BQ184" s="58">
        <v>105</v>
      </c>
      <c r="BR184" s="58">
        <f>Table1[[#This Row],[Check 2 Students Total]]*Table1[[#This Row],[Summer 2018 Price Check]]</f>
        <v>77175</v>
      </c>
      <c r="BS184" s="31">
        <v>0</v>
      </c>
      <c r="BT184" s="58">
        <f>Table1[[#This Row],[Summer 2018 Price Check]]*BS184</f>
        <v>0</v>
      </c>
      <c r="BU184" s="31">
        <f>IF(Table1[[#This Row],[Sustainability Check 2 (2018-2019) Status]]="Continued", Table1[[#This Row],[Check 2 Students Fall]], 0)</f>
        <v>385</v>
      </c>
      <c r="BV184" s="58">
        <f>Table1[[#This Row],[Summer 2018 Price Check]]*BU184</f>
        <v>40425</v>
      </c>
      <c r="BW184" s="21">
        <f>IF(Table1[[#This Row],[Sustainability Check 2 (2018-2019) Status]]="Continued", Table1[Check 2 Students Spring], 0)</f>
        <v>280</v>
      </c>
      <c r="BX184" s="58">
        <f>Table1[[#This Row],[Summer 2018 Price Check]]*Table1[[#This Row],[Spring 2019 Students]]</f>
        <v>29400</v>
      </c>
      <c r="BY184" s="31">
        <f t="shared" si="130"/>
        <v>665</v>
      </c>
      <c r="BZ184" s="58">
        <f t="shared" si="131"/>
        <v>69825</v>
      </c>
      <c r="CA184" s="17" t="s">
        <v>130</v>
      </c>
      <c r="CB184" s="21">
        <v>70</v>
      </c>
      <c r="CC184" s="21">
        <v>385</v>
      </c>
      <c r="CD184" s="21">
        <v>280</v>
      </c>
      <c r="CE184" s="21">
        <f t="shared" si="153"/>
        <v>735</v>
      </c>
      <c r="CF184" s="58">
        <v>105</v>
      </c>
      <c r="CG184" s="58">
        <f t="shared" si="133"/>
        <v>77175</v>
      </c>
      <c r="CH184" s="17" t="s">
        <v>675</v>
      </c>
      <c r="CI184" s="21">
        <f>IF(Table1[[#This Row],[Check 3 Status]]="Continued", Table1[[#This Row],[Check 3 Students Summer]], 0)</f>
        <v>70</v>
      </c>
      <c r="CJ184" s="58">
        <f>Table1[[#This Row],[Check 3 Per Student Savings]]*CI184</f>
        <v>7350</v>
      </c>
      <c r="CK184" s="21">
        <f>IF(Table1[[#This Row],[Check 3 Status]]="Continued", Table1[[#This Row],[Check 3 Students Fall]], 0)</f>
        <v>385</v>
      </c>
      <c r="CL184" s="58">
        <f>Table1[[#This Row],[Check 3 Per Student Savings]]*CK184</f>
        <v>40425</v>
      </c>
      <c r="CM184" s="21">
        <f>IF(Table1[[#This Row],[Check 3 Status]]="Continued", Table1[[#This Row],[Check 3 Students Spring]], 0)</f>
        <v>280</v>
      </c>
      <c r="CN184" s="58">
        <f>Table1[[#This Row],[Check 3 Per Student Savings]]*CM184</f>
        <v>29400</v>
      </c>
      <c r="CO184" s="21">
        <f t="shared" si="134"/>
        <v>735</v>
      </c>
      <c r="CP184" s="58">
        <f t="shared" si="135"/>
        <v>77175</v>
      </c>
      <c r="CQ184" s="58" t="s">
        <v>130</v>
      </c>
      <c r="CR184" s="21">
        <v>70</v>
      </c>
      <c r="CS184" s="21">
        <v>385</v>
      </c>
      <c r="CT184" s="21">
        <v>280</v>
      </c>
      <c r="CU184" s="21">
        <f t="shared" si="136"/>
        <v>735</v>
      </c>
      <c r="CV184" s="58">
        <v>105</v>
      </c>
      <c r="CW184" s="58">
        <f t="shared" si="137"/>
        <v>77175</v>
      </c>
      <c r="CX184" s="58"/>
      <c r="CY184" s="21">
        <f>IF(Table1[[#This Row],[Check 4 Status]]="Continued", Table1[[#This Row],[Check 4 Students Summer]], 0)</f>
        <v>70</v>
      </c>
      <c r="CZ184" s="58">
        <f>Table1[[#This Row],[Check 4 Per Student Savings]]*CY184</f>
        <v>7350</v>
      </c>
      <c r="DA184" s="21">
        <f>IF(Table1[[#This Row],[Check 4 Status]]="Continued", Table1[[#This Row],[Check 4 Students Fall]], 0)</f>
        <v>385</v>
      </c>
      <c r="DB184" s="58">
        <f>Table1[[#This Row],[Check 4 Per Student Savings]]*DA184</f>
        <v>40425</v>
      </c>
      <c r="DC184" s="21">
        <f>IF(Table1[[#This Row],[Check 4 Status]]="Continued", Table1[[#This Row],[Check 4 Students Spring]], 0)</f>
        <v>280</v>
      </c>
      <c r="DD184" s="58">
        <f>Table1[[#This Row],[Check 4 Per Student Savings]]*DC184</f>
        <v>29400</v>
      </c>
      <c r="DE184" s="58">
        <f t="shared" si="138"/>
        <v>735</v>
      </c>
      <c r="DF184" s="58">
        <f t="shared" si="139"/>
        <v>77175</v>
      </c>
      <c r="DG18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2135</v>
      </c>
      <c r="DH18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224175</v>
      </c>
      <c r="DI184" s="58">
        <f>Table1[[#This Row],[Grand Total Savings]]/Table1[[#This Row],[Total Award]]</f>
        <v>7.4725000000000001</v>
      </c>
      <c r="DJ184" s="17"/>
      <c r="DK184" s="17"/>
      <c r="DL184" s="17"/>
      <c r="DM184" s="17"/>
      <c r="EC184" s="17"/>
      <c r="ED184" s="17"/>
      <c r="EE184" s="17"/>
      <c r="EF184" s="17"/>
    </row>
    <row r="185" spans="1:136" x14ac:dyDescent="0.25">
      <c r="A185" s="157" t="s">
        <v>961</v>
      </c>
      <c r="B185" s="17" t="s">
        <v>2011</v>
      </c>
      <c r="D185" s="97">
        <v>514222</v>
      </c>
      <c r="E185" s="165">
        <v>43234</v>
      </c>
      <c r="F185" s="158">
        <v>43479</v>
      </c>
      <c r="G185" s="159">
        <v>10</v>
      </c>
      <c r="H185" s="95" t="s">
        <v>7</v>
      </c>
      <c r="I185" s="17" t="s">
        <v>962</v>
      </c>
      <c r="J185" s="17" t="s">
        <v>236</v>
      </c>
      <c r="K185" s="107">
        <v>4800</v>
      </c>
      <c r="L185" s="107"/>
      <c r="M185" s="101" t="s">
        <v>526</v>
      </c>
      <c r="N185" s="101" t="s">
        <v>527</v>
      </c>
      <c r="O185" s="101" t="s">
        <v>528</v>
      </c>
      <c r="P185" s="101" t="s">
        <v>529</v>
      </c>
      <c r="Q185" s="101" t="s">
        <v>530</v>
      </c>
      <c r="R185" s="101" t="s">
        <v>531</v>
      </c>
      <c r="S185" s="128" t="s">
        <v>36</v>
      </c>
      <c r="T185" s="17" t="s">
        <v>129</v>
      </c>
      <c r="U185" s="128" t="s">
        <v>963</v>
      </c>
      <c r="V185" s="17" t="s">
        <v>140</v>
      </c>
      <c r="W185" s="17" t="s">
        <v>140</v>
      </c>
      <c r="X185" s="17" t="s">
        <v>140</v>
      </c>
      <c r="Y185" s="58">
        <v>0</v>
      </c>
      <c r="Z185" s="101">
        <v>0</v>
      </c>
      <c r="AA185" s="58">
        <v>0</v>
      </c>
      <c r="AB185" s="21">
        <v>0</v>
      </c>
      <c r="AC185" s="21">
        <v>0</v>
      </c>
      <c r="AD185" s="21">
        <v>0</v>
      </c>
      <c r="AF185" s="17" t="s">
        <v>129</v>
      </c>
      <c r="AG185" s="17"/>
      <c r="AI185" s="17" t="s">
        <v>964</v>
      </c>
      <c r="AJ185" s="21">
        <v>0</v>
      </c>
      <c r="AK185" s="31">
        <v>0</v>
      </c>
      <c r="AL185" s="21">
        <v>0</v>
      </c>
      <c r="AM185" s="31">
        <v>0</v>
      </c>
      <c r="AN185" s="21">
        <v>0</v>
      </c>
      <c r="AO185" s="31">
        <v>0</v>
      </c>
      <c r="AP185" s="21">
        <v>0</v>
      </c>
      <c r="AQ185" s="31">
        <v>0</v>
      </c>
      <c r="AR185" s="21">
        <v>0</v>
      </c>
      <c r="AS185" s="31">
        <v>0</v>
      </c>
      <c r="AT185" s="21">
        <v>0</v>
      </c>
      <c r="AU185" s="31">
        <v>0</v>
      </c>
      <c r="AV185" s="21">
        <v>0</v>
      </c>
      <c r="AW185" s="31">
        <v>0</v>
      </c>
      <c r="AX185" s="31">
        <v>0</v>
      </c>
      <c r="AY185" s="31">
        <v>0</v>
      </c>
      <c r="AZ185" s="31">
        <v>0</v>
      </c>
      <c r="BA185" s="31">
        <v>0</v>
      </c>
      <c r="BB185" s="31">
        <v>0</v>
      </c>
      <c r="BC185" s="31">
        <v>0</v>
      </c>
      <c r="BD185" s="31">
        <v>0</v>
      </c>
      <c r="BE185" s="31">
        <v>0</v>
      </c>
      <c r="BF185" s="31">
        <v>0</v>
      </c>
      <c r="BG185" s="31">
        <v>0</v>
      </c>
      <c r="BH185" s="31">
        <v>0</v>
      </c>
      <c r="BI185" s="31">
        <v>0</v>
      </c>
      <c r="BJ185" s="31">
        <v>0</v>
      </c>
      <c r="BK185" s="31">
        <v>0</v>
      </c>
      <c r="BL185" s="17" t="s">
        <v>964</v>
      </c>
      <c r="BM185" s="31">
        <v>0</v>
      </c>
      <c r="BN185" s="31">
        <v>0</v>
      </c>
      <c r="BO185" s="31">
        <v>0</v>
      </c>
      <c r="BP185" s="31">
        <v>0</v>
      </c>
      <c r="BQ185" s="31">
        <v>0</v>
      </c>
      <c r="BR185" s="31">
        <v>0</v>
      </c>
      <c r="BS185" s="31">
        <v>0</v>
      </c>
      <c r="BT185" s="31">
        <v>0</v>
      </c>
      <c r="BU185" s="31">
        <v>0</v>
      </c>
      <c r="BV185" s="31">
        <v>0</v>
      </c>
      <c r="BW185" s="21">
        <f>IF(Table1[[#This Row],[Sustainability Check 2 (2018-2019) Status]]="Continued", Table1[Check 2 Students Spring], 0)</f>
        <v>0</v>
      </c>
      <c r="BX185" s="31">
        <f>Table1[[#This Row],[Summer 2018 Price Check]]*Table1[[#This Row],[Spring 2019 Students]]</f>
        <v>0</v>
      </c>
      <c r="BY185" s="31">
        <f t="shared" si="130"/>
        <v>0</v>
      </c>
      <c r="BZ185" s="58">
        <f t="shared" si="131"/>
        <v>0</v>
      </c>
      <c r="CA185" s="17" t="s">
        <v>964</v>
      </c>
      <c r="CB185" s="21"/>
      <c r="CC185" s="21"/>
      <c r="CD185" s="21"/>
      <c r="CE185" s="21">
        <f t="shared" si="153"/>
        <v>0</v>
      </c>
      <c r="CF185" s="58"/>
      <c r="CG185" s="31">
        <f t="shared" si="133"/>
        <v>0</v>
      </c>
      <c r="CH185" s="17"/>
      <c r="CI185" s="21">
        <f>IF(Table1[[#This Row],[Check 3 Status]]="Continued", Table1[[#This Row],[Check 3 Students Summer]], 0)</f>
        <v>0</v>
      </c>
      <c r="CJ185" s="31">
        <f>Table1[[#This Row],[Check 3 Per Student Savings]]*CI185</f>
        <v>0</v>
      </c>
      <c r="CK185" s="21">
        <f>IF(Table1[[#This Row],[Check 3 Status]]="Continued", Table1[[#This Row],[Check 3 Students Fall]], 0)</f>
        <v>0</v>
      </c>
      <c r="CL185" s="31">
        <f>Table1[[#This Row],[Check 3 Per Student Savings]]*CK185</f>
        <v>0</v>
      </c>
      <c r="CM185" s="21">
        <f>IF(Table1[[#This Row],[Check 3 Status]]="Continued", Table1[[#This Row],[Check 3 Students Spring]], 0)</f>
        <v>0</v>
      </c>
      <c r="CN185" s="31">
        <f>Table1[[#This Row],[Check 3 Per Student Savings]]*CM185</f>
        <v>0</v>
      </c>
      <c r="CO185" s="21">
        <f t="shared" si="134"/>
        <v>0</v>
      </c>
      <c r="CP185" s="31">
        <f t="shared" si="135"/>
        <v>0</v>
      </c>
      <c r="CQ185" s="31" t="s">
        <v>964</v>
      </c>
      <c r="CR185" s="21"/>
      <c r="CS185" s="21"/>
      <c r="CT185" s="21"/>
      <c r="CU185" s="21">
        <f t="shared" si="136"/>
        <v>0</v>
      </c>
      <c r="CW185" s="31">
        <f t="shared" si="137"/>
        <v>0</v>
      </c>
      <c r="CY185" s="21">
        <f>IF(Table1[[#This Row],[Check 4 Status]]="Continued", Table1[[#This Row],[Check 4 Students Summer]], 0)</f>
        <v>0</v>
      </c>
      <c r="CZ185" s="58">
        <f>Table1[[#This Row],[Check 4 Per Student Savings]]*CY185</f>
        <v>0</v>
      </c>
      <c r="DA185" s="21">
        <f>IF(Table1[[#This Row],[Check 4 Status]]="Continued", Table1[[#This Row],[Check 4 Students Fall]], 0)</f>
        <v>0</v>
      </c>
      <c r="DB185" s="31">
        <f>Table1[[#This Row],[Check 4 Per Student Savings]]*DA185</f>
        <v>0</v>
      </c>
      <c r="DC185" s="21">
        <f>IF(Table1[[#This Row],[Check 4 Status]]="Continued", Table1[[#This Row],[Check 4 Students Spring]], 0)</f>
        <v>0</v>
      </c>
      <c r="DD185" s="58">
        <f>Table1[[#This Row],[Check 4 Per Student Savings]]*DC185</f>
        <v>0</v>
      </c>
      <c r="DE185" s="58">
        <f t="shared" si="138"/>
        <v>0</v>
      </c>
      <c r="DF185" s="58">
        <f t="shared" si="139"/>
        <v>0</v>
      </c>
      <c r="DG18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18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185" s="58">
        <f>Table1[[#This Row],[Grand Total Savings]]/Table1[[#This Row],[Total Award]]</f>
        <v>0</v>
      </c>
      <c r="DJ185" s="17"/>
      <c r="DK185" s="17"/>
      <c r="DL185" s="17"/>
      <c r="DM185" s="17"/>
      <c r="EC185" s="17"/>
      <c r="ED185" s="17"/>
      <c r="EE185" s="17"/>
      <c r="EF185" s="17"/>
    </row>
    <row r="186" spans="1:136" x14ac:dyDescent="0.25">
      <c r="A186" s="157" t="s">
        <v>965</v>
      </c>
      <c r="B186" s="17" t="s">
        <v>2011</v>
      </c>
      <c r="D186" s="97">
        <v>513824</v>
      </c>
      <c r="E186" s="165">
        <v>43136</v>
      </c>
      <c r="F186" s="158">
        <v>43490</v>
      </c>
      <c r="G186" s="159">
        <v>10</v>
      </c>
      <c r="H186" s="95" t="s">
        <v>7</v>
      </c>
      <c r="I186" s="17" t="s">
        <v>962</v>
      </c>
      <c r="J186" s="17" t="s">
        <v>159</v>
      </c>
      <c r="K186" s="107">
        <v>4800</v>
      </c>
      <c r="L186" s="107"/>
      <c r="M186" s="101" t="s">
        <v>591</v>
      </c>
      <c r="N186" s="101" t="s">
        <v>592</v>
      </c>
      <c r="O186" s="101" t="s">
        <v>780</v>
      </c>
      <c r="P186" s="101" t="s">
        <v>593</v>
      </c>
      <c r="Q186" s="101" t="s">
        <v>192</v>
      </c>
      <c r="R186" s="101" t="s">
        <v>129</v>
      </c>
      <c r="S186" s="173" t="s">
        <v>912</v>
      </c>
      <c r="T186" s="173" t="s">
        <v>912</v>
      </c>
      <c r="U186" s="173" t="s">
        <v>912</v>
      </c>
      <c r="V186" s="17" t="s">
        <v>140</v>
      </c>
      <c r="W186" s="17" t="s">
        <v>140</v>
      </c>
      <c r="X186" s="17" t="s">
        <v>140</v>
      </c>
      <c r="Y186" s="58">
        <v>0</v>
      </c>
      <c r="Z186" s="101">
        <v>0</v>
      </c>
      <c r="AA186" s="58">
        <v>0</v>
      </c>
      <c r="AB186" s="21">
        <v>0</v>
      </c>
      <c r="AC186" s="21">
        <v>0</v>
      </c>
      <c r="AD186" s="21">
        <v>0</v>
      </c>
      <c r="AF186" s="17" t="s">
        <v>129</v>
      </c>
      <c r="AG186" s="17"/>
      <c r="AI186" s="17" t="s">
        <v>964</v>
      </c>
      <c r="AJ186" s="21">
        <v>0</v>
      </c>
      <c r="AK186" s="31">
        <v>0</v>
      </c>
      <c r="AL186" s="21">
        <v>0</v>
      </c>
      <c r="AM186" s="31">
        <v>0</v>
      </c>
      <c r="AN186" s="21">
        <v>0</v>
      </c>
      <c r="AO186" s="31">
        <v>0</v>
      </c>
      <c r="AP186" s="21">
        <v>0</v>
      </c>
      <c r="AQ186" s="31">
        <v>0</v>
      </c>
      <c r="AR186" s="21">
        <v>0</v>
      </c>
      <c r="AS186" s="31">
        <v>0</v>
      </c>
      <c r="AT186" s="21">
        <v>0</v>
      </c>
      <c r="AU186" s="31">
        <v>0</v>
      </c>
      <c r="AV186" s="21">
        <v>0</v>
      </c>
      <c r="AW186" s="31">
        <v>0</v>
      </c>
      <c r="AX186" s="31">
        <v>0</v>
      </c>
      <c r="AY186" s="31">
        <v>0</v>
      </c>
      <c r="AZ186" s="31">
        <v>0</v>
      </c>
      <c r="BA186" s="31">
        <v>0</v>
      </c>
      <c r="BB186" s="31">
        <v>0</v>
      </c>
      <c r="BC186" s="31">
        <v>0</v>
      </c>
      <c r="BD186" s="31">
        <v>0</v>
      </c>
      <c r="BE186" s="31">
        <v>0</v>
      </c>
      <c r="BF186" s="31">
        <v>0</v>
      </c>
      <c r="BG186" s="31">
        <v>0</v>
      </c>
      <c r="BH186" s="31">
        <v>0</v>
      </c>
      <c r="BI186" s="31">
        <v>0</v>
      </c>
      <c r="BJ186" s="31">
        <v>0</v>
      </c>
      <c r="BK186" s="31">
        <v>0</v>
      </c>
      <c r="BL186" s="17" t="s">
        <v>964</v>
      </c>
      <c r="BM186" s="31">
        <v>0</v>
      </c>
      <c r="BN186" s="31">
        <v>0</v>
      </c>
      <c r="BO186" s="31">
        <v>0</v>
      </c>
      <c r="BP186" s="31">
        <v>0</v>
      </c>
      <c r="BQ186" s="31">
        <v>0</v>
      </c>
      <c r="BR186" s="31">
        <v>0</v>
      </c>
      <c r="BS186" s="31">
        <v>0</v>
      </c>
      <c r="BT186" s="31">
        <v>0</v>
      </c>
      <c r="BU186" s="31">
        <v>0</v>
      </c>
      <c r="BV186" s="31">
        <v>0</v>
      </c>
      <c r="BW186" s="21">
        <f>IF(Table1[[#This Row],[Sustainability Check 2 (2018-2019) Status]]="Continued", Table1[Check 2 Students Spring], 0)</f>
        <v>0</v>
      </c>
      <c r="BX186" s="31">
        <f>Table1[[#This Row],[Summer 2018 Price Check]]*Table1[[#This Row],[Spring 2019 Students]]</f>
        <v>0</v>
      </c>
      <c r="BY186" s="31">
        <f t="shared" si="130"/>
        <v>0</v>
      </c>
      <c r="BZ186" s="58">
        <f t="shared" si="131"/>
        <v>0</v>
      </c>
      <c r="CA186" s="17" t="s">
        <v>964</v>
      </c>
      <c r="CB186" s="21"/>
      <c r="CC186" s="21"/>
      <c r="CD186" s="21"/>
      <c r="CE186" s="21">
        <f t="shared" si="153"/>
        <v>0</v>
      </c>
      <c r="CF186" s="58"/>
      <c r="CG186" s="31">
        <f t="shared" si="133"/>
        <v>0</v>
      </c>
      <c r="CH186" s="17"/>
      <c r="CI186" s="21">
        <f>IF(Table1[[#This Row],[Check 3 Status]]="Continued", Table1[[#This Row],[Check 3 Students Summer]], 0)</f>
        <v>0</v>
      </c>
      <c r="CJ186" s="31">
        <f>Table1[[#This Row],[Check 3 Per Student Savings]]*CI186</f>
        <v>0</v>
      </c>
      <c r="CK186" s="21">
        <f>IF(Table1[[#This Row],[Check 3 Status]]="Continued", Table1[[#This Row],[Check 3 Students Fall]], 0)</f>
        <v>0</v>
      </c>
      <c r="CL186" s="31">
        <f>Table1[[#This Row],[Check 3 Per Student Savings]]*CK186</f>
        <v>0</v>
      </c>
      <c r="CM186" s="21">
        <f>IF(Table1[[#This Row],[Check 3 Status]]="Continued", Table1[[#This Row],[Check 3 Students Spring]], 0)</f>
        <v>0</v>
      </c>
      <c r="CN186" s="31">
        <f>Table1[[#This Row],[Check 3 Per Student Savings]]*CM186</f>
        <v>0</v>
      </c>
      <c r="CO186" s="21">
        <f t="shared" si="134"/>
        <v>0</v>
      </c>
      <c r="CP186" s="31">
        <f t="shared" si="135"/>
        <v>0</v>
      </c>
      <c r="CQ186" s="31" t="s">
        <v>964</v>
      </c>
      <c r="CR186" s="21"/>
      <c r="CS186" s="21"/>
      <c r="CT186" s="21"/>
      <c r="CU186" s="21">
        <f t="shared" si="136"/>
        <v>0</v>
      </c>
      <c r="CW186" s="31">
        <f t="shared" si="137"/>
        <v>0</v>
      </c>
      <c r="CY186" s="21">
        <f>IF(Table1[[#This Row],[Check 4 Status]]="Continued", Table1[[#This Row],[Check 4 Students Summer]], 0)</f>
        <v>0</v>
      </c>
      <c r="CZ186" s="58">
        <f>Table1[[#This Row],[Check 4 Per Student Savings]]*CY186</f>
        <v>0</v>
      </c>
      <c r="DA186" s="21">
        <f>IF(Table1[[#This Row],[Check 4 Status]]="Continued", Table1[[#This Row],[Check 4 Students Fall]], 0)</f>
        <v>0</v>
      </c>
      <c r="DB186" s="31">
        <f>Table1[[#This Row],[Check 4 Per Student Savings]]*DA186</f>
        <v>0</v>
      </c>
      <c r="DC186" s="21">
        <f>IF(Table1[[#This Row],[Check 4 Status]]="Continued", Table1[[#This Row],[Check 4 Students Spring]], 0)</f>
        <v>0</v>
      </c>
      <c r="DD186" s="58">
        <f>Table1[[#This Row],[Check 4 Per Student Savings]]*DC186</f>
        <v>0</v>
      </c>
      <c r="DE186" s="58">
        <f t="shared" si="138"/>
        <v>0</v>
      </c>
      <c r="DF186" s="58">
        <f t="shared" si="139"/>
        <v>0</v>
      </c>
      <c r="DG18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18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186" s="58">
        <f>Table1[[#This Row],[Grand Total Savings]]/Table1[[#This Row],[Total Award]]</f>
        <v>0</v>
      </c>
      <c r="DJ186" s="17"/>
      <c r="DK186" s="17"/>
      <c r="DL186" s="17"/>
      <c r="DM186" s="17"/>
      <c r="EC186" s="17"/>
      <c r="ED186" s="17"/>
      <c r="EE186" s="17"/>
      <c r="EF186" s="17"/>
    </row>
    <row r="187" spans="1:136" x14ac:dyDescent="0.25">
      <c r="A187" s="157" t="s">
        <v>966</v>
      </c>
      <c r="B187" s="17" t="s">
        <v>2011</v>
      </c>
      <c r="D187" s="97">
        <v>513788</v>
      </c>
      <c r="E187" s="165">
        <v>43122</v>
      </c>
      <c r="F187" s="158">
        <v>43472</v>
      </c>
      <c r="G187" s="159">
        <v>10</v>
      </c>
      <c r="H187" s="95" t="s">
        <v>7</v>
      </c>
      <c r="I187" s="17" t="s">
        <v>962</v>
      </c>
      <c r="J187" s="17" t="s">
        <v>225</v>
      </c>
      <c r="K187" s="107">
        <v>4000</v>
      </c>
      <c r="L187" s="107"/>
      <c r="M187" s="101" t="s">
        <v>736</v>
      </c>
      <c r="N187" s="101" t="s">
        <v>737</v>
      </c>
      <c r="O187" s="101" t="s">
        <v>738</v>
      </c>
      <c r="P187" s="101" t="s">
        <v>443</v>
      </c>
      <c r="Q187" s="101" t="s">
        <v>192</v>
      </c>
      <c r="R187" s="101" t="s">
        <v>442</v>
      </c>
      <c r="S187" s="173" t="s">
        <v>912</v>
      </c>
      <c r="T187" s="173" t="s">
        <v>912</v>
      </c>
      <c r="U187" s="173" t="s">
        <v>912</v>
      </c>
      <c r="V187" s="17" t="s">
        <v>140</v>
      </c>
      <c r="W187" s="17" t="s">
        <v>140</v>
      </c>
      <c r="X187" s="17" t="s">
        <v>140</v>
      </c>
      <c r="Y187" s="58">
        <v>0</v>
      </c>
      <c r="Z187" s="101">
        <v>0</v>
      </c>
      <c r="AA187" s="58">
        <v>0</v>
      </c>
      <c r="AB187" s="21">
        <v>0</v>
      </c>
      <c r="AC187" s="21">
        <v>0</v>
      </c>
      <c r="AD187" s="21">
        <v>0</v>
      </c>
      <c r="AF187" s="17" t="s">
        <v>129</v>
      </c>
      <c r="AG187" s="17"/>
      <c r="AI187" s="17" t="s">
        <v>964</v>
      </c>
      <c r="AJ187" s="21">
        <v>0</v>
      </c>
      <c r="AK187" s="31">
        <v>0</v>
      </c>
      <c r="AL187" s="21">
        <v>0</v>
      </c>
      <c r="AM187" s="31">
        <v>0</v>
      </c>
      <c r="AN187" s="21">
        <v>0</v>
      </c>
      <c r="AO187" s="31">
        <v>0</v>
      </c>
      <c r="AP187" s="21">
        <v>0</v>
      </c>
      <c r="AQ187" s="31">
        <v>0</v>
      </c>
      <c r="AR187" s="21">
        <v>0</v>
      </c>
      <c r="AS187" s="31">
        <v>0</v>
      </c>
      <c r="AT187" s="21">
        <v>0</v>
      </c>
      <c r="AU187" s="31">
        <v>0</v>
      </c>
      <c r="AV187" s="21">
        <v>0</v>
      </c>
      <c r="AW187" s="31">
        <v>0</v>
      </c>
      <c r="AX187" s="31">
        <v>0</v>
      </c>
      <c r="AY187" s="31">
        <v>0</v>
      </c>
      <c r="AZ187" s="31">
        <v>0</v>
      </c>
      <c r="BA187" s="31">
        <v>0</v>
      </c>
      <c r="BB187" s="31">
        <v>0</v>
      </c>
      <c r="BC187" s="31">
        <v>0</v>
      </c>
      <c r="BD187" s="31">
        <v>0</v>
      </c>
      <c r="BE187" s="31">
        <v>0</v>
      </c>
      <c r="BF187" s="31">
        <v>0</v>
      </c>
      <c r="BG187" s="31">
        <v>0</v>
      </c>
      <c r="BH187" s="31">
        <v>0</v>
      </c>
      <c r="BI187" s="31">
        <v>0</v>
      </c>
      <c r="BJ187" s="31">
        <v>0</v>
      </c>
      <c r="BK187" s="31">
        <v>0</v>
      </c>
      <c r="BL187" s="17" t="s">
        <v>964</v>
      </c>
      <c r="BM187" s="31">
        <v>0</v>
      </c>
      <c r="BN187" s="31">
        <v>0</v>
      </c>
      <c r="BO187" s="31">
        <v>0</v>
      </c>
      <c r="BP187" s="31">
        <v>0</v>
      </c>
      <c r="BQ187" s="31">
        <v>0</v>
      </c>
      <c r="BR187" s="31">
        <v>0</v>
      </c>
      <c r="BS187" s="31">
        <v>0</v>
      </c>
      <c r="BT187" s="31">
        <v>0</v>
      </c>
      <c r="BU187" s="31">
        <v>0</v>
      </c>
      <c r="BV187" s="31">
        <v>0</v>
      </c>
      <c r="BW187" s="21">
        <f>IF(Table1[[#This Row],[Sustainability Check 2 (2018-2019) Status]]="Continued", Table1[Check 2 Students Spring], 0)</f>
        <v>0</v>
      </c>
      <c r="BX187" s="31">
        <f>Table1[[#This Row],[Summer 2018 Price Check]]*Table1[[#This Row],[Spring 2019 Students]]</f>
        <v>0</v>
      </c>
      <c r="BY187" s="31">
        <f t="shared" si="130"/>
        <v>0</v>
      </c>
      <c r="BZ187" s="58">
        <f t="shared" si="131"/>
        <v>0</v>
      </c>
      <c r="CA187" s="17" t="s">
        <v>964</v>
      </c>
      <c r="CB187" s="21"/>
      <c r="CC187" s="21"/>
      <c r="CD187" s="21"/>
      <c r="CE187" s="21">
        <f t="shared" si="153"/>
        <v>0</v>
      </c>
      <c r="CF187" s="58"/>
      <c r="CG187" s="31">
        <f t="shared" si="133"/>
        <v>0</v>
      </c>
      <c r="CH187" s="17"/>
      <c r="CI187" s="21">
        <f>IF(Table1[[#This Row],[Check 3 Status]]="Continued", Table1[[#This Row],[Check 3 Students Summer]], 0)</f>
        <v>0</v>
      </c>
      <c r="CJ187" s="31">
        <f>Table1[[#This Row],[Check 3 Per Student Savings]]*CI187</f>
        <v>0</v>
      </c>
      <c r="CK187" s="21">
        <f>IF(Table1[[#This Row],[Check 3 Status]]="Continued", Table1[[#This Row],[Check 3 Students Fall]], 0)</f>
        <v>0</v>
      </c>
      <c r="CL187" s="31">
        <f>Table1[[#This Row],[Check 3 Per Student Savings]]*CK187</f>
        <v>0</v>
      </c>
      <c r="CM187" s="21">
        <f>IF(Table1[[#This Row],[Check 3 Status]]="Continued", Table1[[#This Row],[Check 3 Students Spring]], 0)</f>
        <v>0</v>
      </c>
      <c r="CN187" s="31">
        <f>Table1[[#This Row],[Check 3 Per Student Savings]]*CM187</f>
        <v>0</v>
      </c>
      <c r="CO187" s="21">
        <f t="shared" si="134"/>
        <v>0</v>
      </c>
      <c r="CP187" s="31">
        <f t="shared" si="135"/>
        <v>0</v>
      </c>
      <c r="CQ187" s="31" t="s">
        <v>964</v>
      </c>
      <c r="CR187" s="21"/>
      <c r="CS187" s="21"/>
      <c r="CT187" s="21"/>
      <c r="CU187" s="21">
        <f t="shared" si="136"/>
        <v>0</v>
      </c>
      <c r="CW187" s="31">
        <f t="shared" si="137"/>
        <v>0</v>
      </c>
      <c r="CY187" s="21">
        <f>IF(Table1[[#This Row],[Check 4 Status]]="Continued", Table1[[#This Row],[Check 4 Students Summer]], 0)</f>
        <v>0</v>
      </c>
      <c r="CZ187" s="58">
        <f>Table1[[#This Row],[Check 4 Per Student Savings]]*CY187</f>
        <v>0</v>
      </c>
      <c r="DA187" s="21">
        <f>IF(Table1[[#This Row],[Check 4 Status]]="Continued", Table1[[#This Row],[Check 4 Students Fall]], 0)</f>
        <v>0</v>
      </c>
      <c r="DB187" s="31">
        <f>Table1[[#This Row],[Check 4 Per Student Savings]]*DA187</f>
        <v>0</v>
      </c>
      <c r="DC187" s="21">
        <f>IF(Table1[[#This Row],[Check 4 Status]]="Continued", Table1[[#This Row],[Check 4 Students Spring]], 0)</f>
        <v>0</v>
      </c>
      <c r="DD187" s="58">
        <f>Table1[[#This Row],[Check 4 Per Student Savings]]*DC187</f>
        <v>0</v>
      </c>
      <c r="DE187" s="58">
        <f t="shared" si="138"/>
        <v>0</v>
      </c>
      <c r="DF187" s="58">
        <f t="shared" si="139"/>
        <v>0</v>
      </c>
      <c r="DG18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18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187" s="58">
        <f>Table1[[#This Row],[Grand Total Savings]]/Table1[[#This Row],[Total Award]]</f>
        <v>0</v>
      </c>
      <c r="DJ187" s="17"/>
      <c r="DK187" s="17"/>
      <c r="DL187" s="17"/>
      <c r="DM187" s="17"/>
      <c r="EC187" s="17"/>
      <c r="ED187" s="17"/>
      <c r="EE187" s="17"/>
      <c r="EF187" s="17"/>
    </row>
    <row r="188" spans="1:136" x14ac:dyDescent="0.25">
      <c r="A188" s="157" t="s">
        <v>967</v>
      </c>
      <c r="B188" s="17" t="s">
        <v>2011</v>
      </c>
      <c r="D188" s="97">
        <v>513581</v>
      </c>
      <c r="E188" s="165">
        <v>43140</v>
      </c>
      <c r="F188" s="165">
        <v>43299</v>
      </c>
      <c r="G188" s="159">
        <v>10</v>
      </c>
      <c r="H188" s="95" t="s">
        <v>7</v>
      </c>
      <c r="I188" s="17" t="s">
        <v>962</v>
      </c>
      <c r="J188" s="17" t="s">
        <v>499</v>
      </c>
      <c r="K188" s="107">
        <v>4800</v>
      </c>
      <c r="L188" s="107"/>
      <c r="M188" s="101" t="s">
        <v>500</v>
      </c>
      <c r="N188" s="101" t="s">
        <v>501</v>
      </c>
      <c r="O188" s="101" t="s">
        <v>502</v>
      </c>
      <c r="P188" s="101" t="s">
        <v>503</v>
      </c>
      <c r="Q188" s="101" t="s">
        <v>177</v>
      </c>
      <c r="R188" s="101" t="s">
        <v>129</v>
      </c>
      <c r="S188" s="128" t="s">
        <v>36</v>
      </c>
      <c r="T188" s="17" t="s">
        <v>129</v>
      </c>
      <c r="U188" s="128" t="s">
        <v>968</v>
      </c>
      <c r="V188" s="17" t="s">
        <v>140</v>
      </c>
      <c r="W188" s="17" t="s">
        <v>140</v>
      </c>
      <c r="X188" s="17" t="s">
        <v>140</v>
      </c>
      <c r="Y188" s="58">
        <v>0</v>
      </c>
      <c r="Z188" s="101">
        <v>0</v>
      </c>
      <c r="AA188" s="58">
        <v>0</v>
      </c>
      <c r="AB188" s="21">
        <v>0</v>
      </c>
      <c r="AC188" s="21">
        <v>0</v>
      </c>
      <c r="AD188" s="21">
        <v>0</v>
      </c>
      <c r="AF188" s="17" t="s">
        <v>129</v>
      </c>
      <c r="AG188" s="17"/>
      <c r="AI188" s="17" t="s">
        <v>964</v>
      </c>
      <c r="AJ188" s="21">
        <v>0</v>
      </c>
      <c r="AK188" s="31">
        <v>0</v>
      </c>
      <c r="AL188" s="21">
        <v>0</v>
      </c>
      <c r="AM188" s="31">
        <v>0</v>
      </c>
      <c r="AN188" s="21">
        <v>0</v>
      </c>
      <c r="AO188" s="31">
        <v>0</v>
      </c>
      <c r="AP188" s="21">
        <v>0</v>
      </c>
      <c r="AQ188" s="31">
        <v>0</v>
      </c>
      <c r="AR188" s="21">
        <v>0</v>
      </c>
      <c r="AS188" s="31">
        <v>0</v>
      </c>
      <c r="AT188" s="21">
        <v>0</v>
      </c>
      <c r="AU188" s="31">
        <v>0</v>
      </c>
      <c r="AV188" s="21">
        <v>0</v>
      </c>
      <c r="AW188" s="31">
        <v>0</v>
      </c>
      <c r="AX188" s="31">
        <v>0</v>
      </c>
      <c r="AY188" s="31">
        <v>0</v>
      </c>
      <c r="AZ188" s="31">
        <v>0</v>
      </c>
      <c r="BA188" s="31">
        <v>0</v>
      </c>
      <c r="BB188" s="31">
        <v>0</v>
      </c>
      <c r="BC188" s="31">
        <v>0</v>
      </c>
      <c r="BD188" s="31">
        <v>0</v>
      </c>
      <c r="BE188" s="31">
        <v>0</v>
      </c>
      <c r="BF188" s="31">
        <v>0</v>
      </c>
      <c r="BG188" s="31">
        <v>0</v>
      </c>
      <c r="BH188" s="31">
        <v>0</v>
      </c>
      <c r="BI188" s="31">
        <v>0</v>
      </c>
      <c r="BJ188" s="31">
        <v>0</v>
      </c>
      <c r="BK188" s="31">
        <v>0</v>
      </c>
      <c r="BL188" s="17" t="s">
        <v>964</v>
      </c>
      <c r="BM188" s="31">
        <v>0</v>
      </c>
      <c r="BN188" s="31">
        <v>0</v>
      </c>
      <c r="BO188" s="31">
        <v>0</v>
      </c>
      <c r="BP188" s="31">
        <v>0</v>
      </c>
      <c r="BQ188" s="31">
        <v>0</v>
      </c>
      <c r="BR188" s="31">
        <v>0</v>
      </c>
      <c r="BS188" s="31">
        <v>0</v>
      </c>
      <c r="BT188" s="31">
        <v>0</v>
      </c>
      <c r="BU188" s="31">
        <v>0</v>
      </c>
      <c r="BV188" s="31">
        <v>0</v>
      </c>
      <c r="BW188" s="21">
        <f>IF(Table1[[#This Row],[Sustainability Check 2 (2018-2019) Status]]="Continued", Table1[Check 2 Students Spring], 0)</f>
        <v>0</v>
      </c>
      <c r="BX188" s="31">
        <f>Table1[[#This Row],[Summer 2018 Price Check]]*Table1[[#This Row],[Spring 2019 Students]]</f>
        <v>0</v>
      </c>
      <c r="BY188" s="31">
        <f t="shared" si="130"/>
        <v>0</v>
      </c>
      <c r="BZ188" s="58">
        <f t="shared" si="131"/>
        <v>0</v>
      </c>
      <c r="CA188" s="17" t="s">
        <v>964</v>
      </c>
      <c r="CB188" s="21"/>
      <c r="CC188" s="21"/>
      <c r="CD188" s="21"/>
      <c r="CE188" s="21">
        <f t="shared" si="153"/>
        <v>0</v>
      </c>
      <c r="CF188" s="58"/>
      <c r="CG188" s="31">
        <f t="shared" si="133"/>
        <v>0</v>
      </c>
      <c r="CH188" s="17"/>
      <c r="CI188" s="21">
        <f>IF(Table1[[#This Row],[Check 3 Status]]="Continued", Table1[[#This Row],[Check 3 Students Summer]], 0)</f>
        <v>0</v>
      </c>
      <c r="CJ188" s="31">
        <f>Table1[[#This Row],[Check 3 Per Student Savings]]*CI188</f>
        <v>0</v>
      </c>
      <c r="CK188" s="21">
        <f>IF(Table1[[#This Row],[Check 3 Status]]="Continued", Table1[[#This Row],[Check 3 Students Fall]], 0)</f>
        <v>0</v>
      </c>
      <c r="CL188" s="31">
        <f>Table1[[#This Row],[Check 3 Per Student Savings]]*CK188</f>
        <v>0</v>
      </c>
      <c r="CM188" s="21">
        <f>IF(Table1[[#This Row],[Check 3 Status]]="Continued", Table1[[#This Row],[Check 3 Students Spring]], 0)</f>
        <v>0</v>
      </c>
      <c r="CN188" s="31">
        <f>Table1[[#This Row],[Check 3 Per Student Savings]]*CM188</f>
        <v>0</v>
      </c>
      <c r="CO188" s="21">
        <f t="shared" si="134"/>
        <v>0</v>
      </c>
      <c r="CP188" s="31">
        <f t="shared" si="135"/>
        <v>0</v>
      </c>
      <c r="CQ188" s="31" t="s">
        <v>964</v>
      </c>
      <c r="CR188" s="21"/>
      <c r="CS188" s="21"/>
      <c r="CT188" s="21"/>
      <c r="CU188" s="21">
        <f t="shared" si="136"/>
        <v>0</v>
      </c>
      <c r="CW188" s="31">
        <f t="shared" si="137"/>
        <v>0</v>
      </c>
      <c r="CY188" s="21">
        <f>IF(Table1[[#This Row],[Check 4 Status]]="Continued", Table1[[#This Row],[Check 4 Students Summer]], 0)</f>
        <v>0</v>
      </c>
      <c r="CZ188" s="58">
        <f>Table1[[#This Row],[Check 4 Per Student Savings]]*CY188</f>
        <v>0</v>
      </c>
      <c r="DA188" s="21">
        <f>IF(Table1[[#This Row],[Check 4 Status]]="Continued", Table1[[#This Row],[Check 4 Students Fall]], 0)</f>
        <v>0</v>
      </c>
      <c r="DB188" s="31">
        <f>Table1[[#This Row],[Check 4 Per Student Savings]]*DA188</f>
        <v>0</v>
      </c>
      <c r="DC188" s="21">
        <f>IF(Table1[[#This Row],[Check 4 Status]]="Continued", Table1[[#This Row],[Check 4 Students Spring]], 0)</f>
        <v>0</v>
      </c>
      <c r="DD188" s="58">
        <f>Table1[[#This Row],[Check 4 Per Student Savings]]*DC188</f>
        <v>0</v>
      </c>
      <c r="DE188" s="58">
        <f t="shared" si="138"/>
        <v>0</v>
      </c>
      <c r="DF188" s="58">
        <f t="shared" si="139"/>
        <v>0</v>
      </c>
      <c r="DG18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18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188" s="58">
        <f>Table1[[#This Row],[Grand Total Savings]]/Table1[[#This Row],[Total Award]]</f>
        <v>0</v>
      </c>
      <c r="DJ188" s="17"/>
      <c r="DK188" s="17"/>
      <c r="DL188" s="17"/>
      <c r="DM188" s="17"/>
      <c r="EC188" s="17"/>
      <c r="ED188" s="17"/>
      <c r="EE188" s="17"/>
      <c r="EF188" s="17"/>
    </row>
    <row r="189" spans="1:136" x14ac:dyDescent="0.25">
      <c r="A189" s="159" t="s">
        <v>969</v>
      </c>
      <c r="B189" s="17" t="s">
        <v>2011</v>
      </c>
      <c r="D189" s="97">
        <v>513574</v>
      </c>
      <c r="E189" s="165">
        <v>43067</v>
      </c>
      <c r="F189" s="165">
        <v>43250</v>
      </c>
      <c r="G189" s="157">
        <v>10</v>
      </c>
      <c r="H189" s="95" t="s">
        <v>7</v>
      </c>
      <c r="I189" s="17" t="s">
        <v>962</v>
      </c>
      <c r="J189" s="17" t="s">
        <v>166</v>
      </c>
      <c r="K189" s="107">
        <v>4800</v>
      </c>
      <c r="L189" s="107"/>
      <c r="M189" s="101" t="s">
        <v>167</v>
      </c>
      <c r="N189" s="101" t="s">
        <v>168</v>
      </c>
      <c r="O189" s="101" t="s">
        <v>169</v>
      </c>
      <c r="P189" s="101" t="s">
        <v>170</v>
      </c>
      <c r="Q189" s="101" t="s">
        <v>156</v>
      </c>
      <c r="R189" s="101" t="s">
        <v>129</v>
      </c>
      <c r="S189" s="128" t="s">
        <v>36</v>
      </c>
      <c r="T189" s="17" t="s">
        <v>129</v>
      </c>
      <c r="U189" s="128" t="s">
        <v>970</v>
      </c>
      <c r="V189" s="17" t="s">
        <v>140</v>
      </c>
      <c r="W189" s="17" t="s">
        <v>140</v>
      </c>
      <c r="X189" s="17" t="s">
        <v>140</v>
      </c>
      <c r="Y189" s="58">
        <v>0</v>
      </c>
      <c r="Z189" s="101">
        <v>0</v>
      </c>
      <c r="AA189" s="58">
        <v>0</v>
      </c>
      <c r="AB189" s="21">
        <v>0</v>
      </c>
      <c r="AC189" s="21">
        <v>0</v>
      </c>
      <c r="AD189" s="21">
        <v>0</v>
      </c>
      <c r="AF189" s="17" t="s">
        <v>129</v>
      </c>
      <c r="AG189" s="17"/>
      <c r="AI189" s="17" t="s">
        <v>964</v>
      </c>
      <c r="AJ189" s="21">
        <v>0</v>
      </c>
      <c r="AK189" s="31">
        <v>0</v>
      </c>
      <c r="AL189" s="21">
        <v>0</v>
      </c>
      <c r="AM189" s="31">
        <v>0</v>
      </c>
      <c r="AN189" s="21">
        <v>0</v>
      </c>
      <c r="AO189" s="31">
        <v>0</v>
      </c>
      <c r="AP189" s="21">
        <v>0</v>
      </c>
      <c r="AQ189" s="31">
        <v>0</v>
      </c>
      <c r="AR189" s="21">
        <v>0</v>
      </c>
      <c r="AS189" s="31">
        <v>0</v>
      </c>
      <c r="AT189" s="21">
        <v>0</v>
      </c>
      <c r="AU189" s="31">
        <v>0</v>
      </c>
      <c r="AV189" s="21">
        <v>0</v>
      </c>
      <c r="AW189" s="31">
        <v>0</v>
      </c>
      <c r="AX189" s="31">
        <v>0</v>
      </c>
      <c r="AY189" s="31">
        <v>0</v>
      </c>
      <c r="AZ189" s="31">
        <v>0</v>
      </c>
      <c r="BA189" s="31">
        <v>0</v>
      </c>
      <c r="BB189" s="31">
        <v>0</v>
      </c>
      <c r="BC189" s="31">
        <v>0</v>
      </c>
      <c r="BD189" s="31">
        <v>0</v>
      </c>
      <c r="BE189" s="31">
        <v>0</v>
      </c>
      <c r="BF189" s="31">
        <v>0</v>
      </c>
      <c r="BG189" s="31">
        <v>0</v>
      </c>
      <c r="BH189" s="31">
        <v>0</v>
      </c>
      <c r="BI189" s="31">
        <v>0</v>
      </c>
      <c r="BJ189" s="31">
        <v>0</v>
      </c>
      <c r="BK189" s="31">
        <v>0</v>
      </c>
      <c r="BL189" s="17" t="s">
        <v>964</v>
      </c>
      <c r="BM189" s="31">
        <v>0</v>
      </c>
      <c r="BN189" s="31">
        <v>0</v>
      </c>
      <c r="BO189" s="31">
        <v>0</v>
      </c>
      <c r="BP189" s="31">
        <v>0</v>
      </c>
      <c r="BQ189" s="31">
        <v>0</v>
      </c>
      <c r="BR189" s="31">
        <v>0</v>
      </c>
      <c r="BS189" s="31">
        <v>0</v>
      </c>
      <c r="BT189" s="31">
        <v>0</v>
      </c>
      <c r="BU189" s="31">
        <v>0</v>
      </c>
      <c r="BV189" s="31">
        <v>0</v>
      </c>
      <c r="BW189" s="21">
        <f>IF(Table1[[#This Row],[Sustainability Check 2 (2018-2019) Status]]="Continued", Table1[Check 2 Students Spring], 0)</f>
        <v>0</v>
      </c>
      <c r="BX189" s="31">
        <f>Table1[[#This Row],[Summer 2018 Price Check]]*Table1[[#This Row],[Spring 2019 Students]]</f>
        <v>0</v>
      </c>
      <c r="BY189" s="31">
        <f t="shared" si="130"/>
        <v>0</v>
      </c>
      <c r="BZ189" s="58">
        <f t="shared" si="131"/>
        <v>0</v>
      </c>
      <c r="CA189" s="17" t="s">
        <v>964</v>
      </c>
      <c r="CB189" s="21"/>
      <c r="CC189" s="21"/>
      <c r="CD189" s="21"/>
      <c r="CE189" s="21">
        <f t="shared" si="153"/>
        <v>0</v>
      </c>
      <c r="CF189" s="58"/>
      <c r="CG189" s="31">
        <f t="shared" si="133"/>
        <v>0</v>
      </c>
      <c r="CH189" s="17"/>
      <c r="CI189" s="21">
        <f>IF(Table1[[#This Row],[Check 3 Status]]="Continued", Table1[[#This Row],[Check 3 Students Summer]], 0)</f>
        <v>0</v>
      </c>
      <c r="CJ189" s="31">
        <f>Table1[[#This Row],[Check 3 Per Student Savings]]*CI189</f>
        <v>0</v>
      </c>
      <c r="CK189" s="21">
        <f>IF(Table1[[#This Row],[Check 3 Status]]="Continued", Table1[[#This Row],[Check 3 Students Fall]], 0)</f>
        <v>0</v>
      </c>
      <c r="CL189" s="31">
        <f>Table1[[#This Row],[Check 3 Per Student Savings]]*CK189</f>
        <v>0</v>
      </c>
      <c r="CM189" s="21">
        <f>IF(Table1[[#This Row],[Check 3 Status]]="Continued", Table1[[#This Row],[Check 3 Students Spring]], 0)</f>
        <v>0</v>
      </c>
      <c r="CN189" s="31">
        <f>Table1[[#This Row],[Check 3 Per Student Savings]]*CM189</f>
        <v>0</v>
      </c>
      <c r="CO189" s="21">
        <f t="shared" si="134"/>
        <v>0</v>
      </c>
      <c r="CP189" s="31">
        <f t="shared" si="135"/>
        <v>0</v>
      </c>
      <c r="CQ189" s="31" t="s">
        <v>964</v>
      </c>
      <c r="CR189" s="21"/>
      <c r="CS189" s="21"/>
      <c r="CT189" s="21"/>
      <c r="CU189" s="21">
        <f t="shared" si="136"/>
        <v>0</v>
      </c>
      <c r="CW189" s="31">
        <f t="shared" si="137"/>
        <v>0</v>
      </c>
      <c r="CY189" s="21">
        <f>IF(Table1[[#This Row],[Check 4 Status]]="Continued", Table1[[#This Row],[Check 4 Students Summer]], 0)</f>
        <v>0</v>
      </c>
      <c r="CZ189" s="58">
        <f>Table1[[#This Row],[Check 4 Per Student Savings]]*CY189</f>
        <v>0</v>
      </c>
      <c r="DA189" s="21">
        <f>IF(Table1[[#This Row],[Check 4 Status]]="Continued", Table1[[#This Row],[Check 4 Students Fall]], 0)</f>
        <v>0</v>
      </c>
      <c r="DB189" s="31">
        <f>Table1[[#This Row],[Check 4 Per Student Savings]]*DA189</f>
        <v>0</v>
      </c>
      <c r="DC189" s="21">
        <f>IF(Table1[[#This Row],[Check 4 Status]]="Continued", Table1[[#This Row],[Check 4 Students Spring]], 0)</f>
        <v>0</v>
      </c>
      <c r="DD189" s="58">
        <f>Table1[[#This Row],[Check 4 Per Student Savings]]*DC189</f>
        <v>0</v>
      </c>
      <c r="DE189" s="58">
        <f t="shared" si="138"/>
        <v>0</v>
      </c>
      <c r="DF189" s="58">
        <f t="shared" si="139"/>
        <v>0</v>
      </c>
      <c r="DG18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18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189" s="58">
        <f>Table1[[#This Row],[Grand Total Savings]]/Table1[[#This Row],[Total Award]]</f>
        <v>0</v>
      </c>
      <c r="DJ189" s="17"/>
      <c r="DK189" s="17"/>
      <c r="DL189" s="17"/>
      <c r="DM189" s="17"/>
      <c r="EC189" s="17"/>
      <c r="ED189" s="17"/>
      <c r="EE189" s="17"/>
      <c r="EF189" s="17"/>
    </row>
    <row r="190" spans="1:136" x14ac:dyDescent="0.25">
      <c r="A190" s="159" t="s">
        <v>971</v>
      </c>
      <c r="B190" s="17" t="s">
        <v>2011</v>
      </c>
      <c r="D190" s="97">
        <v>513789</v>
      </c>
      <c r="E190" s="165">
        <v>43122</v>
      </c>
      <c r="F190" s="158">
        <v>43559</v>
      </c>
      <c r="G190" s="159">
        <v>10</v>
      </c>
      <c r="H190" s="95" t="s">
        <v>7</v>
      </c>
      <c r="I190" s="17" t="s">
        <v>962</v>
      </c>
      <c r="J190" s="17" t="s">
        <v>210</v>
      </c>
      <c r="K190" s="107">
        <v>4800</v>
      </c>
      <c r="L190" s="107"/>
      <c r="M190" s="101" t="s">
        <v>211</v>
      </c>
      <c r="N190" s="101" t="s">
        <v>212</v>
      </c>
      <c r="O190" s="101" t="s">
        <v>680</v>
      </c>
      <c r="P190" s="101" t="s">
        <v>619</v>
      </c>
      <c r="Q190" s="101" t="s">
        <v>148</v>
      </c>
      <c r="R190" s="101" t="s">
        <v>129</v>
      </c>
      <c r="S190" s="173" t="s">
        <v>912</v>
      </c>
      <c r="T190" s="173" t="s">
        <v>912</v>
      </c>
      <c r="U190" s="173" t="s">
        <v>912</v>
      </c>
      <c r="V190" s="17" t="s">
        <v>140</v>
      </c>
      <c r="W190" s="17" t="s">
        <v>140</v>
      </c>
      <c r="X190" s="17" t="s">
        <v>140</v>
      </c>
      <c r="Y190" s="58">
        <v>0</v>
      </c>
      <c r="Z190" s="101">
        <v>0</v>
      </c>
      <c r="AA190" s="58">
        <v>0</v>
      </c>
      <c r="AB190" s="21">
        <v>0</v>
      </c>
      <c r="AC190" s="21">
        <v>0</v>
      </c>
      <c r="AD190" s="21">
        <v>0</v>
      </c>
      <c r="AF190" s="17" t="s">
        <v>129</v>
      </c>
      <c r="AG190" s="17"/>
      <c r="AI190" s="17" t="s">
        <v>964</v>
      </c>
      <c r="AJ190" s="21">
        <v>0</v>
      </c>
      <c r="AK190" s="31">
        <v>0</v>
      </c>
      <c r="AL190" s="21">
        <v>0</v>
      </c>
      <c r="AM190" s="31">
        <v>0</v>
      </c>
      <c r="AN190" s="21">
        <v>0</v>
      </c>
      <c r="AO190" s="31">
        <v>0</v>
      </c>
      <c r="AP190" s="21">
        <v>0</v>
      </c>
      <c r="AQ190" s="31">
        <v>0</v>
      </c>
      <c r="AR190" s="21">
        <v>0</v>
      </c>
      <c r="AS190" s="31">
        <v>0</v>
      </c>
      <c r="AT190" s="21">
        <v>0</v>
      </c>
      <c r="AU190" s="31">
        <v>0</v>
      </c>
      <c r="AV190" s="21">
        <v>0</v>
      </c>
      <c r="AW190" s="31">
        <v>0</v>
      </c>
      <c r="AX190" s="31">
        <v>0</v>
      </c>
      <c r="AY190" s="31">
        <v>0</v>
      </c>
      <c r="AZ190" s="31">
        <v>0</v>
      </c>
      <c r="BA190" s="31">
        <v>0</v>
      </c>
      <c r="BB190" s="31">
        <v>0</v>
      </c>
      <c r="BC190" s="31">
        <v>0</v>
      </c>
      <c r="BD190" s="31">
        <v>0</v>
      </c>
      <c r="BE190" s="31">
        <v>0</v>
      </c>
      <c r="BF190" s="31">
        <v>0</v>
      </c>
      <c r="BG190" s="31">
        <v>0</v>
      </c>
      <c r="BH190" s="31">
        <v>0</v>
      </c>
      <c r="BI190" s="31">
        <v>0</v>
      </c>
      <c r="BJ190" s="31">
        <v>0</v>
      </c>
      <c r="BK190" s="31">
        <v>0</v>
      </c>
      <c r="BL190" s="17" t="s">
        <v>964</v>
      </c>
      <c r="BM190" s="31">
        <v>0</v>
      </c>
      <c r="BN190" s="31">
        <v>0</v>
      </c>
      <c r="BO190" s="31">
        <v>0</v>
      </c>
      <c r="BP190" s="31">
        <v>0</v>
      </c>
      <c r="BQ190" s="31">
        <v>0</v>
      </c>
      <c r="BR190" s="31">
        <v>0</v>
      </c>
      <c r="BS190" s="31">
        <v>0</v>
      </c>
      <c r="BT190" s="31">
        <v>0</v>
      </c>
      <c r="BU190" s="31">
        <v>0</v>
      </c>
      <c r="BV190" s="31">
        <v>0</v>
      </c>
      <c r="BW190" s="21">
        <f>IF(Table1[[#This Row],[Sustainability Check 2 (2018-2019) Status]]="Continued", Table1[Check 2 Students Spring], 0)</f>
        <v>0</v>
      </c>
      <c r="BX190" s="31">
        <f>Table1[[#This Row],[Summer 2018 Price Check]]*Table1[[#This Row],[Spring 2019 Students]]</f>
        <v>0</v>
      </c>
      <c r="BY190" s="31">
        <f t="shared" si="130"/>
        <v>0</v>
      </c>
      <c r="BZ190" s="58">
        <f t="shared" si="131"/>
        <v>0</v>
      </c>
      <c r="CA190" s="17" t="s">
        <v>964</v>
      </c>
      <c r="CB190" s="21"/>
      <c r="CC190" s="21"/>
      <c r="CD190" s="21"/>
      <c r="CE190" s="21">
        <f t="shared" si="153"/>
        <v>0</v>
      </c>
      <c r="CF190" s="58"/>
      <c r="CG190" s="31">
        <f t="shared" si="133"/>
        <v>0</v>
      </c>
      <c r="CH190" s="17"/>
      <c r="CI190" s="21">
        <f>IF(Table1[[#This Row],[Check 3 Status]]="Continued", Table1[[#This Row],[Check 3 Students Summer]], 0)</f>
        <v>0</v>
      </c>
      <c r="CJ190" s="31">
        <f>Table1[[#This Row],[Check 3 Per Student Savings]]*CI190</f>
        <v>0</v>
      </c>
      <c r="CK190" s="21">
        <f>IF(Table1[[#This Row],[Check 3 Status]]="Continued", Table1[[#This Row],[Check 3 Students Fall]], 0)</f>
        <v>0</v>
      </c>
      <c r="CL190" s="31">
        <f>Table1[[#This Row],[Check 3 Per Student Savings]]*CK190</f>
        <v>0</v>
      </c>
      <c r="CM190" s="21">
        <f>IF(Table1[[#This Row],[Check 3 Status]]="Continued", Table1[[#This Row],[Check 3 Students Spring]], 0)</f>
        <v>0</v>
      </c>
      <c r="CN190" s="31">
        <f>Table1[[#This Row],[Check 3 Per Student Savings]]*CM190</f>
        <v>0</v>
      </c>
      <c r="CO190" s="21">
        <f t="shared" si="134"/>
        <v>0</v>
      </c>
      <c r="CP190" s="31">
        <f t="shared" si="135"/>
        <v>0</v>
      </c>
      <c r="CQ190" s="31" t="s">
        <v>964</v>
      </c>
      <c r="CR190" s="21"/>
      <c r="CS190" s="21"/>
      <c r="CT190" s="21"/>
      <c r="CU190" s="21">
        <f t="shared" si="136"/>
        <v>0</v>
      </c>
      <c r="CW190" s="31">
        <f t="shared" si="137"/>
        <v>0</v>
      </c>
      <c r="CY190" s="21">
        <f>IF(Table1[[#This Row],[Check 4 Status]]="Continued", Table1[[#This Row],[Check 4 Students Summer]], 0)</f>
        <v>0</v>
      </c>
      <c r="CZ190" s="58">
        <f>Table1[[#This Row],[Check 4 Per Student Savings]]*CY190</f>
        <v>0</v>
      </c>
      <c r="DA190" s="21">
        <f>IF(Table1[[#This Row],[Check 4 Status]]="Continued", Table1[[#This Row],[Check 4 Students Fall]], 0)</f>
        <v>0</v>
      </c>
      <c r="DB190" s="31">
        <f>Table1[[#This Row],[Check 4 Per Student Savings]]*DA190</f>
        <v>0</v>
      </c>
      <c r="DC190" s="21">
        <f>IF(Table1[[#This Row],[Check 4 Status]]="Continued", Table1[[#This Row],[Check 4 Students Spring]], 0)</f>
        <v>0</v>
      </c>
      <c r="DD190" s="58">
        <f>Table1[[#This Row],[Check 4 Per Student Savings]]*DC190</f>
        <v>0</v>
      </c>
      <c r="DE190" s="58">
        <f t="shared" si="138"/>
        <v>0</v>
      </c>
      <c r="DF190" s="58">
        <f t="shared" si="139"/>
        <v>0</v>
      </c>
      <c r="DG19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19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190" s="58">
        <f>Table1[[#This Row],[Grand Total Savings]]/Table1[[#This Row],[Total Award]]</f>
        <v>0</v>
      </c>
      <c r="DJ190" s="17"/>
      <c r="DK190" s="17"/>
      <c r="DL190" s="17"/>
      <c r="DM190" s="17"/>
      <c r="EC190" s="17"/>
      <c r="ED190" s="17"/>
      <c r="EE190" s="17"/>
      <c r="EF190" s="17"/>
    </row>
    <row r="191" spans="1:136" x14ac:dyDescent="0.25">
      <c r="A191" s="159" t="s">
        <v>972</v>
      </c>
      <c r="B191" s="17" t="s">
        <v>2011</v>
      </c>
      <c r="D191" s="97">
        <v>513620</v>
      </c>
      <c r="E191" s="165">
        <v>43123</v>
      </c>
      <c r="F191" s="158">
        <v>43480</v>
      </c>
      <c r="G191" s="159">
        <v>10</v>
      </c>
      <c r="H191" s="95" t="s">
        <v>7</v>
      </c>
      <c r="I191" s="17" t="s">
        <v>962</v>
      </c>
      <c r="J191" s="17" t="s">
        <v>276</v>
      </c>
      <c r="K191" s="107">
        <v>4495</v>
      </c>
      <c r="L191" s="107"/>
      <c r="M191" s="101" t="s">
        <v>512</v>
      </c>
      <c r="N191" s="101" t="s">
        <v>513</v>
      </c>
      <c r="O191" s="101" t="s">
        <v>973</v>
      </c>
      <c r="P191" s="101" t="s">
        <v>974</v>
      </c>
      <c r="Q191" s="101" t="s">
        <v>206</v>
      </c>
      <c r="R191" s="101" t="s">
        <v>973</v>
      </c>
      <c r="S191" s="101" t="s">
        <v>953</v>
      </c>
      <c r="T191" s="101" t="s">
        <v>953</v>
      </c>
      <c r="U191" s="101" t="s">
        <v>953</v>
      </c>
      <c r="V191" s="17" t="s">
        <v>140</v>
      </c>
      <c r="W191" s="17" t="s">
        <v>140</v>
      </c>
      <c r="X191" s="17" t="s">
        <v>140</v>
      </c>
      <c r="Y191" s="58">
        <v>0</v>
      </c>
      <c r="Z191" s="101">
        <v>0</v>
      </c>
      <c r="AA191" s="58">
        <v>0</v>
      </c>
      <c r="AB191" s="21">
        <v>0</v>
      </c>
      <c r="AC191" s="21">
        <v>0</v>
      </c>
      <c r="AD191" s="21">
        <v>0</v>
      </c>
      <c r="AF191" s="17" t="s">
        <v>129</v>
      </c>
      <c r="AG191" s="17"/>
      <c r="AI191" s="17" t="s">
        <v>964</v>
      </c>
      <c r="AJ191" s="21">
        <v>0</v>
      </c>
      <c r="AK191" s="31">
        <v>0</v>
      </c>
      <c r="AL191" s="21">
        <v>0</v>
      </c>
      <c r="AM191" s="31">
        <v>0</v>
      </c>
      <c r="AN191" s="21">
        <v>0</v>
      </c>
      <c r="AO191" s="31">
        <v>0</v>
      </c>
      <c r="AP191" s="21">
        <v>0</v>
      </c>
      <c r="AQ191" s="31">
        <v>0</v>
      </c>
      <c r="AR191" s="21">
        <v>0</v>
      </c>
      <c r="AS191" s="31">
        <v>0</v>
      </c>
      <c r="AT191" s="21">
        <v>0</v>
      </c>
      <c r="AU191" s="31">
        <v>0</v>
      </c>
      <c r="AV191" s="21">
        <v>0</v>
      </c>
      <c r="AW191" s="31">
        <v>0</v>
      </c>
      <c r="AX191" s="31">
        <v>0</v>
      </c>
      <c r="AY191" s="31">
        <v>0</v>
      </c>
      <c r="AZ191" s="31">
        <v>0</v>
      </c>
      <c r="BA191" s="31">
        <v>0</v>
      </c>
      <c r="BB191" s="31">
        <v>0</v>
      </c>
      <c r="BC191" s="31">
        <v>0</v>
      </c>
      <c r="BD191" s="31">
        <v>0</v>
      </c>
      <c r="BE191" s="31">
        <v>0</v>
      </c>
      <c r="BF191" s="31">
        <v>0</v>
      </c>
      <c r="BG191" s="31">
        <v>0</v>
      </c>
      <c r="BH191" s="31">
        <v>0</v>
      </c>
      <c r="BI191" s="31">
        <v>0</v>
      </c>
      <c r="BJ191" s="31">
        <v>0</v>
      </c>
      <c r="BK191" s="31">
        <v>0</v>
      </c>
      <c r="BL191" s="17" t="s">
        <v>964</v>
      </c>
      <c r="BM191" s="31">
        <v>0</v>
      </c>
      <c r="BN191" s="31">
        <v>0</v>
      </c>
      <c r="BO191" s="31">
        <v>0</v>
      </c>
      <c r="BP191" s="31">
        <v>0</v>
      </c>
      <c r="BQ191" s="31">
        <v>0</v>
      </c>
      <c r="BR191" s="31">
        <v>0</v>
      </c>
      <c r="BS191" s="31">
        <v>0</v>
      </c>
      <c r="BT191" s="31">
        <v>0</v>
      </c>
      <c r="BU191" s="31">
        <v>0</v>
      </c>
      <c r="BV191" s="31">
        <v>0</v>
      </c>
      <c r="BW191" s="21">
        <f>IF(Table1[[#This Row],[Sustainability Check 2 (2018-2019) Status]]="Continued", Table1[Check 2 Students Spring], 0)</f>
        <v>0</v>
      </c>
      <c r="BX191" s="31">
        <f>Table1[[#This Row],[Summer 2018 Price Check]]*Table1[[#This Row],[Spring 2019 Students]]</f>
        <v>0</v>
      </c>
      <c r="BY191" s="31">
        <f t="shared" si="130"/>
        <v>0</v>
      </c>
      <c r="BZ191" s="58">
        <f t="shared" si="131"/>
        <v>0</v>
      </c>
      <c r="CA191" s="17" t="s">
        <v>964</v>
      </c>
      <c r="CB191" s="21"/>
      <c r="CC191" s="21"/>
      <c r="CD191" s="21"/>
      <c r="CE191" s="21">
        <f t="shared" si="153"/>
        <v>0</v>
      </c>
      <c r="CF191" s="58"/>
      <c r="CG191" s="31">
        <f t="shared" si="133"/>
        <v>0</v>
      </c>
      <c r="CH191" s="17"/>
      <c r="CI191" s="21">
        <f>IF(Table1[[#This Row],[Check 3 Status]]="Continued", Table1[[#This Row],[Check 3 Students Summer]], 0)</f>
        <v>0</v>
      </c>
      <c r="CJ191" s="31">
        <f>Table1[[#This Row],[Check 3 Per Student Savings]]*CI191</f>
        <v>0</v>
      </c>
      <c r="CK191" s="21">
        <f>IF(Table1[[#This Row],[Check 3 Status]]="Continued", Table1[[#This Row],[Check 3 Students Fall]], 0)</f>
        <v>0</v>
      </c>
      <c r="CL191" s="31">
        <f>Table1[[#This Row],[Check 3 Per Student Savings]]*CK191</f>
        <v>0</v>
      </c>
      <c r="CM191" s="21">
        <f>IF(Table1[[#This Row],[Check 3 Status]]="Continued", Table1[[#This Row],[Check 3 Students Spring]], 0)</f>
        <v>0</v>
      </c>
      <c r="CN191" s="31">
        <f>Table1[[#This Row],[Check 3 Per Student Savings]]*CM191</f>
        <v>0</v>
      </c>
      <c r="CO191" s="21">
        <f t="shared" si="134"/>
        <v>0</v>
      </c>
      <c r="CP191" s="31">
        <f t="shared" si="135"/>
        <v>0</v>
      </c>
      <c r="CQ191" s="31" t="s">
        <v>964</v>
      </c>
      <c r="CR191" s="21"/>
      <c r="CS191" s="21"/>
      <c r="CT191" s="21"/>
      <c r="CU191" s="21">
        <f t="shared" si="136"/>
        <v>0</v>
      </c>
      <c r="CW191" s="31">
        <f t="shared" si="137"/>
        <v>0</v>
      </c>
      <c r="CY191" s="21">
        <f>IF(Table1[[#This Row],[Check 4 Status]]="Continued", Table1[[#This Row],[Check 4 Students Summer]], 0)</f>
        <v>0</v>
      </c>
      <c r="CZ191" s="58">
        <f>Table1[[#This Row],[Check 4 Per Student Savings]]*CY191</f>
        <v>0</v>
      </c>
      <c r="DA191" s="21">
        <f>IF(Table1[[#This Row],[Check 4 Status]]="Continued", Table1[[#This Row],[Check 4 Students Fall]], 0)</f>
        <v>0</v>
      </c>
      <c r="DB191" s="31">
        <f>Table1[[#This Row],[Check 4 Per Student Savings]]*DA191</f>
        <v>0</v>
      </c>
      <c r="DC191" s="21">
        <f>IF(Table1[[#This Row],[Check 4 Status]]="Continued", Table1[[#This Row],[Check 4 Students Spring]], 0)</f>
        <v>0</v>
      </c>
      <c r="DD191" s="58">
        <f>Table1[[#This Row],[Check 4 Per Student Savings]]*DC191</f>
        <v>0</v>
      </c>
      <c r="DE191" s="58">
        <f t="shared" si="138"/>
        <v>0</v>
      </c>
      <c r="DF191" s="58">
        <f t="shared" si="139"/>
        <v>0</v>
      </c>
      <c r="DG19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19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191" s="58">
        <f>Table1[[#This Row],[Grand Total Savings]]/Table1[[#This Row],[Total Award]]</f>
        <v>0</v>
      </c>
      <c r="DJ191" s="17"/>
      <c r="DK191" s="17"/>
      <c r="DL191" s="17"/>
      <c r="DM191" s="17"/>
      <c r="EC191" s="17"/>
      <c r="ED191" s="17"/>
      <c r="EE191" s="17"/>
      <c r="EF191" s="17"/>
    </row>
    <row r="192" spans="1:136" x14ac:dyDescent="0.25">
      <c r="A192" s="157" t="s">
        <v>975</v>
      </c>
      <c r="B192" s="17" t="s">
        <v>2011</v>
      </c>
      <c r="D192" s="97">
        <v>514223</v>
      </c>
      <c r="E192" s="158">
        <v>43234</v>
      </c>
      <c r="F192" s="158">
        <v>43472</v>
      </c>
      <c r="G192" s="159">
        <v>10</v>
      </c>
      <c r="H192" s="95" t="s">
        <v>7</v>
      </c>
      <c r="I192" s="17" t="s">
        <v>962</v>
      </c>
      <c r="J192" s="17" t="s">
        <v>132</v>
      </c>
      <c r="K192" s="107">
        <v>4800</v>
      </c>
      <c r="L192" s="107"/>
      <c r="M192" s="101" t="s">
        <v>289</v>
      </c>
      <c r="N192" s="101" t="s">
        <v>290</v>
      </c>
      <c r="O192" s="101" t="s">
        <v>291</v>
      </c>
      <c r="P192" s="101" t="s">
        <v>292</v>
      </c>
      <c r="Q192" s="101" t="s">
        <v>177</v>
      </c>
      <c r="R192" s="101" t="s">
        <v>129</v>
      </c>
      <c r="S192" s="173" t="s">
        <v>912</v>
      </c>
      <c r="T192" s="173" t="s">
        <v>912</v>
      </c>
      <c r="U192" s="173" t="s">
        <v>912</v>
      </c>
      <c r="V192" s="17" t="s">
        <v>140</v>
      </c>
      <c r="W192" s="17" t="s">
        <v>140</v>
      </c>
      <c r="X192" s="17" t="s">
        <v>140</v>
      </c>
      <c r="Y192" s="58">
        <v>0</v>
      </c>
      <c r="Z192" s="101">
        <v>0</v>
      </c>
      <c r="AA192" s="58">
        <v>0</v>
      </c>
      <c r="AB192" s="21">
        <v>0</v>
      </c>
      <c r="AC192" s="21">
        <v>0</v>
      </c>
      <c r="AD192" s="21">
        <v>0</v>
      </c>
      <c r="AF192" s="17" t="s">
        <v>129</v>
      </c>
      <c r="AG192" s="17"/>
      <c r="AI192" s="17" t="s">
        <v>964</v>
      </c>
      <c r="AJ192" s="21">
        <v>0</v>
      </c>
      <c r="AK192" s="31">
        <v>0</v>
      </c>
      <c r="AL192" s="21">
        <v>0</v>
      </c>
      <c r="AM192" s="31">
        <v>0</v>
      </c>
      <c r="AN192" s="21">
        <v>0</v>
      </c>
      <c r="AO192" s="31">
        <v>0</v>
      </c>
      <c r="AP192" s="21">
        <v>0</v>
      </c>
      <c r="AQ192" s="31">
        <v>0</v>
      </c>
      <c r="AR192" s="21">
        <v>0</v>
      </c>
      <c r="AS192" s="31">
        <v>0</v>
      </c>
      <c r="AT192" s="21">
        <v>0</v>
      </c>
      <c r="AU192" s="31">
        <v>0</v>
      </c>
      <c r="AV192" s="21">
        <v>0</v>
      </c>
      <c r="AW192" s="31">
        <v>0</v>
      </c>
      <c r="AX192" s="31">
        <v>0</v>
      </c>
      <c r="AY192" s="31">
        <v>0</v>
      </c>
      <c r="AZ192" s="31">
        <v>0</v>
      </c>
      <c r="BA192" s="31">
        <v>0</v>
      </c>
      <c r="BB192" s="31">
        <v>0</v>
      </c>
      <c r="BC192" s="31">
        <v>0</v>
      </c>
      <c r="BD192" s="31">
        <v>0</v>
      </c>
      <c r="BE192" s="31">
        <v>0</v>
      </c>
      <c r="BF192" s="31">
        <v>0</v>
      </c>
      <c r="BG192" s="31">
        <v>0</v>
      </c>
      <c r="BH192" s="31">
        <v>0</v>
      </c>
      <c r="BI192" s="31">
        <v>0</v>
      </c>
      <c r="BJ192" s="31">
        <v>0</v>
      </c>
      <c r="BK192" s="31">
        <v>0</v>
      </c>
      <c r="BL192" s="17" t="s">
        <v>964</v>
      </c>
      <c r="BM192" s="31">
        <v>0</v>
      </c>
      <c r="BN192" s="31">
        <v>0</v>
      </c>
      <c r="BO192" s="31">
        <v>0</v>
      </c>
      <c r="BP192" s="31">
        <v>0</v>
      </c>
      <c r="BQ192" s="31">
        <v>0</v>
      </c>
      <c r="BR192" s="31">
        <v>0</v>
      </c>
      <c r="BS192" s="31">
        <v>0</v>
      </c>
      <c r="BT192" s="31">
        <v>0</v>
      </c>
      <c r="BU192" s="31">
        <v>0</v>
      </c>
      <c r="BV192" s="31">
        <v>0</v>
      </c>
      <c r="BW192" s="21">
        <f>IF(Table1[[#This Row],[Sustainability Check 2 (2018-2019) Status]]="Continued", Table1[Check 2 Students Spring], 0)</f>
        <v>0</v>
      </c>
      <c r="BX192" s="31">
        <f>Table1[[#This Row],[Summer 2018 Price Check]]*Table1[[#This Row],[Spring 2019 Students]]</f>
        <v>0</v>
      </c>
      <c r="BY192" s="31">
        <f t="shared" si="130"/>
        <v>0</v>
      </c>
      <c r="BZ192" s="58">
        <f t="shared" si="131"/>
        <v>0</v>
      </c>
      <c r="CA192" s="17" t="s">
        <v>964</v>
      </c>
      <c r="CB192" s="21"/>
      <c r="CC192" s="21"/>
      <c r="CD192" s="21"/>
      <c r="CE192" s="21">
        <f t="shared" si="153"/>
        <v>0</v>
      </c>
      <c r="CF192" s="58"/>
      <c r="CG192" s="31">
        <f t="shared" si="133"/>
        <v>0</v>
      </c>
      <c r="CH192" s="17"/>
      <c r="CI192" s="21">
        <f>IF(Table1[[#This Row],[Check 3 Status]]="Continued", Table1[[#This Row],[Check 3 Students Summer]], 0)</f>
        <v>0</v>
      </c>
      <c r="CJ192" s="31">
        <f>Table1[[#This Row],[Check 3 Per Student Savings]]*CI192</f>
        <v>0</v>
      </c>
      <c r="CK192" s="21">
        <f>IF(Table1[[#This Row],[Check 3 Status]]="Continued", Table1[[#This Row],[Check 3 Students Fall]], 0)</f>
        <v>0</v>
      </c>
      <c r="CL192" s="31">
        <f>Table1[[#This Row],[Check 3 Per Student Savings]]*CK192</f>
        <v>0</v>
      </c>
      <c r="CM192" s="21">
        <f>IF(Table1[[#This Row],[Check 3 Status]]="Continued", Table1[[#This Row],[Check 3 Students Spring]], 0)</f>
        <v>0</v>
      </c>
      <c r="CN192" s="31">
        <f>Table1[[#This Row],[Check 3 Per Student Savings]]*CM192</f>
        <v>0</v>
      </c>
      <c r="CO192" s="21">
        <f t="shared" si="134"/>
        <v>0</v>
      </c>
      <c r="CP192" s="31">
        <f t="shared" si="135"/>
        <v>0</v>
      </c>
      <c r="CQ192" s="31" t="s">
        <v>964</v>
      </c>
      <c r="CR192" s="21"/>
      <c r="CS192" s="21"/>
      <c r="CT192" s="21"/>
      <c r="CU192" s="21">
        <f t="shared" si="136"/>
        <v>0</v>
      </c>
      <c r="CW192" s="31">
        <f t="shared" si="137"/>
        <v>0</v>
      </c>
      <c r="CY192" s="21">
        <f>IF(Table1[[#This Row],[Check 4 Status]]="Continued", Table1[[#This Row],[Check 4 Students Summer]], 0)</f>
        <v>0</v>
      </c>
      <c r="CZ192" s="58">
        <f>Table1[[#This Row],[Check 4 Per Student Savings]]*CY192</f>
        <v>0</v>
      </c>
      <c r="DA192" s="21">
        <f>IF(Table1[[#This Row],[Check 4 Status]]="Continued", Table1[[#This Row],[Check 4 Students Fall]], 0)</f>
        <v>0</v>
      </c>
      <c r="DB192" s="31">
        <f>Table1[[#This Row],[Check 4 Per Student Savings]]*DA192</f>
        <v>0</v>
      </c>
      <c r="DC192" s="21">
        <f>IF(Table1[[#This Row],[Check 4 Status]]="Continued", Table1[[#This Row],[Check 4 Students Spring]], 0)</f>
        <v>0</v>
      </c>
      <c r="DD192" s="58">
        <f>Table1[[#This Row],[Check 4 Per Student Savings]]*DC192</f>
        <v>0</v>
      </c>
      <c r="DE192" s="58">
        <f t="shared" si="138"/>
        <v>0</v>
      </c>
      <c r="DF192" s="58">
        <f t="shared" si="139"/>
        <v>0</v>
      </c>
      <c r="DG19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19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192" s="58">
        <f>Table1[[#This Row],[Grand Total Savings]]/Table1[[#This Row],[Total Award]]</f>
        <v>0</v>
      </c>
      <c r="DJ192" s="17"/>
      <c r="DK192" s="17"/>
      <c r="DL192" s="17"/>
      <c r="DM192" s="17"/>
      <c r="EC192" s="17"/>
      <c r="ED192" s="17"/>
      <c r="EE192" s="17"/>
      <c r="EF192" s="17"/>
    </row>
    <row r="193" spans="1:136" x14ac:dyDescent="0.25">
      <c r="A193" s="159" t="s">
        <v>976</v>
      </c>
      <c r="B193" s="17" t="s">
        <v>2011</v>
      </c>
      <c r="D193" s="97">
        <v>513696</v>
      </c>
      <c r="E193" s="165">
        <v>43109</v>
      </c>
      <c r="F193" s="158">
        <v>43472</v>
      </c>
      <c r="G193" s="159">
        <v>10</v>
      </c>
      <c r="H193" s="95" t="s">
        <v>7</v>
      </c>
      <c r="I193" s="17" t="s">
        <v>962</v>
      </c>
      <c r="J193" s="17" t="s">
        <v>2000</v>
      </c>
      <c r="K193" s="107">
        <v>4800</v>
      </c>
      <c r="L193" s="107"/>
      <c r="M193" s="101" t="s">
        <v>409</v>
      </c>
      <c r="N193" s="101" t="s">
        <v>410</v>
      </c>
      <c r="O193" s="101" t="s">
        <v>411</v>
      </c>
      <c r="P193" s="101" t="s">
        <v>412</v>
      </c>
      <c r="Q193" s="101" t="s">
        <v>248</v>
      </c>
      <c r="R193" s="101" t="s">
        <v>129</v>
      </c>
      <c r="S193" s="173" t="s">
        <v>912</v>
      </c>
      <c r="T193" s="173" t="s">
        <v>912</v>
      </c>
      <c r="U193" s="173" t="s">
        <v>912</v>
      </c>
      <c r="V193" s="17" t="s">
        <v>140</v>
      </c>
      <c r="W193" s="17" t="s">
        <v>140</v>
      </c>
      <c r="X193" s="17" t="s">
        <v>140</v>
      </c>
      <c r="Y193" s="58">
        <v>0</v>
      </c>
      <c r="Z193" s="101">
        <v>0</v>
      </c>
      <c r="AA193" s="58">
        <v>0</v>
      </c>
      <c r="AB193" s="21">
        <v>0</v>
      </c>
      <c r="AC193" s="21">
        <v>0</v>
      </c>
      <c r="AD193" s="21">
        <v>0</v>
      </c>
      <c r="AF193" s="17" t="s">
        <v>129</v>
      </c>
      <c r="AG193" s="17"/>
      <c r="AI193" s="17" t="s">
        <v>964</v>
      </c>
      <c r="AJ193" s="21">
        <v>0</v>
      </c>
      <c r="AK193" s="31">
        <v>0</v>
      </c>
      <c r="AL193" s="21">
        <v>0</v>
      </c>
      <c r="AM193" s="31">
        <v>0</v>
      </c>
      <c r="AN193" s="21">
        <v>0</v>
      </c>
      <c r="AO193" s="31">
        <v>0</v>
      </c>
      <c r="AP193" s="21">
        <v>0</v>
      </c>
      <c r="AQ193" s="31">
        <v>0</v>
      </c>
      <c r="AR193" s="21">
        <v>0</v>
      </c>
      <c r="AS193" s="31">
        <v>0</v>
      </c>
      <c r="AT193" s="21">
        <v>0</v>
      </c>
      <c r="AU193" s="31">
        <v>0</v>
      </c>
      <c r="AV193" s="21">
        <v>0</v>
      </c>
      <c r="AW193" s="31">
        <v>0</v>
      </c>
      <c r="AX193" s="31">
        <v>0</v>
      </c>
      <c r="AY193" s="31">
        <v>0</v>
      </c>
      <c r="AZ193" s="31">
        <v>0</v>
      </c>
      <c r="BA193" s="31">
        <v>0</v>
      </c>
      <c r="BB193" s="31">
        <v>0</v>
      </c>
      <c r="BC193" s="31">
        <v>0</v>
      </c>
      <c r="BD193" s="31">
        <v>0</v>
      </c>
      <c r="BE193" s="31">
        <v>0</v>
      </c>
      <c r="BF193" s="31">
        <v>0</v>
      </c>
      <c r="BG193" s="31">
        <v>0</v>
      </c>
      <c r="BH193" s="31">
        <v>0</v>
      </c>
      <c r="BI193" s="31">
        <v>0</v>
      </c>
      <c r="BJ193" s="31">
        <v>0</v>
      </c>
      <c r="BK193" s="31">
        <v>0</v>
      </c>
      <c r="BL193" s="17" t="s">
        <v>964</v>
      </c>
      <c r="BM193" s="31">
        <v>0</v>
      </c>
      <c r="BN193" s="31">
        <v>0</v>
      </c>
      <c r="BO193" s="31">
        <v>0</v>
      </c>
      <c r="BP193" s="31">
        <v>0</v>
      </c>
      <c r="BQ193" s="31">
        <v>0</v>
      </c>
      <c r="BR193" s="31">
        <v>0</v>
      </c>
      <c r="BS193" s="31">
        <v>0</v>
      </c>
      <c r="BT193" s="31">
        <v>0</v>
      </c>
      <c r="BU193" s="31">
        <v>0</v>
      </c>
      <c r="BV193" s="31">
        <v>0</v>
      </c>
      <c r="BW193" s="21">
        <f>IF(Table1[[#This Row],[Sustainability Check 2 (2018-2019) Status]]="Continued", Table1[Check 2 Students Spring], 0)</f>
        <v>0</v>
      </c>
      <c r="BX193" s="31">
        <f>Table1[[#This Row],[Summer 2018 Price Check]]*Table1[[#This Row],[Spring 2019 Students]]</f>
        <v>0</v>
      </c>
      <c r="BY193" s="31">
        <f t="shared" si="130"/>
        <v>0</v>
      </c>
      <c r="BZ193" s="58">
        <f t="shared" si="131"/>
        <v>0</v>
      </c>
      <c r="CA193" s="17" t="s">
        <v>964</v>
      </c>
      <c r="CB193" s="21"/>
      <c r="CC193" s="21"/>
      <c r="CD193" s="21"/>
      <c r="CE193" s="21">
        <f t="shared" si="153"/>
        <v>0</v>
      </c>
      <c r="CF193" s="58"/>
      <c r="CG193" s="31">
        <f t="shared" si="133"/>
        <v>0</v>
      </c>
      <c r="CH193" s="17"/>
      <c r="CI193" s="21">
        <f>IF(Table1[[#This Row],[Check 3 Status]]="Continued", Table1[[#This Row],[Check 3 Students Summer]], 0)</f>
        <v>0</v>
      </c>
      <c r="CJ193" s="31">
        <f>Table1[[#This Row],[Check 3 Per Student Savings]]*CI193</f>
        <v>0</v>
      </c>
      <c r="CK193" s="21">
        <f>IF(Table1[[#This Row],[Check 3 Status]]="Continued", Table1[[#This Row],[Check 3 Students Fall]], 0)</f>
        <v>0</v>
      </c>
      <c r="CL193" s="31">
        <f>Table1[[#This Row],[Check 3 Per Student Savings]]*CK193</f>
        <v>0</v>
      </c>
      <c r="CM193" s="21">
        <f>IF(Table1[[#This Row],[Check 3 Status]]="Continued", Table1[[#This Row],[Check 3 Students Spring]], 0)</f>
        <v>0</v>
      </c>
      <c r="CN193" s="31">
        <f>Table1[[#This Row],[Check 3 Per Student Savings]]*CM193</f>
        <v>0</v>
      </c>
      <c r="CO193" s="21">
        <f t="shared" si="134"/>
        <v>0</v>
      </c>
      <c r="CP193" s="31">
        <f t="shared" si="135"/>
        <v>0</v>
      </c>
      <c r="CQ193" s="31" t="s">
        <v>964</v>
      </c>
      <c r="CR193" s="21"/>
      <c r="CS193" s="21"/>
      <c r="CT193" s="21"/>
      <c r="CU193" s="21">
        <f t="shared" si="136"/>
        <v>0</v>
      </c>
      <c r="CW193" s="31">
        <f t="shared" si="137"/>
        <v>0</v>
      </c>
      <c r="CY193" s="21">
        <f>IF(Table1[[#This Row],[Check 4 Status]]="Continued", Table1[[#This Row],[Check 4 Students Summer]], 0)</f>
        <v>0</v>
      </c>
      <c r="CZ193" s="58">
        <f>Table1[[#This Row],[Check 4 Per Student Savings]]*CY193</f>
        <v>0</v>
      </c>
      <c r="DA193" s="21">
        <f>IF(Table1[[#This Row],[Check 4 Status]]="Continued", Table1[[#This Row],[Check 4 Students Fall]], 0)</f>
        <v>0</v>
      </c>
      <c r="DB193" s="31">
        <f>Table1[[#This Row],[Check 4 Per Student Savings]]*DA193</f>
        <v>0</v>
      </c>
      <c r="DC193" s="21">
        <f>IF(Table1[[#This Row],[Check 4 Status]]="Continued", Table1[[#This Row],[Check 4 Students Spring]], 0)</f>
        <v>0</v>
      </c>
      <c r="DD193" s="58">
        <f>Table1[[#This Row],[Check 4 Per Student Savings]]*DC193</f>
        <v>0</v>
      </c>
      <c r="DE193" s="58">
        <f t="shared" si="138"/>
        <v>0</v>
      </c>
      <c r="DF193" s="58">
        <f t="shared" si="139"/>
        <v>0</v>
      </c>
      <c r="DG19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19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193" s="58">
        <f>Table1[[#This Row],[Grand Total Savings]]/Table1[[#This Row],[Total Award]]</f>
        <v>0</v>
      </c>
      <c r="DJ193" s="17"/>
      <c r="DK193" s="17"/>
      <c r="DL193" s="17"/>
      <c r="DM193" s="17"/>
      <c r="EC193" s="17"/>
      <c r="ED193" s="17"/>
      <c r="EE193" s="17"/>
      <c r="EF193" s="17"/>
    </row>
    <row r="194" spans="1:136" x14ac:dyDescent="0.25">
      <c r="A194" s="159">
        <v>349</v>
      </c>
      <c r="B194" s="17" t="s">
        <v>2011</v>
      </c>
      <c r="D194" s="97">
        <v>514134</v>
      </c>
      <c r="E194" s="165">
        <v>43193</v>
      </c>
      <c r="G194" s="159">
        <v>11</v>
      </c>
      <c r="H194" s="95" t="s">
        <v>7</v>
      </c>
      <c r="I194" s="226" t="s">
        <v>118</v>
      </c>
      <c r="J194" s="17" t="s">
        <v>210</v>
      </c>
      <c r="K194" s="107">
        <v>10800</v>
      </c>
      <c r="L194" s="107"/>
      <c r="M194" s="101" t="s">
        <v>977</v>
      </c>
      <c r="N194" s="101" t="s">
        <v>978</v>
      </c>
      <c r="O194" s="101" t="s">
        <v>979</v>
      </c>
      <c r="P194" s="101" t="s">
        <v>980</v>
      </c>
      <c r="Q194" s="101" t="s">
        <v>714</v>
      </c>
      <c r="R194" s="101" t="s">
        <v>981</v>
      </c>
      <c r="S194" s="173" t="s">
        <v>912</v>
      </c>
      <c r="T194" s="173" t="s">
        <v>912</v>
      </c>
      <c r="U194" s="173" t="s">
        <v>912</v>
      </c>
      <c r="V194" s="17" t="s">
        <v>150</v>
      </c>
      <c r="W194" s="17" t="s">
        <v>150</v>
      </c>
      <c r="X194" s="17" t="s">
        <v>127</v>
      </c>
      <c r="Y194" s="58">
        <v>50942</v>
      </c>
      <c r="Z194" s="17">
        <v>324</v>
      </c>
      <c r="AA194" s="58">
        <v>127.78</v>
      </c>
      <c r="AB194" s="21">
        <v>0</v>
      </c>
      <c r="AC194" s="21">
        <v>202</v>
      </c>
      <c r="AD194" s="21">
        <v>122</v>
      </c>
      <c r="AE194" s="17" t="s">
        <v>675</v>
      </c>
      <c r="AF194" s="17" t="s">
        <v>129</v>
      </c>
      <c r="AG194" s="17"/>
      <c r="AI194" s="17" t="s">
        <v>130</v>
      </c>
      <c r="AJ194" s="21">
        <v>0</v>
      </c>
      <c r="AK194" s="58">
        <v>0</v>
      </c>
      <c r="AL194" s="21">
        <v>0</v>
      </c>
      <c r="AM194" s="58">
        <f t="shared" ref="AM194:AM209" si="160">AK194</f>
        <v>0</v>
      </c>
      <c r="AN194" s="21">
        <v>0</v>
      </c>
      <c r="AO194" s="58">
        <f t="shared" ref="AO194:AO209" si="161">$AA194*AN194</f>
        <v>0</v>
      </c>
      <c r="AP194" s="21">
        <v>0</v>
      </c>
      <c r="AQ194" s="58">
        <f t="shared" ref="AQ194:AQ209" si="162">$AA194*AP194</f>
        <v>0</v>
      </c>
      <c r="AR194" s="21">
        <v>0</v>
      </c>
      <c r="AS194" s="58">
        <f t="shared" ref="AS194:AS209" si="163">$AA194*AR194</f>
        <v>0</v>
      </c>
      <c r="AT194" s="21">
        <v>0</v>
      </c>
      <c r="AU194" s="58">
        <f t="shared" ref="AU194:AU209" si="164">AO194+AQ194+AS194</f>
        <v>0</v>
      </c>
      <c r="AV194" s="21">
        <v>0</v>
      </c>
      <c r="AW194" s="58">
        <v>0</v>
      </c>
      <c r="AX194" s="31">
        <v>0</v>
      </c>
      <c r="AY194" s="58">
        <v>0</v>
      </c>
      <c r="AZ194" s="31">
        <v>0</v>
      </c>
      <c r="BA194" s="58">
        <v>0</v>
      </c>
      <c r="BB194" s="31">
        <v>0</v>
      </c>
      <c r="BC194" s="58">
        <v>0</v>
      </c>
      <c r="BD194" s="31">
        <v>0</v>
      </c>
      <c r="BE194" s="58">
        <v>0</v>
      </c>
      <c r="BF194" s="31">
        <v>0</v>
      </c>
      <c r="BG194" s="58">
        <v>0</v>
      </c>
      <c r="BH194" s="31">
        <v>0</v>
      </c>
      <c r="BI194" s="58">
        <v>0</v>
      </c>
      <c r="BJ194" s="31">
        <v>0</v>
      </c>
      <c r="BK194" s="58">
        <v>0</v>
      </c>
      <c r="BL194" s="17" t="s">
        <v>130</v>
      </c>
      <c r="BM194" s="31">
        <v>0</v>
      </c>
      <c r="BN194" s="31">
        <v>202</v>
      </c>
      <c r="BO194" s="31">
        <v>122</v>
      </c>
      <c r="BP194" s="31">
        <f t="shared" ref="BP194:BP209" si="165">SUM(BM194:BO194)</f>
        <v>324</v>
      </c>
      <c r="BQ194" s="58">
        <v>128</v>
      </c>
      <c r="BR194" s="58">
        <f>Table1[[#This Row],[Check 2 Students Total]]*Table1[[#This Row],[Summer 2018 Price Check]]</f>
        <v>41472</v>
      </c>
      <c r="BS194" s="31">
        <v>0</v>
      </c>
      <c r="BT194" s="58">
        <f>Table1[[#This Row],[Summer 2018 Price Check]]*BS194</f>
        <v>0</v>
      </c>
      <c r="BU194" s="31">
        <f>IF(Table1[[#This Row],[Sustainability Check 2 (2018-2019) Status]]="Continued", Table1[[#This Row],[Check 2 Students Fall]], 0)</f>
        <v>202</v>
      </c>
      <c r="BV194" s="58">
        <f>Table1[[#This Row],[Summer 2018 Price Check]]*BU194</f>
        <v>25856</v>
      </c>
      <c r="BW194" s="21">
        <f>IF(Table1[[#This Row],[Sustainability Check 2 (2018-2019) Status]]="Continued", Table1[Check 2 Students Spring], 0)</f>
        <v>122</v>
      </c>
      <c r="BX194" s="58">
        <f>Table1[[#This Row],[Summer 2018 Price Check]]*Table1[[#This Row],[Spring 2019 Students]]</f>
        <v>15616</v>
      </c>
      <c r="BY194" s="31">
        <f t="shared" ref="BY194:BY257" si="166">BS194+BU194+BW194</f>
        <v>324</v>
      </c>
      <c r="BZ194" s="58">
        <f t="shared" ref="BZ194:BZ257" si="167">BT194+BV194+BX194</f>
        <v>41472</v>
      </c>
      <c r="CA194" s="17" t="s">
        <v>130</v>
      </c>
      <c r="CB194" s="31">
        <v>0</v>
      </c>
      <c r="CC194" s="31">
        <v>202</v>
      </c>
      <c r="CD194" s="31">
        <v>122</v>
      </c>
      <c r="CE194" s="31">
        <f t="shared" ref="CE194:CE209" si="168">SUM(CB194:CD194)</f>
        <v>324</v>
      </c>
      <c r="CF194" s="58">
        <v>128</v>
      </c>
      <c r="CG194" s="58">
        <f t="shared" ref="CG194:CG257" si="169">(CE194*CF194)</f>
        <v>41472</v>
      </c>
      <c r="CH194" s="17" t="s">
        <v>675</v>
      </c>
      <c r="CI194" s="21">
        <f>IF(Table1[[#This Row],[Check 3 Status]]="Continued", Table1[[#This Row],[Check 3 Students Summer]], 0)</f>
        <v>0</v>
      </c>
      <c r="CJ194" s="58">
        <f>Table1[[#This Row],[Check 3 Per Student Savings]]*CI194</f>
        <v>0</v>
      </c>
      <c r="CK194" s="21">
        <f>IF(Table1[[#This Row],[Check 3 Status]]="Continued", Table1[[#This Row],[Check 3 Students Fall]], 0)</f>
        <v>202</v>
      </c>
      <c r="CL194" s="58">
        <f>Table1[[#This Row],[Check 3 Per Student Savings]]*CK194</f>
        <v>25856</v>
      </c>
      <c r="CM194" s="21">
        <f>IF(Table1[[#This Row],[Check 3 Status]]="Continued", Table1[[#This Row],[Check 3 Students Spring]], 0)</f>
        <v>122</v>
      </c>
      <c r="CN194" s="58">
        <f>Table1[[#This Row],[Check 3 Per Student Savings]]*CM194</f>
        <v>15616</v>
      </c>
      <c r="CO194" s="21">
        <f t="shared" ref="CO194:CO257" si="170">CI194+CK194+CM194</f>
        <v>324</v>
      </c>
      <c r="CP194" s="58">
        <f t="shared" ref="CP194:CP257" si="171">CJ194+CL194+CN194</f>
        <v>41472</v>
      </c>
      <c r="CQ194" s="58" t="s">
        <v>130</v>
      </c>
      <c r="CR194" s="21">
        <v>0</v>
      </c>
      <c r="CS194" s="21">
        <v>202</v>
      </c>
      <c r="CT194" s="21">
        <v>122</v>
      </c>
      <c r="CU194" s="21">
        <f t="shared" ref="CU194:CU257" si="172">CR194+CS194+CT194</f>
        <v>324</v>
      </c>
      <c r="CV194" s="58">
        <v>128</v>
      </c>
      <c r="CW194" s="58">
        <f t="shared" ref="CW194:CW257" si="173">CU194*CV194</f>
        <v>41472</v>
      </c>
      <c r="CX194" s="58"/>
      <c r="CY194" s="21">
        <f>IF(Table1[[#This Row],[Check 4 Status]]="Continued", Table1[[#This Row],[Check 4 Students Summer]], 0)</f>
        <v>0</v>
      </c>
      <c r="CZ194" s="58">
        <f>Table1[[#This Row],[Check 4 Per Student Savings]]*CY194</f>
        <v>0</v>
      </c>
      <c r="DA194" s="21">
        <f>IF(Table1[[#This Row],[Check 4 Status]]="Continued", Table1[[#This Row],[Check 4 Students Fall]], 0)</f>
        <v>202</v>
      </c>
      <c r="DB194" s="58">
        <f>Table1[[#This Row],[Check 4 Per Student Savings]]*DA194</f>
        <v>25856</v>
      </c>
      <c r="DC194" s="21">
        <f>IF(Table1[[#This Row],[Check 4 Status]]="Continued", Table1[[#This Row],[Check 4 Students Spring]], 0)</f>
        <v>122</v>
      </c>
      <c r="DD194" s="58">
        <f>Table1[[#This Row],[Check 4 Per Student Savings]]*DC194</f>
        <v>15616</v>
      </c>
      <c r="DE194" s="58">
        <f t="shared" ref="DE194:DE257" si="174">CY194+DA194+DC194</f>
        <v>324</v>
      </c>
      <c r="DF194" s="58">
        <f t="shared" ref="DF194:DF257" si="175">CZ194+DB194+DD194</f>
        <v>41472</v>
      </c>
      <c r="DG19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972</v>
      </c>
      <c r="DH19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124416</v>
      </c>
      <c r="DI194" s="58">
        <f>Table1[[#This Row],[Grand Total Savings]]/Table1[[#This Row],[Total Award]]</f>
        <v>11.52</v>
      </c>
      <c r="DJ194" s="17"/>
      <c r="DK194" s="17"/>
      <c r="DL194" s="17"/>
      <c r="DM194" s="17"/>
      <c r="EC194" s="17"/>
      <c r="ED194" s="17"/>
      <c r="EE194" s="17"/>
      <c r="EF194" s="17"/>
    </row>
    <row r="195" spans="1:136" x14ac:dyDescent="0.25">
      <c r="A195" s="159">
        <v>350</v>
      </c>
      <c r="B195" s="17" t="s">
        <v>2011</v>
      </c>
      <c r="D195" s="97">
        <v>514194</v>
      </c>
      <c r="E195" s="165">
        <v>43201</v>
      </c>
      <c r="F195" s="158">
        <v>43490</v>
      </c>
      <c r="G195" s="159">
        <v>11</v>
      </c>
      <c r="H195" s="95" t="s">
        <v>7</v>
      </c>
      <c r="I195" s="226" t="s">
        <v>118</v>
      </c>
      <c r="J195" s="17" t="s">
        <v>210</v>
      </c>
      <c r="K195" s="107">
        <v>10800</v>
      </c>
      <c r="L195" s="107"/>
      <c r="M195" s="101" t="s">
        <v>786</v>
      </c>
      <c r="N195" s="101" t="s">
        <v>787</v>
      </c>
      <c r="O195" s="101" t="s">
        <v>982</v>
      </c>
      <c r="P195" s="101" t="s">
        <v>983</v>
      </c>
      <c r="Q195" s="101" t="s">
        <v>148</v>
      </c>
      <c r="R195" s="101" t="s">
        <v>215</v>
      </c>
      <c r="S195" s="173" t="s">
        <v>912</v>
      </c>
      <c r="T195" s="173" t="s">
        <v>912</v>
      </c>
      <c r="U195" s="173" t="s">
        <v>912</v>
      </c>
      <c r="V195" s="17" t="s">
        <v>150</v>
      </c>
      <c r="W195" s="17" t="s">
        <v>150</v>
      </c>
      <c r="X195" s="17" t="s">
        <v>140</v>
      </c>
      <c r="Y195" s="58">
        <v>19765</v>
      </c>
      <c r="Z195" s="17">
        <v>100</v>
      </c>
      <c r="AA195" s="58">
        <v>197.65</v>
      </c>
      <c r="AB195" s="21">
        <v>0</v>
      </c>
      <c r="AC195" s="21">
        <v>100</v>
      </c>
      <c r="AD195" s="21">
        <v>0</v>
      </c>
      <c r="AE195" s="17" t="s">
        <v>675</v>
      </c>
      <c r="AF195" s="17" t="s">
        <v>129</v>
      </c>
      <c r="AG195" s="17"/>
      <c r="AI195" s="17" t="s">
        <v>130</v>
      </c>
      <c r="AJ195" s="21">
        <v>0</v>
      </c>
      <c r="AK195" s="58">
        <v>0</v>
      </c>
      <c r="AL195" s="21">
        <v>0</v>
      </c>
      <c r="AM195" s="58">
        <f t="shared" si="160"/>
        <v>0</v>
      </c>
      <c r="AN195" s="21">
        <v>0</v>
      </c>
      <c r="AO195" s="58">
        <f t="shared" si="161"/>
        <v>0</v>
      </c>
      <c r="AP195" s="21">
        <v>0</v>
      </c>
      <c r="AQ195" s="58">
        <f t="shared" si="162"/>
        <v>0</v>
      </c>
      <c r="AR195" s="21">
        <v>0</v>
      </c>
      <c r="AS195" s="58">
        <f t="shared" si="163"/>
        <v>0</v>
      </c>
      <c r="AT195" s="21">
        <v>0</v>
      </c>
      <c r="AU195" s="58">
        <f t="shared" si="164"/>
        <v>0</v>
      </c>
      <c r="AV195" s="21">
        <v>0</v>
      </c>
      <c r="AW195" s="58">
        <v>0</v>
      </c>
      <c r="AX195" s="31">
        <v>0</v>
      </c>
      <c r="AY195" s="58">
        <v>0</v>
      </c>
      <c r="AZ195" s="31">
        <v>0</v>
      </c>
      <c r="BA195" s="58">
        <v>0</v>
      </c>
      <c r="BB195" s="31">
        <v>0</v>
      </c>
      <c r="BC195" s="58">
        <v>0</v>
      </c>
      <c r="BD195" s="31">
        <v>0</v>
      </c>
      <c r="BE195" s="58">
        <v>0</v>
      </c>
      <c r="BF195" s="31">
        <v>0</v>
      </c>
      <c r="BG195" s="58">
        <v>0</v>
      </c>
      <c r="BH195" s="31">
        <v>0</v>
      </c>
      <c r="BI195" s="58">
        <v>0</v>
      </c>
      <c r="BJ195" s="31">
        <v>0</v>
      </c>
      <c r="BK195" s="58">
        <v>0</v>
      </c>
      <c r="BL195" s="17" t="s">
        <v>130</v>
      </c>
      <c r="BM195" s="31">
        <v>0</v>
      </c>
      <c r="BN195" s="31">
        <v>100</v>
      </c>
      <c r="BO195" s="31">
        <v>0</v>
      </c>
      <c r="BP195" s="31">
        <f t="shared" si="165"/>
        <v>100</v>
      </c>
      <c r="BQ195" s="58">
        <v>198</v>
      </c>
      <c r="BR195" s="58">
        <f>Table1[[#This Row],[Check 2 Students Total]]*Table1[[#This Row],[Summer 2018 Price Check]]</f>
        <v>19800</v>
      </c>
      <c r="BS195" s="31">
        <v>0</v>
      </c>
      <c r="BT195" s="58">
        <f>Table1[[#This Row],[Summer 2018 Price Check]]*BS195</f>
        <v>0</v>
      </c>
      <c r="BU195" s="31">
        <f>IF(Table1[[#This Row],[Sustainability Check 2 (2018-2019) Status]]="Continued", Table1[[#This Row],[Check 2 Students Fall]], 0)</f>
        <v>100</v>
      </c>
      <c r="BV195" s="58">
        <f>Table1[[#This Row],[Summer 2018 Price Check]]*BU195</f>
        <v>19800</v>
      </c>
      <c r="BW195" s="21">
        <f>IF(Table1[[#This Row],[Sustainability Check 2 (2018-2019) Status]]="Continued", Table1[Check 2 Students Spring], 0)</f>
        <v>0</v>
      </c>
      <c r="BX195" s="58">
        <f>Table1[[#This Row],[Summer 2018 Price Check]]*Table1[[#This Row],[Spring 2019 Students]]</f>
        <v>0</v>
      </c>
      <c r="BY195" s="31">
        <f t="shared" si="166"/>
        <v>100</v>
      </c>
      <c r="BZ195" s="58">
        <f t="shared" si="167"/>
        <v>19800</v>
      </c>
      <c r="CA195" s="17" t="s">
        <v>130</v>
      </c>
      <c r="CB195" s="31">
        <v>0</v>
      </c>
      <c r="CC195" s="31">
        <v>100</v>
      </c>
      <c r="CD195" s="31">
        <v>0</v>
      </c>
      <c r="CE195" s="31">
        <f t="shared" si="168"/>
        <v>100</v>
      </c>
      <c r="CF195" s="58">
        <v>198</v>
      </c>
      <c r="CG195" s="58">
        <f t="shared" si="169"/>
        <v>19800</v>
      </c>
      <c r="CH195" s="17" t="s">
        <v>675</v>
      </c>
      <c r="CI195" s="21">
        <f>IF(Table1[[#This Row],[Check 3 Status]]="Continued", Table1[[#This Row],[Check 3 Students Summer]], 0)</f>
        <v>0</v>
      </c>
      <c r="CJ195" s="58">
        <f>Table1[[#This Row],[Check 3 Per Student Savings]]*CI195</f>
        <v>0</v>
      </c>
      <c r="CK195" s="21">
        <f>IF(Table1[[#This Row],[Check 3 Status]]="Continued", Table1[[#This Row],[Check 3 Students Fall]], 0)</f>
        <v>100</v>
      </c>
      <c r="CL195" s="58">
        <f>Table1[[#This Row],[Check 3 Per Student Savings]]*CK195</f>
        <v>19800</v>
      </c>
      <c r="CM195" s="21">
        <f>IF(Table1[[#This Row],[Check 3 Status]]="Continued", Table1[[#This Row],[Check 3 Students Spring]], 0)</f>
        <v>0</v>
      </c>
      <c r="CN195" s="58">
        <f>Table1[[#This Row],[Check 3 Per Student Savings]]*CM195</f>
        <v>0</v>
      </c>
      <c r="CO195" s="21">
        <f t="shared" si="170"/>
        <v>100</v>
      </c>
      <c r="CP195" s="58">
        <f t="shared" si="171"/>
        <v>19800</v>
      </c>
      <c r="CQ195" s="58" t="s">
        <v>130</v>
      </c>
      <c r="CR195" s="21">
        <v>0</v>
      </c>
      <c r="CS195" s="21">
        <v>100</v>
      </c>
      <c r="CT195" s="21">
        <v>0</v>
      </c>
      <c r="CU195" s="21">
        <f t="shared" si="172"/>
        <v>100</v>
      </c>
      <c r="CV195" s="58">
        <v>198</v>
      </c>
      <c r="CW195" s="58">
        <f t="shared" si="173"/>
        <v>19800</v>
      </c>
      <c r="CX195" s="58"/>
      <c r="CY195" s="21">
        <f>IF(Table1[[#This Row],[Check 4 Status]]="Continued", Table1[[#This Row],[Check 4 Students Summer]], 0)</f>
        <v>0</v>
      </c>
      <c r="CZ195" s="58">
        <f>Table1[[#This Row],[Check 4 Per Student Savings]]*CY195</f>
        <v>0</v>
      </c>
      <c r="DA195" s="21">
        <f>IF(Table1[[#This Row],[Check 4 Status]]="Continued", Table1[[#This Row],[Check 4 Students Fall]], 0)</f>
        <v>100</v>
      </c>
      <c r="DB195" s="58">
        <f>Table1[[#This Row],[Check 4 Per Student Savings]]*DA195</f>
        <v>19800</v>
      </c>
      <c r="DC195" s="21">
        <f>IF(Table1[[#This Row],[Check 4 Status]]="Continued", Table1[[#This Row],[Check 4 Students Spring]], 0)</f>
        <v>0</v>
      </c>
      <c r="DD195" s="58">
        <f>Table1[[#This Row],[Check 4 Per Student Savings]]*DC195</f>
        <v>0</v>
      </c>
      <c r="DE195" s="58">
        <f t="shared" si="174"/>
        <v>100</v>
      </c>
      <c r="DF195" s="58">
        <f t="shared" si="175"/>
        <v>19800</v>
      </c>
      <c r="DG19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300</v>
      </c>
      <c r="DH19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59400</v>
      </c>
      <c r="DI195" s="58">
        <f>Table1[[#This Row],[Grand Total Savings]]/Table1[[#This Row],[Total Award]]</f>
        <v>5.5</v>
      </c>
      <c r="DJ195" s="17"/>
      <c r="DK195" s="17"/>
      <c r="DL195" s="17"/>
      <c r="DM195" s="17"/>
      <c r="EC195" s="17"/>
      <c r="ED195" s="17"/>
      <c r="EE195" s="17"/>
      <c r="EF195" s="17"/>
    </row>
    <row r="196" spans="1:136" x14ac:dyDescent="0.25">
      <c r="A196" s="159">
        <v>351</v>
      </c>
      <c r="B196" s="17" t="s">
        <v>2011</v>
      </c>
      <c r="D196" s="97">
        <v>514133</v>
      </c>
      <c r="E196" s="165">
        <v>43244</v>
      </c>
      <c r="G196" s="159">
        <v>11</v>
      </c>
      <c r="H196" s="95" t="s">
        <v>7</v>
      </c>
      <c r="I196" s="226" t="s">
        <v>118</v>
      </c>
      <c r="J196" s="17" t="s">
        <v>172</v>
      </c>
      <c r="K196" s="107">
        <v>10800</v>
      </c>
      <c r="L196" s="107"/>
      <c r="M196" s="101" t="s">
        <v>984</v>
      </c>
      <c r="N196" s="101" t="s">
        <v>985</v>
      </c>
      <c r="O196" s="101" t="s">
        <v>986</v>
      </c>
      <c r="P196" s="101" t="s">
        <v>987</v>
      </c>
      <c r="Q196" s="101" t="s">
        <v>192</v>
      </c>
      <c r="R196" s="101" t="s">
        <v>518</v>
      </c>
      <c r="S196" s="173" t="s">
        <v>912</v>
      </c>
      <c r="T196" s="173" t="s">
        <v>912</v>
      </c>
      <c r="U196" s="173" t="s">
        <v>912</v>
      </c>
      <c r="V196" s="17" t="s">
        <v>140</v>
      </c>
      <c r="W196" s="17" t="s">
        <v>140</v>
      </c>
      <c r="X196" s="17" t="s">
        <v>140</v>
      </c>
      <c r="Y196" s="58">
        <v>39300</v>
      </c>
      <c r="Z196" s="17">
        <v>1009</v>
      </c>
      <c r="AA196" s="58">
        <v>32.75</v>
      </c>
      <c r="AB196" s="21">
        <v>215</v>
      </c>
      <c r="AC196" s="21">
        <v>494</v>
      </c>
      <c r="AD196" s="21">
        <v>515</v>
      </c>
      <c r="AE196" s="17" t="s">
        <v>675</v>
      </c>
      <c r="AF196" s="17" t="s">
        <v>129</v>
      </c>
      <c r="AG196" s="17"/>
      <c r="AI196" s="17" t="s">
        <v>130</v>
      </c>
      <c r="AJ196" s="21">
        <v>0</v>
      </c>
      <c r="AK196" s="58">
        <v>0</v>
      </c>
      <c r="AL196" s="21">
        <v>0</v>
      </c>
      <c r="AM196" s="58">
        <f t="shared" si="160"/>
        <v>0</v>
      </c>
      <c r="AN196" s="21">
        <v>0</v>
      </c>
      <c r="AO196" s="58">
        <f t="shared" si="161"/>
        <v>0</v>
      </c>
      <c r="AP196" s="21">
        <v>0</v>
      </c>
      <c r="AQ196" s="58">
        <f t="shared" si="162"/>
        <v>0</v>
      </c>
      <c r="AR196" s="21">
        <v>0</v>
      </c>
      <c r="AS196" s="58">
        <f t="shared" si="163"/>
        <v>0</v>
      </c>
      <c r="AT196" s="21">
        <v>0</v>
      </c>
      <c r="AU196" s="58">
        <f t="shared" si="164"/>
        <v>0</v>
      </c>
      <c r="AV196" s="21">
        <v>0</v>
      </c>
      <c r="AW196" s="58">
        <v>0</v>
      </c>
      <c r="AX196" s="31">
        <v>0</v>
      </c>
      <c r="AY196" s="58">
        <v>0</v>
      </c>
      <c r="AZ196" s="31">
        <v>0</v>
      </c>
      <c r="BA196" s="58">
        <v>0</v>
      </c>
      <c r="BB196" s="31">
        <v>0</v>
      </c>
      <c r="BC196" s="58">
        <v>0</v>
      </c>
      <c r="BD196" s="31">
        <v>0</v>
      </c>
      <c r="BE196" s="58">
        <v>0</v>
      </c>
      <c r="BF196" s="31">
        <v>0</v>
      </c>
      <c r="BG196" s="58">
        <v>0</v>
      </c>
      <c r="BH196" s="31">
        <v>0</v>
      </c>
      <c r="BI196" s="58">
        <v>0</v>
      </c>
      <c r="BJ196" s="31">
        <v>0</v>
      </c>
      <c r="BK196" s="58">
        <v>0</v>
      </c>
      <c r="BL196" s="17" t="s">
        <v>130</v>
      </c>
      <c r="BM196" s="31">
        <v>215</v>
      </c>
      <c r="BN196" s="31">
        <v>494</v>
      </c>
      <c r="BO196" s="31">
        <v>515</v>
      </c>
      <c r="BP196" s="31">
        <f t="shared" si="165"/>
        <v>1224</v>
      </c>
      <c r="BQ196" s="58">
        <v>33</v>
      </c>
      <c r="BR196" s="58">
        <f>Table1[[#This Row],[Check 2 Students Total]]*Table1[[#This Row],[Summer 2018 Price Check]]</f>
        <v>40392</v>
      </c>
      <c r="BS196" s="31">
        <v>0</v>
      </c>
      <c r="BT196" s="58">
        <f>Table1[[#This Row],[Summer 2018 Price Check]]*BS196</f>
        <v>0</v>
      </c>
      <c r="BU196" s="31">
        <f>IF(Table1[[#This Row],[Sustainability Check 2 (2018-2019) Status]]="Continued", Table1[[#This Row],[Check 2 Students Fall]], 0)</f>
        <v>494</v>
      </c>
      <c r="BV196" s="58">
        <f>Table1[[#This Row],[Summer 2018 Price Check]]*BU196</f>
        <v>16302</v>
      </c>
      <c r="BW196" s="21">
        <f>IF(Table1[[#This Row],[Sustainability Check 2 (2018-2019) Status]]="Continued", Table1[Check 2 Students Spring], 0)</f>
        <v>515</v>
      </c>
      <c r="BX196" s="58">
        <f>Table1[[#This Row],[Summer 2018 Price Check]]*Table1[[#This Row],[Spring 2019 Students]]</f>
        <v>16995</v>
      </c>
      <c r="BY196" s="31">
        <f t="shared" si="166"/>
        <v>1009</v>
      </c>
      <c r="BZ196" s="58">
        <f t="shared" si="167"/>
        <v>33297</v>
      </c>
      <c r="CA196" s="17" t="s">
        <v>130</v>
      </c>
      <c r="CB196" s="31">
        <v>215</v>
      </c>
      <c r="CC196" s="31">
        <v>494</v>
      </c>
      <c r="CD196" s="31">
        <v>515</v>
      </c>
      <c r="CE196" s="31">
        <f t="shared" si="168"/>
        <v>1224</v>
      </c>
      <c r="CF196" s="58">
        <v>33</v>
      </c>
      <c r="CG196" s="58">
        <f t="shared" si="169"/>
        <v>40392</v>
      </c>
      <c r="CH196" s="17" t="s">
        <v>675</v>
      </c>
      <c r="CI196" s="21">
        <f>IF(Table1[[#This Row],[Check 3 Status]]="Continued", Table1[[#This Row],[Check 3 Students Summer]], 0)</f>
        <v>215</v>
      </c>
      <c r="CJ196" s="58">
        <f>Table1[[#This Row],[Check 3 Per Student Savings]]*CI196</f>
        <v>7095</v>
      </c>
      <c r="CK196" s="21">
        <f>IF(Table1[[#This Row],[Check 3 Status]]="Continued", Table1[[#This Row],[Check 3 Students Fall]], 0)</f>
        <v>494</v>
      </c>
      <c r="CL196" s="58">
        <f>Table1[[#This Row],[Check 3 Per Student Savings]]*CK196</f>
        <v>16302</v>
      </c>
      <c r="CM196" s="21">
        <f>IF(Table1[[#This Row],[Check 3 Status]]="Continued", Table1[[#This Row],[Check 3 Students Spring]], 0)</f>
        <v>515</v>
      </c>
      <c r="CN196" s="58">
        <f>Table1[[#This Row],[Check 3 Per Student Savings]]*CM196</f>
        <v>16995</v>
      </c>
      <c r="CO196" s="21">
        <f t="shared" si="170"/>
        <v>1224</v>
      </c>
      <c r="CP196" s="58">
        <f t="shared" si="171"/>
        <v>40392</v>
      </c>
      <c r="CQ196" s="58" t="s">
        <v>141</v>
      </c>
      <c r="CR196" s="21">
        <v>215</v>
      </c>
      <c r="CS196" s="21">
        <v>494</v>
      </c>
      <c r="CT196" s="21">
        <v>515</v>
      </c>
      <c r="CU196" s="21">
        <v>0</v>
      </c>
      <c r="CV196" s="58">
        <v>33</v>
      </c>
      <c r="CW196" s="58">
        <f t="shared" si="173"/>
        <v>0</v>
      </c>
      <c r="CX196" s="58"/>
      <c r="CY196" s="21">
        <f>IF(Table1[[#This Row],[Check 4 Status]]="Continued", Table1[[#This Row],[Check 4 Students Summer]], 0)</f>
        <v>0</v>
      </c>
      <c r="CZ196" s="58">
        <f>Table1[[#This Row],[Check 4 Per Student Savings]]*CY196</f>
        <v>0</v>
      </c>
      <c r="DA196" s="21">
        <f>IF(Table1[[#This Row],[Check 4 Status]]="Continued", Table1[[#This Row],[Check 4 Students Fall]], 0)</f>
        <v>0</v>
      </c>
      <c r="DB196" s="58">
        <f>Table1[[#This Row],[Check 4 Per Student Savings]]*DA196</f>
        <v>0</v>
      </c>
      <c r="DC196" s="21">
        <f>IF(Table1[[#This Row],[Check 4 Status]]="Continued", Table1[[#This Row],[Check 4 Students Spring]], 0)</f>
        <v>0</v>
      </c>
      <c r="DD196" s="58">
        <f>Table1[[#This Row],[Check 4 Per Student Savings]]*DC196</f>
        <v>0</v>
      </c>
      <c r="DE196" s="58">
        <f t="shared" si="174"/>
        <v>0</v>
      </c>
      <c r="DF196" s="58">
        <f t="shared" si="175"/>
        <v>0</v>
      </c>
      <c r="DG19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2233</v>
      </c>
      <c r="DH19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73689</v>
      </c>
      <c r="DI196" s="58">
        <f>Table1[[#This Row],[Grand Total Savings]]/Table1[[#This Row],[Total Award]]</f>
        <v>6.8230555555555554</v>
      </c>
      <c r="DJ196" s="17"/>
      <c r="DK196" s="17"/>
      <c r="DL196" s="17"/>
      <c r="DM196" s="17"/>
      <c r="EC196" s="17"/>
      <c r="ED196" s="17"/>
      <c r="EE196" s="17"/>
      <c r="EF196" s="17"/>
    </row>
    <row r="197" spans="1:136" x14ac:dyDescent="0.25">
      <c r="A197" s="157">
        <v>352</v>
      </c>
      <c r="B197" s="17" t="s">
        <v>2011</v>
      </c>
      <c r="D197" s="97">
        <v>514139</v>
      </c>
      <c r="E197" s="165">
        <v>43193</v>
      </c>
      <c r="F197" s="158">
        <v>43479</v>
      </c>
      <c r="G197" s="159">
        <v>11</v>
      </c>
      <c r="H197" s="95" t="s">
        <v>7</v>
      </c>
      <c r="I197" s="226" t="s">
        <v>118</v>
      </c>
      <c r="J197" s="17" t="s">
        <v>499</v>
      </c>
      <c r="K197" s="107">
        <v>10800</v>
      </c>
      <c r="L197" s="107"/>
      <c r="M197" s="101" t="s">
        <v>799</v>
      </c>
      <c r="N197" s="101" t="s">
        <v>800</v>
      </c>
      <c r="O197" s="101" t="s">
        <v>988</v>
      </c>
      <c r="P197" s="101" t="s">
        <v>989</v>
      </c>
      <c r="Q197" s="101" t="s">
        <v>530</v>
      </c>
      <c r="R197" s="101" t="s">
        <v>988</v>
      </c>
      <c r="S197" s="173" t="s">
        <v>912</v>
      </c>
      <c r="T197" s="173" t="s">
        <v>912</v>
      </c>
      <c r="U197" s="173" t="s">
        <v>912</v>
      </c>
      <c r="V197" s="17" t="s">
        <v>150</v>
      </c>
      <c r="W197" s="17" t="s">
        <v>150</v>
      </c>
      <c r="X197" s="17" t="s">
        <v>127</v>
      </c>
      <c r="Y197" s="58">
        <v>42000</v>
      </c>
      <c r="Z197" s="17">
        <v>168</v>
      </c>
      <c r="AA197" s="58">
        <v>250</v>
      </c>
      <c r="AB197" s="21">
        <v>84</v>
      </c>
      <c r="AC197" s="21">
        <v>84</v>
      </c>
      <c r="AD197" s="21">
        <v>0</v>
      </c>
      <c r="AE197" s="17" t="s">
        <v>913</v>
      </c>
      <c r="AF197" s="17" t="s">
        <v>129</v>
      </c>
      <c r="AG197" s="17"/>
      <c r="AI197" s="17" t="s">
        <v>130</v>
      </c>
      <c r="AJ197" s="21">
        <v>0</v>
      </c>
      <c r="AK197" s="58">
        <v>0</v>
      </c>
      <c r="AL197" s="21">
        <v>0</v>
      </c>
      <c r="AM197" s="58">
        <f t="shared" si="160"/>
        <v>0</v>
      </c>
      <c r="AN197" s="21">
        <v>0</v>
      </c>
      <c r="AO197" s="58">
        <f t="shared" si="161"/>
        <v>0</v>
      </c>
      <c r="AP197" s="21">
        <v>0</v>
      </c>
      <c r="AQ197" s="58">
        <f t="shared" si="162"/>
        <v>0</v>
      </c>
      <c r="AR197" s="21">
        <v>0</v>
      </c>
      <c r="AS197" s="58">
        <f t="shared" si="163"/>
        <v>0</v>
      </c>
      <c r="AT197" s="21">
        <v>0</v>
      </c>
      <c r="AU197" s="58">
        <f t="shared" si="164"/>
        <v>0</v>
      </c>
      <c r="AV197" s="21">
        <v>0</v>
      </c>
      <c r="AW197" s="58">
        <v>0</v>
      </c>
      <c r="AX197" s="31">
        <v>0</v>
      </c>
      <c r="AY197" s="58">
        <v>0</v>
      </c>
      <c r="AZ197" s="31">
        <v>0</v>
      </c>
      <c r="BA197" s="58">
        <v>0</v>
      </c>
      <c r="BB197" s="31">
        <v>0</v>
      </c>
      <c r="BC197" s="58">
        <v>0</v>
      </c>
      <c r="BD197" s="31">
        <v>0</v>
      </c>
      <c r="BE197" s="58">
        <v>0</v>
      </c>
      <c r="BF197" s="31">
        <v>0</v>
      </c>
      <c r="BG197" s="58">
        <v>0</v>
      </c>
      <c r="BH197" s="31">
        <v>0</v>
      </c>
      <c r="BI197" s="58">
        <v>0</v>
      </c>
      <c r="BJ197" s="31">
        <v>0</v>
      </c>
      <c r="BK197" s="58">
        <v>0</v>
      </c>
      <c r="BL197" s="17" t="s">
        <v>130</v>
      </c>
      <c r="BM197" s="31">
        <v>84</v>
      </c>
      <c r="BN197" s="31">
        <v>84</v>
      </c>
      <c r="BO197" s="31">
        <v>0</v>
      </c>
      <c r="BP197" s="31">
        <f t="shared" si="165"/>
        <v>168</v>
      </c>
      <c r="BQ197" s="58">
        <v>250</v>
      </c>
      <c r="BR197" s="58">
        <f>Table1[[#This Row],[Check 2 Students Total]]*Table1[[#This Row],[Summer 2018 Price Check]]</f>
        <v>42000</v>
      </c>
      <c r="BS197" s="31">
        <f>IF(Table1[[#This Row],[Sustainability Check 2 (2018-2019) Status]]="Continued", Table1[[#This Row],[Check 2 Students Summer]], 0)</f>
        <v>84</v>
      </c>
      <c r="BT197" s="58">
        <f>Table1[[#This Row],[Summer 2018 Price Check]]*BS197</f>
        <v>21000</v>
      </c>
      <c r="BU197" s="31">
        <f>IF(Table1[[#This Row],[Sustainability Check 2 (2018-2019) Status]]="Continued", Table1[[#This Row],[Check 2 Students Fall]], 0)</f>
        <v>84</v>
      </c>
      <c r="BV197" s="58">
        <f>Table1[[#This Row],[Summer 2018 Price Check]]*BU197</f>
        <v>21000</v>
      </c>
      <c r="BW197" s="21">
        <f>IF(Table1[[#This Row],[Sustainability Check 2 (2018-2019) Status]]="Continued", Table1[Check 2 Students Spring], 0)</f>
        <v>0</v>
      </c>
      <c r="BX197" s="58">
        <f>Table1[[#This Row],[Summer 2018 Price Check]]*Table1[[#This Row],[Spring 2019 Students]]</f>
        <v>0</v>
      </c>
      <c r="BY197" s="31">
        <f t="shared" si="166"/>
        <v>168</v>
      </c>
      <c r="BZ197" s="58">
        <f t="shared" si="167"/>
        <v>42000</v>
      </c>
      <c r="CA197" s="17" t="s">
        <v>130</v>
      </c>
      <c r="CB197" s="31">
        <v>84</v>
      </c>
      <c r="CC197" s="31">
        <v>84</v>
      </c>
      <c r="CD197" s="31">
        <v>0</v>
      </c>
      <c r="CE197" s="31">
        <f t="shared" si="168"/>
        <v>168</v>
      </c>
      <c r="CF197" s="58">
        <v>250</v>
      </c>
      <c r="CG197" s="58">
        <f t="shared" si="169"/>
        <v>42000</v>
      </c>
      <c r="CH197" s="17" t="s">
        <v>913</v>
      </c>
      <c r="CI197" s="21">
        <f>IF(Table1[[#This Row],[Check 3 Status]]="Continued", Table1[[#This Row],[Check 3 Students Summer]], 0)</f>
        <v>84</v>
      </c>
      <c r="CJ197" s="58">
        <f>Table1[[#This Row],[Check 3 Per Student Savings]]*CI197</f>
        <v>21000</v>
      </c>
      <c r="CK197" s="21">
        <f>IF(Table1[[#This Row],[Check 3 Status]]="Continued", Table1[[#This Row],[Check 3 Students Fall]], 0)</f>
        <v>84</v>
      </c>
      <c r="CL197" s="58">
        <f>Table1[[#This Row],[Check 3 Per Student Savings]]*CK197</f>
        <v>21000</v>
      </c>
      <c r="CM197" s="21">
        <f>IF(Table1[[#This Row],[Check 3 Status]]="Continued", Table1[[#This Row],[Check 3 Students Spring]], 0)</f>
        <v>0</v>
      </c>
      <c r="CN197" s="58">
        <f>Table1[[#This Row],[Check 3 Per Student Savings]]*CM197</f>
        <v>0</v>
      </c>
      <c r="CO197" s="21">
        <f t="shared" si="170"/>
        <v>168</v>
      </c>
      <c r="CP197" s="58">
        <f t="shared" si="171"/>
        <v>42000</v>
      </c>
      <c r="CQ197" s="58" t="s">
        <v>130</v>
      </c>
      <c r="CR197" s="21">
        <v>84</v>
      </c>
      <c r="CS197" s="21">
        <v>84</v>
      </c>
      <c r="CT197" s="21">
        <v>0</v>
      </c>
      <c r="CU197" s="21">
        <f t="shared" si="172"/>
        <v>168</v>
      </c>
      <c r="CV197" s="58">
        <v>250</v>
      </c>
      <c r="CW197" s="58">
        <f t="shared" si="173"/>
        <v>42000</v>
      </c>
      <c r="CX197" s="58"/>
      <c r="CY197" s="21">
        <f>IF(Table1[[#This Row],[Check 4 Status]]="Continued", Table1[[#This Row],[Check 4 Students Summer]], 0)</f>
        <v>84</v>
      </c>
      <c r="CZ197" s="58">
        <f>Table1[[#This Row],[Check 4 Per Student Savings]]*CY197</f>
        <v>21000</v>
      </c>
      <c r="DA197" s="21">
        <f>IF(Table1[[#This Row],[Check 4 Status]]="Continued", Table1[[#This Row],[Check 4 Students Fall]], 0)</f>
        <v>84</v>
      </c>
      <c r="DB197" s="58">
        <f>Table1[[#This Row],[Check 4 Per Student Savings]]*DA197</f>
        <v>21000</v>
      </c>
      <c r="DC197" s="21">
        <f>IF(Table1[[#This Row],[Check 4 Status]]="Continued", Table1[[#This Row],[Check 4 Students Spring]], 0)</f>
        <v>0</v>
      </c>
      <c r="DD197" s="58">
        <f>Table1[[#This Row],[Check 4 Per Student Savings]]*DC197</f>
        <v>0</v>
      </c>
      <c r="DE197" s="58">
        <f t="shared" si="174"/>
        <v>168</v>
      </c>
      <c r="DF197" s="58">
        <f t="shared" si="175"/>
        <v>42000</v>
      </c>
      <c r="DG19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504</v>
      </c>
      <c r="DH19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126000</v>
      </c>
      <c r="DI197" s="58">
        <f>Table1[[#This Row],[Grand Total Savings]]/Table1[[#This Row],[Total Award]]</f>
        <v>11.666666666666666</v>
      </c>
      <c r="DJ197" s="17"/>
      <c r="DK197" s="17"/>
      <c r="DL197" s="17"/>
      <c r="DM197" s="17"/>
      <c r="EC197" s="17"/>
      <c r="ED197" s="17"/>
      <c r="EE197" s="17"/>
      <c r="EF197" s="17"/>
    </row>
    <row r="198" spans="1:136" x14ac:dyDescent="0.25">
      <c r="A198" s="157">
        <v>354</v>
      </c>
      <c r="B198" s="17" t="s">
        <v>2011</v>
      </c>
      <c r="D198" s="97">
        <v>514202</v>
      </c>
      <c r="E198" s="165">
        <v>43206</v>
      </c>
      <c r="F198" s="158">
        <v>43472</v>
      </c>
      <c r="G198" s="159">
        <v>11</v>
      </c>
      <c r="H198" s="95" t="s">
        <v>7</v>
      </c>
      <c r="I198" s="226" t="s">
        <v>118</v>
      </c>
      <c r="J198" s="17" t="s">
        <v>132</v>
      </c>
      <c r="K198" s="107">
        <v>30000</v>
      </c>
      <c r="L198" s="107"/>
      <c r="M198" s="101" t="s">
        <v>990</v>
      </c>
      <c r="N198" s="101" t="s">
        <v>991</v>
      </c>
      <c r="O198" s="101" t="s">
        <v>992</v>
      </c>
      <c r="P198" s="101" t="s">
        <v>993</v>
      </c>
      <c r="Q198" s="101" t="s">
        <v>177</v>
      </c>
      <c r="R198" s="101" t="s">
        <v>129</v>
      </c>
      <c r="S198" s="173" t="s">
        <v>912</v>
      </c>
      <c r="T198" s="173" t="s">
        <v>912</v>
      </c>
      <c r="U198" s="173" t="s">
        <v>912</v>
      </c>
      <c r="V198" s="17" t="s">
        <v>150</v>
      </c>
      <c r="W198" s="17" t="s">
        <v>150</v>
      </c>
      <c r="X198" s="17" t="s">
        <v>127</v>
      </c>
      <c r="Y198" s="58">
        <v>144325</v>
      </c>
      <c r="Z198" s="17">
        <v>1125</v>
      </c>
      <c r="AA198" s="58">
        <v>128.29</v>
      </c>
      <c r="AB198" s="21">
        <v>216</v>
      </c>
      <c r="AC198" s="21">
        <v>420</v>
      </c>
      <c r="AD198" s="21">
        <v>425</v>
      </c>
      <c r="AE198" s="17" t="s">
        <v>913</v>
      </c>
      <c r="AF198" s="17" t="s">
        <v>129</v>
      </c>
      <c r="AG198" s="17"/>
      <c r="AI198" s="17" t="s">
        <v>130</v>
      </c>
      <c r="AJ198" s="21">
        <v>0</v>
      </c>
      <c r="AK198" s="58">
        <v>0</v>
      </c>
      <c r="AL198" s="21">
        <v>0</v>
      </c>
      <c r="AM198" s="58">
        <f t="shared" si="160"/>
        <v>0</v>
      </c>
      <c r="AN198" s="21">
        <v>0</v>
      </c>
      <c r="AO198" s="58">
        <f t="shared" si="161"/>
        <v>0</v>
      </c>
      <c r="AP198" s="21">
        <v>0</v>
      </c>
      <c r="AQ198" s="58">
        <f t="shared" si="162"/>
        <v>0</v>
      </c>
      <c r="AR198" s="21">
        <v>0</v>
      </c>
      <c r="AS198" s="58">
        <f t="shared" si="163"/>
        <v>0</v>
      </c>
      <c r="AT198" s="21">
        <v>0</v>
      </c>
      <c r="AU198" s="58">
        <f t="shared" si="164"/>
        <v>0</v>
      </c>
      <c r="AV198" s="21">
        <v>0</v>
      </c>
      <c r="AW198" s="58">
        <v>0</v>
      </c>
      <c r="AX198" s="31">
        <v>0</v>
      </c>
      <c r="AY198" s="58">
        <v>0</v>
      </c>
      <c r="AZ198" s="31">
        <v>0</v>
      </c>
      <c r="BA198" s="58">
        <v>0</v>
      </c>
      <c r="BB198" s="31">
        <v>0</v>
      </c>
      <c r="BC198" s="58">
        <v>0</v>
      </c>
      <c r="BD198" s="31">
        <v>0</v>
      </c>
      <c r="BE198" s="58">
        <v>0</v>
      </c>
      <c r="BF198" s="31">
        <v>0</v>
      </c>
      <c r="BG198" s="58">
        <v>0</v>
      </c>
      <c r="BH198" s="31">
        <v>0</v>
      </c>
      <c r="BI198" s="58">
        <v>0</v>
      </c>
      <c r="BJ198" s="31">
        <v>0</v>
      </c>
      <c r="BK198" s="58">
        <v>0</v>
      </c>
      <c r="BL198" s="17" t="s">
        <v>130</v>
      </c>
      <c r="BM198" s="31">
        <v>216</v>
      </c>
      <c r="BN198" s="31">
        <v>420</v>
      </c>
      <c r="BO198" s="31">
        <v>425</v>
      </c>
      <c r="BP198" s="31">
        <f t="shared" si="165"/>
        <v>1061</v>
      </c>
      <c r="BQ198" s="58">
        <v>128</v>
      </c>
      <c r="BR198" s="58">
        <f>Table1[[#This Row],[Check 2 Students Total]]*Table1[[#This Row],[Summer 2018 Price Check]]</f>
        <v>135808</v>
      </c>
      <c r="BS198" s="31">
        <f>IF(Table1[[#This Row],[Sustainability Check 2 (2018-2019) Status]]="Continued", Table1[[#This Row],[Check 2 Students Summer]], 0)</f>
        <v>216</v>
      </c>
      <c r="BT198" s="58">
        <f>Table1[[#This Row],[Summer 2018 Price Check]]*BS198</f>
        <v>27648</v>
      </c>
      <c r="BU198" s="31">
        <f>IF(Table1[[#This Row],[Sustainability Check 2 (2018-2019) Status]]="Continued", Table1[[#This Row],[Check 2 Students Fall]], 0)</f>
        <v>420</v>
      </c>
      <c r="BV198" s="58">
        <f>Table1[[#This Row],[Summer 2018 Price Check]]*BU198</f>
        <v>53760</v>
      </c>
      <c r="BW198" s="21">
        <f>IF(Table1[[#This Row],[Sustainability Check 2 (2018-2019) Status]]="Continued", Table1[Check 2 Students Spring], 0)</f>
        <v>425</v>
      </c>
      <c r="BX198" s="58">
        <f>Table1[[#This Row],[Summer 2018 Price Check]]*Table1[[#This Row],[Spring 2019 Students]]</f>
        <v>54400</v>
      </c>
      <c r="BY198" s="31">
        <f t="shared" si="166"/>
        <v>1061</v>
      </c>
      <c r="BZ198" s="58">
        <f t="shared" si="167"/>
        <v>135808</v>
      </c>
      <c r="CA198" s="17" t="s">
        <v>130</v>
      </c>
      <c r="CB198" s="31">
        <v>216</v>
      </c>
      <c r="CC198" s="31">
        <v>420</v>
      </c>
      <c r="CD198" s="31">
        <v>425</v>
      </c>
      <c r="CE198" s="31">
        <f t="shared" si="168"/>
        <v>1061</v>
      </c>
      <c r="CF198" s="58">
        <v>128</v>
      </c>
      <c r="CG198" s="58">
        <f t="shared" si="169"/>
        <v>135808</v>
      </c>
      <c r="CH198" s="17" t="s">
        <v>913</v>
      </c>
      <c r="CI198" s="21">
        <f>IF(Table1[[#This Row],[Check 3 Status]]="Continued", Table1[[#This Row],[Check 3 Students Summer]], 0)</f>
        <v>216</v>
      </c>
      <c r="CJ198" s="58">
        <f>Table1[[#This Row],[Check 3 Per Student Savings]]*CI198</f>
        <v>27648</v>
      </c>
      <c r="CK198" s="21">
        <f>IF(Table1[[#This Row],[Check 3 Status]]="Continued", Table1[[#This Row],[Check 3 Students Fall]], 0)</f>
        <v>420</v>
      </c>
      <c r="CL198" s="58">
        <f>Table1[[#This Row],[Check 3 Per Student Savings]]*CK198</f>
        <v>53760</v>
      </c>
      <c r="CM198" s="21">
        <f>IF(Table1[[#This Row],[Check 3 Status]]="Continued", Table1[[#This Row],[Check 3 Students Spring]], 0)</f>
        <v>425</v>
      </c>
      <c r="CN198" s="58">
        <f>Table1[[#This Row],[Check 3 Per Student Savings]]*CM198</f>
        <v>54400</v>
      </c>
      <c r="CO198" s="21">
        <f t="shared" si="170"/>
        <v>1061</v>
      </c>
      <c r="CP198" s="58">
        <f t="shared" si="171"/>
        <v>135808</v>
      </c>
      <c r="CQ198" s="58" t="s">
        <v>130</v>
      </c>
      <c r="CR198" s="21">
        <v>216</v>
      </c>
      <c r="CS198" s="21">
        <v>420</v>
      </c>
      <c r="CT198" s="21">
        <v>425</v>
      </c>
      <c r="CU198" s="21">
        <f t="shared" si="172"/>
        <v>1061</v>
      </c>
      <c r="CV198" s="58">
        <v>128</v>
      </c>
      <c r="CW198" s="58">
        <f t="shared" si="173"/>
        <v>135808</v>
      </c>
      <c r="CX198" s="58"/>
      <c r="CY198" s="21">
        <f>IF(Table1[[#This Row],[Check 4 Status]]="Continued", Table1[[#This Row],[Check 4 Students Summer]], 0)</f>
        <v>216</v>
      </c>
      <c r="CZ198" s="58">
        <f>Table1[[#This Row],[Check 4 Per Student Savings]]*CY198</f>
        <v>27648</v>
      </c>
      <c r="DA198" s="21">
        <f>IF(Table1[[#This Row],[Check 4 Status]]="Continued", Table1[[#This Row],[Check 4 Students Fall]], 0)</f>
        <v>420</v>
      </c>
      <c r="DB198" s="58">
        <f>Table1[[#This Row],[Check 4 Per Student Savings]]*DA198</f>
        <v>53760</v>
      </c>
      <c r="DC198" s="21">
        <f>IF(Table1[[#This Row],[Check 4 Status]]="Continued", Table1[[#This Row],[Check 4 Students Spring]], 0)</f>
        <v>425</v>
      </c>
      <c r="DD198" s="58">
        <f>Table1[[#This Row],[Check 4 Per Student Savings]]*DC198</f>
        <v>54400</v>
      </c>
      <c r="DE198" s="58">
        <f t="shared" si="174"/>
        <v>1061</v>
      </c>
      <c r="DF198" s="58">
        <f t="shared" si="175"/>
        <v>135808</v>
      </c>
      <c r="DG19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3183</v>
      </c>
      <c r="DH19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407424</v>
      </c>
      <c r="DI198" s="58">
        <f>Table1[[#This Row],[Grand Total Savings]]/Table1[[#This Row],[Total Award]]</f>
        <v>13.5808</v>
      </c>
      <c r="DJ198" s="17"/>
      <c r="DK198" s="17"/>
      <c r="DL198" s="17"/>
      <c r="DM198" s="17"/>
      <c r="EC198" s="17"/>
      <c r="ED198" s="17"/>
      <c r="EE198" s="17"/>
      <c r="EF198" s="17"/>
    </row>
    <row r="199" spans="1:136" x14ac:dyDescent="0.25">
      <c r="A199" s="157">
        <v>355</v>
      </c>
      <c r="B199" s="17" t="s">
        <v>2011</v>
      </c>
      <c r="D199" s="97">
        <v>514196</v>
      </c>
      <c r="E199" s="165">
        <v>42476</v>
      </c>
      <c r="F199" s="158">
        <v>43472</v>
      </c>
      <c r="G199" s="159">
        <v>11</v>
      </c>
      <c r="H199" s="95" t="s">
        <v>7</v>
      </c>
      <c r="I199" s="226" t="s">
        <v>118</v>
      </c>
      <c r="J199" s="17" t="s">
        <v>132</v>
      </c>
      <c r="K199" s="107">
        <v>30000</v>
      </c>
      <c r="L199" s="107"/>
      <c r="M199" s="101" t="s">
        <v>862</v>
      </c>
      <c r="N199" s="101" t="s">
        <v>863</v>
      </c>
      <c r="O199" s="101" t="s">
        <v>994</v>
      </c>
      <c r="P199" s="101" t="s">
        <v>995</v>
      </c>
      <c r="Q199" s="101" t="s">
        <v>776</v>
      </c>
      <c r="R199" s="101" t="s">
        <v>793</v>
      </c>
      <c r="S199" s="173" t="s">
        <v>912</v>
      </c>
      <c r="T199" s="173" t="s">
        <v>912</v>
      </c>
      <c r="U199" s="173" t="s">
        <v>912</v>
      </c>
      <c r="V199" s="17" t="s">
        <v>150</v>
      </c>
      <c r="W199" s="17" t="s">
        <v>127</v>
      </c>
      <c r="X199" s="17" t="s">
        <v>150</v>
      </c>
      <c r="Y199" s="58">
        <v>36785</v>
      </c>
      <c r="Z199" s="17">
        <v>840</v>
      </c>
      <c r="AA199" s="58">
        <v>43.79</v>
      </c>
      <c r="AB199" s="21">
        <v>310</v>
      </c>
      <c r="AC199" s="21">
        <v>330</v>
      </c>
      <c r="AD199" s="21">
        <v>840</v>
      </c>
      <c r="AE199" s="17" t="s">
        <v>675</v>
      </c>
      <c r="AF199" s="17" t="s">
        <v>129</v>
      </c>
      <c r="AG199" s="17"/>
      <c r="AI199" s="17" t="s">
        <v>130</v>
      </c>
      <c r="AJ199" s="21">
        <v>0</v>
      </c>
      <c r="AK199" s="58">
        <v>0</v>
      </c>
      <c r="AL199" s="21">
        <v>0</v>
      </c>
      <c r="AM199" s="58">
        <f t="shared" si="160"/>
        <v>0</v>
      </c>
      <c r="AN199" s="21">
        <v>0</v>
      </c>
      <c r="AO199" s="58">
        <f t="shared" si="161"/>
        <v>0</v>
      </c>
      <c r="AP199" s="21">
        <v>0</v>
      </c>
      <c r="AQ199" s="58">
        <f t="shared" si="162"/>
        <v>0</v>
      </c>
      <c r="AR199" s="21">
        <v>0</v>
      </c>
      <c r="AS199" s="58">
        <f t="shared" si="163"/>
        <v>0</v>
      </c>
      <c r="AT199" s="21">
        <v>0</v>
      </c>
      <c r="AU199" s="58">
        <f t="shared" si="164"/>
        <v>0</v>
      </c>
      <c r="AV199" s="21">
        <v>0</v>
      </c>
      <c r="AW199" s="58">
        <v>0</v>
      </c>
      <c r="AX199" s="31">
        <v>0</v>
      </c>
      <c r="AY199" s="58">
        <v>0</v>
      </c>
      <c r="AZ199" s="31">
        <v>0</v>
      </c>
      <c r="BA199" s="58">
        <v>0</v>
      </c>
      <c r="BB199" s="31">
        <v>0</v>
      </c>
      <c r="BC199" s="58">
        <v>0</v>
      </c>
      <c r="BD199" s="31">
        <v>0</v>
      </c>
      <c r="BE199" s="58">
        <v>0</v>
      </c>
      <c r="BF199" s="31">
        <v>0</v>
      </c>
      <c r="BG199" s="58">
        <v>0</v>
      </c>
      <c r="BH199" s="31">
        <v>0</v>
      </c>
      <c r="BI199" s="58">
        <v>0</v>
      </c>
      <c r="BJ199" s="31">
        <v>0</v>
      </c>
      <c r="BK199" s="58">
        <v>0</v>
      </c>
      <c r="BL199" s="17" t="s">
        <v>130</v>
      </c>
      <c r="BM199" s="31">
        <v>310</v>
      </c>
      <c r="BN199" s="31">
        <v>330</v>
      </c>
      <c r="BO199" s="31">
        <v>840</v>
      </c>
      <c r="BP199" s="31">
        <f t="shared" si="165"/>
        <v>1480</v>
      </c>
      <c r="BQ199" s="58">
        <v>44</v>
      </c>
      <c r="BR199" s="58">
        <f>Table1[[#This Row],[Check 2 Students Total]]*Table1[[#This Row],[Summer 2018 Price Check]]</f>
        <v>65120</v>
      </c>
      <c r="BS199" s="31">
        <v>0</v>
      </c>
      <c r="BT199" s="58">
        <f>Table1[[#This Row],[Summer 2018 Price Check]]*BS199</f>
        <v>0</v>
      </c>
      <c r="BU199" s="31">
        <f>IF(Table1[[#This Row],[Sustainability Check 2 (2018-2019) Status]]="Continued", Table1[[#This Row],[Check 2 Students Fall]], 0)</f>
        <v>330</v>
      </c>
      <c r="BV199" s="58">
        <f>Table1[[#This Row],[Summer 2018 Price Check]]*BU199</f>
        <v>14520</v>
      </c>
      <c r="BW199" s="21">
        <f>IF(Table1[[#This Row],[Sustainability Check 2 (2018-2019) Status]]="Continued", Table1[Check 2 Students Spring], 0)</f>
        <v>840</v>
      </c>
      <c r="BX199" s="58">
        <f>Table1[[#This Row],[Summer 2018 Price Check]]*Table1[[#This Row],[Spring 2019 Students]]</f>
        <v>36960</v>
      </c>
      <c r="BY199" s="31">
        <f t="shared" si="166"/>
        <v>1170</v>
      </c>
      <c r="BZ199" s="58">
        <f t="shared" si="167"/>
        <v>51480</v>
      </c>
      <c r="CA199" s="17" t="s">
        <v>130</v>
      </c>
      <c r="CB199" s="31">
        <v>310</v>
      </c>
      <c r="CC199" s="31">
        <v>330</v>
      </c>
      <c r="CD199" s="31">
        <v>840</v>
      </c>
      <c r="CE199" s="31">
        <f t="shared" si="168"/>
        <v>1480</v>
      </c>
      <c r="CF199" s="58">
        <v>44</v>
      </c>
      <c r="CG199" s="58">
        <f t="shared" si="169"/>
        <v>65120</v>
      </c>
      <c r="CH199" s="17" t="s">
        <v>675</v>
      </c>
      <c r="CI199" s="21">
        <f>IF(Table1[[#This Row],[Check 3 Status]]="Continued", Table1[[#This Row],[Check 3 Students Summer]], 0)</f>
        <v>310</v>
      </c>
      <c r="CJ199" s="58">
        <f>Table1[[#This Row],[Check 3 Per Student Savings]]*CI199</f>
        <v>13640</v>
      </c>
      <c r="CK199" s="21">
        <f>IF(Table1[[#This Row],[Check 3 Status]]="Continued", Table1[[#This Row],[Check 3 Students Fall]], 0)</f>
        <v>330</v>
      </c>
      <c r="CL199" s="58">
        <f>Table1[[#This Row],[Check 3 Per Student Savings]]*CK199</f>
        <v>14520</v>
      </c>
      <c r="CM199" s="21">
        <f>IF(Table1[[#This Row],[Check 3 Status]]="Continued", Table1[[#This Row],[Check 3 Students Spring]], 0)</f>
        <v>840</v>
      </c>
      <c r="CN199" s="58">
        <f>Table1[[#This Row],[Check 3 Per Student Savings]]*CM199</f>
        <v>36960</v>
      </c>
      <c r="CO199" s="21">
        <f t="shared" si="170"/>
        <v>1480</v>
      </c>
      <c r="CP199" s="58">
        <f t="shared" si="171"/>
        <v>65120</v>
      </c>
      <c r="CQ199" s="58" t="s">
        <v>130</v>
      </c>
      <c r="CR199" s="21">
        <v>310</v>
      </c>
      <c r="CS199" s="21">
        <v>330</v>
      </c>
      <c r="CT199" s="21">
        <v>840</v>
      </c>
      <c r="CU199" s="21">
        <f t="shared" si="172"/>
        <v>1480</v>
      </c>
      <c r="CV199" s="58">
        <v>44</v>
      </c>
      <c r="CW199" s="58">
        <f t="shared" si="173"/>
        <v>65120</v>
      </c>
      <c r="CX199" s="58"/>
      <c r="CY199" s="21">
        <f>IF(Table1[[#This Row],[Check 4 Status]]="Continued", Table1[[#This Row],[Check 4 Students Summer]], 0)</f>
        <v>310</v>
      </c>
      <c r="CZ199" s="58">
        <f>Table1[[#This Row],[Check 4 Per Student Savings]]*CY199</f>
        <v>13640</v>
      </c>
      <c r="DA199" s="21">
        <f>IF(Table1[[#This Row],[Check 4 Status]]="Continued", Table1[[#This Row],[Check 4 Students Fall]], 0)</f>
        <v>330</v>
      </c>
      <c r="DB199" s="58">
        <f>Table1[[#This Row],[Check 4 Per Student Savings]]*DA199</f>
        <v>14520</v>
      </c>
      <c r="DC199" s="21">
        <f>IF(Table1[[#This Row],[Check 4 Status]]="Continued", Table1[[#This Row],[Check 4 Students Spring]], 0)</f>
        <v>840</v>
      </c>
      <c r="DD199" s="58">
        <f>Table1[[#This Row],[Check 4 Per Student Savings]]*DC199</f>
        <v>36960</v>
      </c>
      <c r="DE199" s="58">
        <f t="shared" si="174"/>
        <v>1480</v>
      </c>
      <c r="DF199" s="58">
        <f t="shared" si="175"/>
        <v>65120</v>
      </c>
      <c r="DG19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4130</v>
      </c>
      <c r="DH19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181720</v>
      </c>
      <c r="DI199" s="58">
        <f>Table1[[#This Row],[Grand Total Savings]]/Table1[[#This Row],[Total Award]]</f>
        <v>6.0573333333333332</v>
      </c>
      <c r="DJ199" s="17"/>
      <c r="DK199" s="17"/>
      <c r="DL199" s="17"/>
      <c r="DM199" s="17"/>
      <c r="EC199" s="17"/>
      <c r="ED199" s="17"/>
      <c r="EE199" s="17"/>
      <c r="EF199" s="17"/>
    </row>
    <row r="200" spans="1:136" x14ac:dyDescent="0.25">
      <c r="A200" s="159">
        <v>356</v>
      </c>
      <c r="B200" s="17" t="s">
        <v>2011</v>
      </c>
      <c r="D200" s="97">
        <v>514143</v>
      </c>
      <c r="E200" s="165">
        <v>43193</v>
      </c>
      <c r="F200" s="158">
        <v>43472</v>
      </c>
      <c r="G200" s="159">
        <v>11</v>
      </c>
      <c r="H200" s="95" t="s">
        <v>7</v>
      </c>
      <c r="I200" s="226" t="s">
        <v>118</v>
      </c>
      <c r="J200" s="17" t="s">
        <v>276</v>
      </c>
      <c r="K200" s="107">
        <v>30000</v>
      </c>
      <c r="L200" s="107"/>
      <c r="M200" s="101" t="s">
        <v>996</v>
      </c>
      <c r="N200" s="101" t="s">
        <v>997</v>
      </c>
      <c r="O200" s="101" t="s">
        <v>680</v>
      </c>
      <c r="P200" s="101" t="s">
        <v>619</v>
      </c>
      <c r="Q200" s="101" t="s">
        <v>148</v>
      </c>
      <c r="R200" s="101" t="s">
        <v>129</v>
      </c>
      <c r="S200" s="101" t="s">
        <v>953</v>
      </c>
      <c r="T200" s="101" t="s">
        <v>953</v>
      </c>
      <c r="U200" s="101" t="s">
        <v>953</v>
      </c>
      <c r="V200" s="17" t="s">
        <v>150</v>
      </c>
      <c r="W200" s="17" t="s">
        <v>139</v>
      </c>
      <c r="X200" s="17" t="s">
        <v>139</v>
      </c>
      <c r="Y200" s="58">
        <v>61811</v>
      </c>
      <c r="Z200" s="17">
        <v>775</v>
      </c>
      <c r="AA200" s="58">
        <v>149.5</v>
      </c>
      <c r="AB200" s="21">
        <v>150</v>
      </c>
      <c r="AC200" s="21">
        <v>323</v>
      </c>
      <c r="AD200" s="21">
        <v>305</v>
      </c>
      <c r="AE200" s="17" t="s">
        <v>675</v>
      </c>
      <c r="AF200" s="17" t="s">
        <v>129</v>
      </c>
      <c r="AG200" s="17"/>
      <c r="AI200" s="17" t="s">
        <v>130</v>
      </c>
      <c r="AJ200" s="21">
        <v>0</v>
      </c>
      <c r="AK200" s="58">
        <v>0</v>
      </c>
      <c r="AL200" s="21">
        <v>0</v>
      </c>
      <c r="AM200" s="58">
        <f t="shared" si="160"/>
        <v>0</v>
      </c>
      <c r="AN200" s="21">
        <v>0</v>
      </c>
      <c r="AO200" s="58">
        <f t="shared" si="161"/>
        <v>0</v>
      </c>
      <c r="AP200" s="21">
        <v>0</v>
      </c>
      <c r="AQ200" s="58">
        <f t="shared" si="162"/>
        <v>0</v>
      </c>
      <c r="AR200" s="21">
        <v>0</v>
      </c>
      <c r="AS200" s="58">
        <f t="shared" si="163"/>
        <v>0</v>
      </c>
      <c r="AT200" s="21">
        <v>0</v>
      </c>
      <c r="AU200" s="58">
        <f t="shared" si="164"/>
        <v>0</v>
      </c>
      <c r="AV200" s="21">
        <v>0</v>
      </c>
      <c r="AW200" s="58">
        <v>0</v>
      </c>
      <c r="AX200" s="31">
        <v>0</v>
      </c>
      <c r="AY200" s="58">
        <v>0</v>
      </c>
      <c r="AZ200" s="31">
        <v>0</v>
      </c>
      <c r="BA200" s="58">
        <v>0</v>
      </c>
      <c r="BB200" s="31">
        <v>0</v>
      </c>
      <c r="BC200" s="58">
        <v>0</v>
      </c>
      <c r="BD200" s="31">
        <v>0</v>
      </c>
      <c r="BE200" s="58">
        <v>0</v>
      </c>
      <c r="BF200" s="31">
        <v>0</v>
      </c>
      <c r="BG200" s="58">
        <v>0</v>
      </c>
      <c r="BH200" s="31">
        <v>0</v>
      </c>
      <c r="BI200" s="58">
        <v>0</v>
      </c>
      <c r="BJ200" s="31">
        <v>0</v>
      </c>
      <c r="BK200" s="58">
        <v>0</v>
      </c>
      <c r="BL200" s="17" t="s">
        <v>130</v>
      </c>
      <c r="BM200" s="31">
        <v>150</v>
      </c>
      <c r="BN200" s="31">
        <v>323</v>
      </c>
      <c r="BO200" s="31">
        <v>305</v>
      </c>
      <c r="BP200" s="31">
        <f t="shared" si="165"/>
        <v>778</v>
      </c>
      <c r="BQ200" s="58">
        <v>150</v>
      </c>
      <c r="BR200" s="58">
        <f>Table1[[#This Row],[Check 2 Students Total]]*Table1[[#This Row],[Summer 2018 Price Check]]</f>
        <v>116700</v>
      </c>
      <c r="BS200" s="31">
        <v>0</v>
      </c>
      <c r="BT200" s="58">
        <f>Table1[[#This Row],[Summer 2018 Price Check]]*BS200</f>
        <v>0</v>
      </c>
      <c r="BU200" s="31">
        <f>IF(Table1[[#This Row],[Sustainability Check 2 (2018-2019) Status]]="Continued", Table1[[#This Row],[Check 2 Students Fall]], 0)</f>
        <v>323</v>
      </c>
      <c r="BV200" s="58">
        <f>Table1[[#This Row],[Summer 2018 Price Check]]*BU200</f>
        <v>48450</v>
      </c>
      <c r="BW200" s="21">
        <f>IF(Table1[[#This Row],[Sustainability Check 2 (2018-2019) Status]]="Continued", Table1[Check 2 Students Spring], 0)</f>
        <v>305</v>
      </c>
      <c r="BX200" s="58">
        <f>Table1[[#This Row],[Summer 2018 Price Check]]*Table1[[#This Row],[Spring 2019 Students]]</f>
        <v>45750</v>
      </c>
      <c r="BY200" s="31">
        <f t="shared" si="166"/>
        <v>628</v>
      </c>
      <c r="BZ200" s="58">
        <f t="shared" si="167"/>
        <v>94200</v>
      </c>
      <c r="CA200" s="17" t="s">
        <v>130</v>
      </c>
      <c r="CB200" s="31">
        <v>150</v>
      </c>
      <c r="CC200" s="31">
        <v>323</v>
      </c>
      <c r="CD200" s="31">
        <v>305</v>
      </c>
      <c r="CE200" s="31">
        <f t="shared" si="168"/>
        <v>778</v>
      </c>
      <c r="CF200" s="58">
        <v>150</v>
      </c>
      <c r="CG200" s="58">
        <f t="shared" si="169"/>
        <v>116700</v>
      </c>
      <c r="CH200" s="17" t="s">
        <v>675</v>
      </c>
      <c r="CI200" s="21">
        <f>IF(Table1[[#This Row],[Check 3 Status]]="Continued", Table1[[#This Row],[Check 3 Students Summer]], 0)</f>
        <v>150</v>
      </c>
      <c r="CJ200" s="58">
        <f>Table1[[#This Row],[Check 3 Per Student Savings]]*CI200</f>
        <v>22500</v>
      </c>
      <c r="CK200" s="21">
        <f>IF(Table1[[#This Row],[Check 3 Status]]="Continued", Table1[[#This Row],[Check 3 Students Fall]], 0)</f>
        <v>323</v>
      </c>
      <c r="CL200" s="58">
        <f>Table1[[#This Row],[Check 3 Per Student Savings]]*CK200</f>
        <v>48450</v>
      </c>
      <c r="CM200" s="21">
        <f>IF(Table1[[#This Row],[Check 3 Status]]="Continued", Table1[[#This Row],[Check 3 Students Spring]], 0)</f>
        <v>305</v>
      </c>
      <c r="CN200" s="58">
        <f>Table1[[#This Row],[Check 3 Per Student Savings]]*CM200</f>
        <v>45750</v>
      </c>
      <c r="CO200" s="21">
        <f t="shared" si="170"/>
        <v>778</v>
      </c>
      <c r="CP200" s="58">
        <f t="shared" si="171"/>
        <v>116700</v>
      </c>
      <c r="CQ200" s="58" t="s">
        <v>130</v>
      </c>
      <c r="CR200" s="21">
        <v>150</v>
      </c>
      <c r="CS200" s="21">
        <v>323</v>
      </c>
      <c r="CT200" s="21">
        <v>305</v>
      </c>
      <c r="CU200" s="21">
        <f t="shared" si="172"/>
        <v>778</v>
      </c>
      <c r="CV200" s="58">
        <v>150</v>
      </c>
      <c r="CW200" s="58">
        <f t="shared" si="173"/>
        <v>116700</v>
      </c>
      <c r="CX200" s="58"/>
      <c r="CY200" s="21">
        <f>IF(Table1[[#This Row],[Check 4 Status]]="Continued", Table1[[#This Row],[Check 4 Students Summer]], 0)</f>
        <v>150</v>
      </c>
      <c r="CZ200" s="58">
        <f>Table1[[#This Row],[Check 4 Per Student Savings]]*CY200</f>
        <v>22500</v>
      </c>
      <c r="DA200" s="21">
        <f>IF(Table1[[#This Row],[Check 4 Status]]="Continued", Table1[[#This Row],[Check 4 Students Fall]], 0)</f>
        <v>323</v>
      </c>
      <c r="DB200" s="58">
        <f>Table1[[#This Row],[Check 4 Per Student Savings]]*DA200</f>
        <v>48450</v>
      </c>
      <c r="DC200" s="21">
        <f>IF(Table1[[#This Row],[Check 4 Status]]="Continued", Table1[[#This Row],[Check 4 Students Spring]], 0)</f>
        <v>305</v>
      </c>
      <c r="DD200" s="58">
        <f>Table1[[#This Row],[Check 4 Per Student Savings]]*DC200</f>
        <v>45750</v>
      </c>
      <c r="DE200" s="58">
        <f t="shared" si="174"/>
        <v>778</v>
      </c>
      <c r="DF200" s="58">
        <f t="shared" si="175"/>
        <v>116700</v>
      </c>
      <c r="DG20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2184</v>
      </c>
      <c r="DH20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327600</v>
      </c>
      <c r="DI200" s="58">
        <f>Table1[[#This Row],[Grand Total Savings]]/Table1[[#This Row],[Total Award]]</f>
        <v>10.92</v>
      </c>
      <c r="DJ200" s="17"/>
      <c r="DK200" s="17"/>
      <c r="DL200" s="17"/>
      <c r="DM200" s="17"/>
      <c r="EC200" s="17"/>
      <c r="ED200" s="17"/>
      <c r="EE200" s="17"/>
      <c r="EF200" s="17"/>
    </row>
    <row r="201" spans="1:136" x14ac:dyDescent="0.25">
      <c r="A201" s="159">
        <v>357</v>
      </c>
      <c r="B201" s="17" t="s">
        <v>2011</v>
      </c>
      <c r="D201" s="97">
        <v>514204</v>
      </c>
      <c r="E201" s="165">
        <v>43201</v>
      </c>
      <c r="F201" s="158">
        <v>43472</v>
      </c>
      <c r="G201" s="159">
        <v>11</v>
      </c>
      <c r="H201" s="95" t="s">
        <v>7</v>
      </c>
      <c r="I201" s="226" t="s">
        <v>118</v>
      </c>
      <c r="J201" s="17" t="s">
        <v>225</v>
      </c>
      <c r="K201" s="107">
        <v>10800</v>
      </c>
      <c r="L201" s="107"/>
      <c r="M201" s="101" t="s">
        <v>998</v>
      </c>
      <c r="N201" s="101" t="s">
        <v>711</v>
      </c>
      <c r="O201" s="101" t="s">
        <v>999</v>
      </c>
      <c r="P201" s="101" t="s">
        <v>980</v>
      </c>
      <c r="Q201" s="101" t="s">
        <v>714</v>
      </c>
      <c r="R201" s="101" t="s">
        <v>1000</v>
      </c>
      <c r="S201" s="173" t="s">
        <v>912</v>
      </c>
      <c r="T201" s="173" t="s">
        <v>912</v>
      </c>
      <c r="U201" s="173" t="s">
        <v>912</v>
      </c>
      <c r="V201" s="17" t="s">
        <v>150</v>
      </c>
      <c r="W201" s="17" t="s">
        <v>150</v>
      </c>
      <c r="X201" s="17" t="s">
        <v>150</v>
      </c>
      <c r="Y201" s="58">
        <v>16316</v>
      </c>
      <c r="Z201" s="17">
        <v>85</v>
      </c>
      <c r="AA201" s="58">
        <v>192</v>
      </c>
      <c r="AB201" s="21">
        <v>30</v>
      </c>
      <c r="AC201" s="21">
        <v>30</v>
      </c>
      <c r="AD201" s="21">
        <v>85</v>
      </c>
      <c r="AE201" s="17" t="s">
        <v>913</v>
      </c>
      <c r="AF201" s="17" t="s">
        <v>129</v>
      </c>
      <c r="AG201" s="17"/>
      <c r="AI201" s="17" t="s">
        <v>130</v>
      </c>
      <c r="AJ201" s="21">
        <v>0</v>
      </c>
      <c r="AK201" s="58">
        <v>0</v>
      </c>
      <c r="AL201" s="21">
        <v>0</v>
      </c>
      <c r="AM201" s="58">
        <f t="shared" si="160"/>
        <v>0</v>
      </c>
      <c r="AN201" s="21">
        <v>0</v>
      </c>
      <c r="AO201" s="58">
        <f t="shared" si="161"/>
        <v>0</v>
      </c>
      <c r="AP201" s="21">
        <v>0</v>
      </c>
      <c r="AQ201" s="58">
        <f t="shared" si="162"/>
        <v>0</v>
      </c>
      <c r="AR201" s="21">
        <v>0</v>
      </c>
      <c r="AS201" s="58">
        <f t="shared" si="163"/>
        <v>0</v>
      </c>
      <c r="AT201" s="21">
        <v>0</v>
      </c>
      <c r="AU201" s="58">
        <f t="shared" si="164"/>
        <v>0</v>
      </c>
      <c r="AV201" s="21">
        <v>0</v>
      </c>
      <c r="AW201" s="58">
        <v>0</v>
      </c>
      <c r="AX201" s="31">
        <v>0</v>
      </c>
      <c r="AY201" s="58">
        <v>0</v>
      </c>
      <c r="AZ201" s="31">
        <v>0</v>
      </c>
      <c r="BA201" s="58">
        <v>0</v>
      </c>
      <c r="BB201" s="31">
        <v>0</v>
      </c>
      <c r="BC201" s="58">
        <v>0</v>
      </c>
      <c r="BD201" s="31">
        <v>0</v>
      </c>
      <c r="BE201" s="58">
        <v>0</v>
      </c>
      <c r="BF201" s="31">
        <v>0</v>
      </c>
      <c r="BG201" s="58">
        <v>0</v>
      </c>
      <c r="BH201" s="31">
        <v>0</v>
      </c>
      <c r="BI201" s="58">
        <v>0</v>
      </c>
      <c r="BJ201" s="31">
        <v>0</v>
      </c>
      <c r="BK201" s="58">
        <v>0</v>
      </c>
      <c r="BL201" s="17" t="s">
        <v>130</v>
      </c>
      <c r="BM201" s="31">
        <v>30</v>
      </c>
      <c r="BN201" s="31">
        <v>30</v>
      </c>
      <c r="BO201" s="31">
        <v>85</v>
      </c>
      <c r="BP201" s="31">
        <f t="shared" si="165"/>
        <v>145</v>
      </c>
      <c r="BQ201" s="58">
        <v>192</v>
      </c>
      <c r="BR201" s="58">
        <f>Table1[[#This Row],[Check 2 Students Total]]*Table1[[#This Row],[Summer 2018 Price Check]]</f>
        <v>27840</v>
      </c>
      <c r="BS201" s="31">
        <f>IF(Table1[[#This Row],[Sustainability Check 2 (2018-2019) Status]]="Continued", Table1[[#This Row],[Check 2 Students Summer]], 0)</f>
        <v>30</v>
      </c>
      <c r="BT201" s="58">
        <f>Table1[[#This Row],[Summer 2018 Price Check]]*BS201</f>
        <v>5760</v>
      </c>
      <c r="BU201" s="31">
        <f>IF(Table1[[#This Row],[Sustainability Check 2 (2018-2019) Status]]="Continued", Table1[[#This Row],[Check 2 Students Fall]], 0)</f>
        <v>30</v>
      </c>
      <c r="BV201" s="58">
        <f>Table1[[#This Row],[Summer 2018 Price Check]]*BU201</f>
        <v>5760</v>
      </c>
      <c r="BW201" s="21">
        <f>IF(Table1[[#This Row],[Sustainability Check 2 (2018-2019) Status]]="Continued", Table1[Check 2 Students Spring], 0)</f>
        <v>85</v>
      </c>
      <c r="BX201" s="58">
        <f>Table1[[#This Row],[Summer 2018 Price Check]]*Table1[[#This Row],[Spring 2019 Students]]</f>
        <v>16320</v>
      </c>
      <c r="BY201" s="31">
        <f t="shared" si="166"/>
        <v>145</v>
      </c>
      <c r="BZ201" s="58">
        <f t="shared" si="167"/>
        <v>27840</v>
      </c>
      <c r="CA201" s="17" t="s">
        <v>142</v>
      </c>
      <c r="CB201" s="31">
        <v>30</v>
      </c>
      <c r="CC201" s="31">
        <v>30</v>
      </c>
      <c r="CD201" s="31">
        <v>85</v>
      </c>
      <c r="CE201" s="31">
        <f t="shared" si="168"/>
        <v>145</v>
      </c>
      <c r="CF201" s="58">
        <v>192</v>
      </c>
      <c r="CG201" s="58">
        <f t="shared" si="169"/>
        <v>27840</v>
      </c>
      <c r="CH201" s="17" t="s">
        <v>913</v>
      </c>
      <c r="CI201" s="21">
        <f>IF(Table1[[#This Row],[Check 3 Status]]="Continued", Table1[[#This Row],[Check 3 Students Summer]], 0)</f>
        <v>0</v>
      </c>
      <c r="CJ201" s="58">
        <f>Table1[[#This Row],[Check 3 Per Student Savings]]*CI201</f>
        <v>0</v>
      </c>
      <c r="CK201" s="21">
        <f>IF(Table1[[#This Row],[Check 3 Status]]="Continued", Table1[[#This Row],[Check 3 Students Fall]], 0)</f>
        <v>0</v>
      </c>
      <c r="CL201" s="58">
        <f>Table1[[#This Row],[Check 3 Per Student Savings]]*CK201</f>
        <v>0</v>
      </c>
      <c r="CM201" s="21">
        <f>IF(Table1[[#This Row],[Check 3 Status]]="Continued", Table1[[#This Row],[Check 3 Students Spring]], 0)</f>
        <v>0</v>
      </c>
      <c r="CN201" s="58">
        <f>Table1[[#This Row],[Check 3 Per Student Savings]]*CM201</f>
        <v>0</v>
      </c>
      <c r="CO201" s="21">
        <f t="shared" si="170"/>
        <v>0</v>
      </c>
      <c r="CP201" s="58">
        <f t="shared" si="171"/>
        <v>0</v>
      </c>
      <c r="CQ201" s="58" t="s">
        <v>142</v>
      </c>
      <c r="CR201" s="21">
        <v>30</v>
      </c>
      <c r="CS201" s="21">
        <v>30</v>
      </c>
      <c r="CT201" s="21">
        <v>85</v>
      </c>
      <c r="CU201" s="21">
        <v>0</v>
      </c>
      <c r="CV201" s="58">
        <v>192</v>
      </c>
      <c r="CW201" s="58">
        <f t="shared" si="173"/>
        <v>0</v>
      </c>
      <c r="CX201" s="58"/>
      <c r="CY201" s="21">
        <f>IF(Table1[[#This Row],[Check 4 Status]]="Continued", Table1[[#This Row],[Check 4 Students Summer]], 0)</f>
        <v>0</v>
      </c>
      <c r="CZ201" s="58">
        <f>Table1[[#This Row],[Check 4 Per Student Savings]]*CY201</f>
        <v>0</v>
      </c>
      <c r="DA201" s="21">
        <f>IF(Table1[[#This Row],[Check 4 Status]]="Continued", Table1[[#This Row],[Check 4 Students Fall]], 0)</f>
        <v>0</v>
      </c>
      <c r="DB201" s="58">
        <f>Table1[[#This Row],[Check 4 Per Student Savings]]*DA201</f>
        <v>0</v>
      </c>
      <c r="DC201" s="21">
        <f>IF(Table1[[#This Row],[Check 4 Status]]="Continued", Table1[[#This Row],[Check 4 Students Spring]], 0)</f>
        <v>0</v>
      </c>
      <c r="DD201" s="58">
        <f>Table1[[#This Row],[Check 4 Per Student Savings]]*DC201</f>
        <v>0</v>
      </c>
      <c r="DE201" s="58">
        <f t="shared" si="174"/>
        <v>0</v>
      </c>
      <c r="DF201" s="58">
        <f t="shared" si="175"/>
        <v>0</v>
      </c>
      <c r="DG20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145</v>
      </c>
      <c r="DH20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27840</v>
      </c>
      <c r="DI201" s="58">
        <f>Table1[[#This Row],[Grand Total Savings]]/Table1[[#This Row],[Total Award]]</f>
        <v>2.5777777777777779</v>
      </c>
      <c r="DJ201" s="17"/>
      <c r="DK201" s="17"/>
      <c r="DL201" s="17"/>
      <c r="DM201" s="17"/>
      <c r="EC201" s="17"/>
      <c r="ED201" s="17"/>
      <c r="EE201" s="17"/>
      <c r="EF201" s="17"/>
    </row>
    <row r="202" spans="1:136" x14ac:dyDescent="0.25">
      <c r="A202" s="159">
        <v>359</v>
      </c>
      <c r="B202" s="17" t="s">
        <v>2011</v>
      </c>
      <c r="D202" s="97">
        <v>514142</v>
      </c>
      <c r="E202" s="165">
        <v>43193</v>
      </c>
      <c r="F202" s="158">
        <v>43587</v>
      </c>
      <c r="G202" s="159">
        <v>11</v>
      </c>
      <c r="H202" s="95" t="s">
        <v>7</v>
      </c>
      <c r="I202" s="226" t="s">
        <v>118</v>
      </c>
      <c r="J202" s="17" t="s">
        <v>159</v>
      </c>
      <c r="K202" s="107">
        <v>30000</v>
      </c>
      <c r="L202" s="107"/>
      <c r="M202" s="101" t="s">
        <v>1001</v>
      </c>
      <c r="N202" s="101" t="s">
        <v>1002</v>
      </c>
      <c r="O202" s="101" t="s">
        <v>1003</v>
      </c>
      <c r="P202" s="101" t="s">
        <v>1004</v>
      </c>
      <c r="Q202" s="101" t="s">
        <v>304</v>
      </c>
      <c r="R202" s="101" t="s">
        <v>354</v>
      </c>
      <c r="S202" s="173" t="s">
        <v>912</v>
      </c>
      <c r="T202" s="173" t="s">
        <v>912</v>
      </c>
      <c r="U202" s="173" t="s">
        <v>912</v>
      </c>
      <c r="V202" s="17" t="s">
        <v>140</v>
      </c>
      <c r="W202" s="17" t="s">
        <v>140</v>
      </c>
      <c r="X202" s="17" t="s">
        <v>140</v>
      </c>
      <c r="Y202" s="58">
        <v>350000</v>
      </c>
      <c r="Z202" s="17">
        <v>5800</v>
      </c>
      <c r="AA202" s="58">
        <v>130</v>
      </c>
      <c r="AB202" s="21">
        <v>5800</v>
      </c>
      <c r="AC202" s="21">
        <v>3000</v>
      </c>
      <c r="AD202" s="21">
        <v>2400</v>
      </c>
      <c r="AE202" s="17" t="s">
        <v>675</v>
      </c>
      <c r="AF202" s="17" t="s">
        <v>129</v>
      </c>
      <c r="AG202" s="17"/>
      <c r="AI202" s="17" t="s">
        <v>130</v>
      </c>
      <c r="AJ202" s="21">
        <v>0</v>
      </c>
      <c r="AK202" s="58">
        <v>0</v>
      </c>
      <c r="AL202" s="21">
        <v>0</v>
      </c>
      <c r="AM202" s="58">
        <f t="shared" si="160"/>
        <v>0</v>
      </c>
      <c r="AN202" s="21">
        <v>0</v>
      </c>
      <c r="AO202" s="58">
        <f t="shared" si="161"/>
        <v>0</v>
      </c>
      <c r="AP202" s="21">
        <v>0</v>
      </c>
      <c r="AQ202" s="58">
        <f t="shared" si="162"/>
        <v>0</v>
      </c>
      <c r="AR202" s="21">
        <v>0</v>
      </c>
      <c r="AS202" s="58">
        <f t="shared" si="163"/>
        <v>0</v>
      </c>
      <c r="AT202" s="21">
        <v>0</v>
      </c>
      <c r="AU202" s="58">
        <f t="shared" si="164"/>
        <v>0</v>
      </c>
      <c r="AV202" s="21">
        <v>0</v>
      </c>
      <c r="AW202" s="58">
        <v>0</v>
      </c>
      <c r="AX202" s="31">
        <v>0</v>
      </c>
      <c r="AY202" s="58">
        <v>0</v>
      </c>
      <c r="AZ202" s="31">
        <v>0</v>
      </c>
      <c r="BA202" s="58">
        <v>0</v>
      </c>
      <c r="BB202" s="31">
        <v>0</v>
      </c>
      <c r="BC202" s="58">
        <v>0</v>
      </c>
      <c r="BD202" s="31">
        <v>0</v>
      </c>
      <c r="BE202" s="58">
        <v>0</v>
      </c>
      <c r="BF202" s="31">
        <v>0</v>
      </c>
      <c r="BG202" s="58">
        <v>0</v>
      </c>
      <c r="BH202" s="31">
        <v>0</v>
      </c>
      <c r="BI202" s="58">
        <v>0</v>
      </c>
      <c r="BJ202" s="31">
        <v>0</v>
      </c>
      <c r="BK202" s="58">
        <v>0</v>
      </c>
      <c r="BL202" s="17" t="s">
        <v>130</v>
      </c>
      <c r="BM202" s="31">
        <v>5800</v>
      </c>
      <c r="BN202" s="31">
        <v>3000</v>
      </c>
      <c r="BO202" s="31">
        <v>2400</v>
      </c>
      <c r="BP202" s="31">
        <f t="shared" si="165"/>
        <v>11200</v>
      </c>
      <c r="BQ202" s="58">
        <v>130</v>
      </c>
      <c r="BR202" s="58">
        <f>Table1[[#This Row],[Check 2 Students Total]]*Table1[[#This Row],[Summer 2018 Price Check]]</f>
        <v>1456000</v>
      </c>
      <c r="BS202" s="31">
        <v>0</v>
      </c>
      <c r="BT202" s="58">
        <f>Table1[[#This Row],[Summer 2018 Price Check]]*BS202</f>
        <v>0</v>
      </c>
      <c r="BU202" s="31">
        <f>IF(Table1[[#This Row],[Sustainability Check 2 (2018-2019) Status]]="Continued", Table1[[#This Row],[Check 2 Students Fall]], 0)</f>
        <v>3000</v>
      </c>
      <c r="BV202" s="58">
        <f>Table1[[#This Row],[Summer 2018 Price Check]]*BU202</f>
        <v>390000</v>
      </c>
      <c r="BW202" s="21">
        <f>IF(Table1[[#This Row],[Sustainability Check 2 (2018-2019) Status]]="Continued", Table1[Check 2 Students Spring], 0)</f>
        <v>2400</v>
      </c>
      <c r="BX202" s="58">
        <f>Table1[[#This Row],[Summer 2018 Price Check]]*Table1[[#This Row],[Spring 2019 Students]]</f>
        <v>312000</v>
      </c>
      <c r="BY202" s="31">
        <f t="shared" si="166"/>
        <v>5400</v>
      </c>
      <c r="BZ202" s="58">
        <f t="shared" si="167"/>
        <v>702000</v>
      </c>
      <c r="CA202" s="17" t="s">
        <v>130</v>
      </c>
      <c r="CB202" s="31">
        <v>5800</v>
      </c>
      <c r="CC202" s="31">
        <v>3000</v>
      </c>
      <c r="CD202" s="31">
        <v>2400</v>
      </c>
      <c r="CE202" s="31">
        <f t="shared" si="168"/>
        <v>11200</v>
      </c>
      <c r="CF202" s="58">
        <v>130</v>
      </c>
      <c r="CG202" s="58">
        <f t="shared" si="169"/>
        <v>1456000</v>
      </c>
      <c r="CH202" s="17" t="s">
        <v>675</v>
      </c>
      <c r="CI202" s="21">
        <f>IF(Table1[[#This Row],[Check 3 Status]]="Continued", Table1[[#This Row],[Check 3 Students Summer]], 0)</f>
        <v>5800</v>
      </c>
      <c r="CJ202" s="58">
        <f>Table1[[#This Row],[Check 3 Per Student Savings]]*CI202</f>
        <v>754000</v>
      </c>
      <c r="CK202" s="21">
        <f>IF(Table1[[#This Row],[Check 3 Status]]="Continued", Table1[[#This Row],[Check 3 Students Fall]], 0)</f>
        <v>3000</v>
      </c>
      <c r="CL202" s="58">
        <f>Table1[[#This Row],[Check 3 Per Student Savings]]*CK202</f>
        <v>390000</v>
      </c>
      <c r="CM202" s="21">
        <f>IF(Table1[[#This Row],[Check 3 Status]]="Continued", Table1[[#This Row],[Check 3 Students Spring]], 0)</f>
        <v>2400</v>
      </c>
      <c r="CN202" s="58">
        <f>Table1[[#This Row],[Check 3 Per Student Savings]]*CM202</f>
        <v>312000</v>
      </c>
      <c r="CO202" s="21">
        <f t="shared" si="170"/>
        <v>11200</v>
      </c>
      <c r="CP202" s="58">
        <f t="shared" si="171"/>
        <v>1456000</v>
      </c>
      <c r="CQ202" s="58" t="s">
        <v>142</v>
      </c>
      <c r="CR202" s="21">
        <v>5800</v>
      </c>
      <c r="CS202" s="21">
        <v>3000</v>
      </c>
      <c r="CT202" s="21">
        <v>2400</v>
      </c>
      <c r="CU202" s="21">
        <v>0</v>
      </c>
      <c r="CV202" s="58">
        <v>130</v>
      </c>
      <c r="CW202" s="58">
        <f t="shared" si="173"/>
        <v>0</v>
      </c>
      <c r="CX202" s="58"/>
      <c r="CY202" s="21">
        <f>IF(Table1[[#This Row],[Check 4 Status]]="Continued", Table1[[#This Row],[Check 4 Students Summer]], 0)</f>
        <v>0</v>
      </c>
      <c r="CZ202" s="58">
        <f>Table1[[#This Row],[Check 4 Per Student Savings]]*CY202</f>
        <v>0</v>
      </c>
      <c r="DA202" s="21">
        <f>IF(Table1[[#This Row],[Check 4 Status]]="Continued", Table1[[#This Row],[Check 4 Students Fall]], 0)</f>
        <v>0</v>
      </c>
      <c r="DB202" s="58">
        <f>Table1[[#This Row],[Check 4 Per Student Savings]]*DA202</f>
        <v>0</v>
      </c>
      <c r="DC202" s="21">
        <f>IF(Table1[[#This Row],[Check 4 Status]]="Continued", Table1[[#This Row],[Check 4 Students Spring]], 0)</f>
        <v>0</v>
      </c>
      <c r="DD202" s="58">
        <f>Table1[[#This Row],[Check 4 Per Student Savings]]*DC202</f>
        <v>0</v>
      </c>
      <c r="DE202" s="58">
        <f t="shared" si="174"/>
        <v>0</v>
      </c>
      <c r="DF202" s="58">
        <f t="shared" si="175"/>
        <v>0</v>
      </c>
      <c r="DG20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16600</v>
      </c>
      <c r="DH20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2158000</v>
      </c>
      <c r="DI202" s="58">
        <f>Table1[[#This Row],[Grand Total Savings]]/Table1[[#This Row],[Total Award]]</f>
        <v>71.933333333333337</v>
      </c>
      <c r="DJ202" s="17"/>
      <c r="DK202" s="17"/>
      <c r="DL202" s="17"/>
      <c r="DM202" s="17"/>
      <c r="EC202" s="17"/>
      <c r="ED202" s="17"/>
      <c r="EE202" s="17"/>
      <c r="EF202" s="17"/>
    </row>
    <row r="203" spans="1:136" x14ac:dyDescent="0.25">
      <c r="A203" s="157">
        <v>360</v>
      </c>
      <c r="B203" s="17" t="s">
        <v>2011</v>
      </c>
      <c r="D203" s="97">
        <v>514232</v>
      </c>
      <c r="E203" s="165">
        <v>43299</v>
      </c>
      <c r="F203" s="158">
        <v>43472</v>
      </c>
      <c r="G203" s="159">
        <v>11</v>
      </c>
      <c r="H203" s="95" t="s">
        <v>7</v>
      </c>
      <c r="I203" s="226" t="s">
        <v>118</v>
      </c>
      <c r="J203" s="17" t="s">
        <v>132</v>
      </c>
      <c r="K203" s="107">
        <v>24800</v>
      </c>
      <c r="L203" s="107"/>
      <c r="M203" s="101" t="s">
        <v>1005</v>
      </c>
      <c r="N203" s="101" t="s">
        <v>1006</v>
      </c>
      <c r="O203" s="101" t="s">
        <v>1007</v>
      </c>
      <c r="P203" s="101" t="s">
        <v>1008</v>
      </c>
      <c r="Q203" s="101" t="s">
        <v>641</v>
      </c>
      <c r="R203" s="101" t="s">
        <v>129</v>
      </c>
      <c r="S203" s="173" t="s">
        <v>912</v>
      </c>
      <c r="T203" s="173" t="s">
        <v>912</v>
      </c>
      <c r="U203" s="173" t="s">
        <v>912</v>
      </c>
      <c r="V203" s="17" t="s">
        <v>150</v>
      </c>
      <c r="W203" s="17" t="s">
        <v>127</v>
      </c>
      <c r="X203" s="17" t="s">
        <v>127</v>
      </c>
      <c r="Y203" s="58">
        <v>294268</v>
      </c>
      <c r="Z203" s="17">
        <v>1900</v>
      </c>
      <c r="AA203" s="58">
        <v>154.87</v>
      </c>
      <c r="AB203" s="21">
        <v>190</v>
      </c>
      <c r="AC203" s="21">
        <v>1010</v>
      </c>
      <c r="AD203" s="21">
        <v>660</v>
      </c>
      <c r="AE203" s="17" t="s">
        <v>675</v>
      </c>
      <c r="AF203" s="17" t="s">
        <v>129</v>
      </c>
      <c r="AG203" s="17"/>
      <c r="AI203" s="17" t="s">
        <v>130</v>
      </c>
      <c r="AJ203" s="21">
        <v>0</v>
      </c>
      <c r="AK203" s="58">
        <v>0</v>
      </c>
      <c r="AL203" s="21">
        <v>0</v>
      </c>
      <c r="AM203" s="58">
        <f t="shared" si="160"/>
        <v>0</v>
      </c>
      <c r="AN203" s="21">
        <v>0</v>
      </c>
      <c r="AO203" s="58">
        <f t="shared" si="161"/>
        <v>0</v>
      </c>
      <c r="AP203" s="21">
        <v>0</v>
      </c>
      <c r="AQ203" s="58">
        <f t="shared" si="162"/>
        <v>0</v>
      </c>
      <c r="AR203" s="21">
        <v>0</v>
      </c>
      <c r="AS203" s="58">
        <f t="shared" si="163"/>
        <v>0</v>
      </c>
      <c r="AT203" s="21">
        <v>0</v>
      </c>
      <c r="AU203" s="58">
        <f t="shared" si="164"/>
        <v>0</v>
      </c>
      <c r="AV203" s="21">
        <v>0</v>
      </c>
      <c r="AW203" s="58">
        <v>0</v>
      </c>
      <c r="AX203" s="31">
        <v>0</v>
      </c>
      <c r="AY203" s="58">
        <v>0</v>
      </c>
      <c r="AZ203" s="31">
        <v>0</v>
      </c>
      <c r="BA203" s="58">
        <v>0</v>
      </c>
      <c r="BB203" s="31">
        <v>0</v>
      </c>
      <c r="BC203" s="58">
        <v>0</v>
      </c>
      <c r="BD203" s="31">
        <v>0</v>
      </c>
      <c r="BE203" s="58">
        <v>0</v>
      </c>
      <c r="BF203" s="31">
        <v>0</v>
      </c>
      <c r="BG203" s="58">
        <v>0</v>
      </c>
      <c r="BH203" s="31">
        <v>0</v>
      </c>
      <c r="BI203" s="58">
        <v>0</v>
      </c>
      <c r="BJ203" s="31">
        <v>0</v>
      </c>
      <c r="BK203" s="58">
        <v>0</v>
      </c>
      <c r="BL203" s="17" t="s">
        <v>130</v>
      </c>
      <c r="BM203" s="31">
        <v>190</v>
      </c>
      <c r="BN203" s="31">
        <v>1010</v>
      </c>
      <c r="BO203" s="31">
        <v>660</v>
      </c>
      <c r="BP203" s="31">
        <f t="shared" si="165"/>
        <v>1860</v>
      </c>
      <c r="BQ203" s="58">
        <v>155</v>
      </c>
      <c r="BR203" s="58">
        <f>Table1[[#This Row],[Check 2 Students Total]]*Table1[[#This Row],[Summer 2018 Price Check]]</f>
        <v>288300</v>
      </c>
      <c r="BS203" s="31">
        <v>0</v>
      </c>
      <c r="BT203" s="58">
        <f>Table1[[#This Row],[Summer 2018 Price Check]]*BS203</f>
        <v>0</v>
      </c>
      <c r="BU203" s="31">
        <f>IF(Table1[[#This Row],[Sustainability Check 2 (2018-2019) Status]]="Continued", Table1[[#This Row],[Check 2 Students Fall]], 0)</f>
        <v>1010</v>
      </c>
      <c r="BV203" s="58">
        <f>Table1[[#This Row],[Summer 2018 Price Check]]*BU203</f>
        <v>156550</v>
      </c>
      <c r="BW203" s="21">
        <f>IF(Table1[[#This Row],[Sustainability Check 2 (2018-2019) Status]]="Continued", Table1[Check 2 Students Spring], 0)</f>
        <v>660</v>
      </c>
      <c r="BX203" s="58">
        <f>Table1[[#This Row],[Summer 2018 Price Check]]*Table1[[#This Row],[Spring 2019 Students]]</f>
        <v>102300</v>
      </c>
      <c r="BY203" s="31">
        <f t="shared" si="166"/>
        <v>1670</v>
      </c>
      <c r="BZ203" s="58">
        <f t="shared" si="167"/>
        <v>258850</v>
      </c>
      <c r="CA203" s="17" t="s">
        <v>130</v>
      </c>
      <c r="CB203" s="31">
        <v>190</v>
      </c>
      <c r="CC203" s="31">
        <v>1010</v>
      </c>
      <c r="CD203" s="31">
        <v>660</v>
      </c>
      <c r="CE203" s="31">
        <f t="shared" si="168"/>
        <v>1860</v>
      </c>
      <c r="CF203" s="58">
        <v>155</v>
      </c>
      <c r="CG203" s="58">
        <f t="shared" si="169"/>
        <v>288300</v>
      </c>
      <c r="CH203" s="17" t="s">
        <v>675</v>
      </c>
      <c r="CI203" s="21">
        <f>IF(Table1[[#This Row],[Check 3 Status]]="Continued", Table1[[#This Row],[Check 3 Students Summer]], 0)</f>
        <v>190</v>
      </c>
      <c r="CJ203" s="58">
        <f>Table1[[#This Row],[Check 3 Per Student Savings]]*CI203</f>
        <v>29450</v>
      </c>
      <c r="CK203" s="21">
        <f>IF(Table1[[#This Row],[Check 3 Status]]="Continued", Table1[[#This Row],[Check 3 Students Fall]], 0)</f>
        <v>1010</v>
      </c>
      <c r="CL203" s="58">
        <f>Table1[[#This Row],[Check 3 Per Student Savings]]*CK203</f>
        <v>156550</v>
      </c>
      <c r="CM203" s="21">
        <f>IF(Table1[[#This Row],[Check 3 Status]]="Continued", Table1[[#This Row],[Check 3 Students Spring]], 0)</f>
        <v>660</v>
      </c>
      <c r="CN203" s="58">
        <f>Table1[[#This Row],[Check 3 Per Student Savings]]*CM203</f>
        <v>102300</v>
      </c>
      <c r="CO203" s="21">
        <f t="shared" si="170"/>
        <v>1860</v>
      </c>
      <c r="CP203" s="58">
        <f t="shared" si="171"/>
        <v>288300</v>
      </c>
      <c r="CQ203" s="58" t="s">
        <v>142</v>
      </c>
      <c r="CR203" s="21">
        <v>190</v>
      </c>
      <c r="CS203" s="21">
        <v>1010</v>
      </c>
      <c r="CT203" s="21">
        <v>660</v>
      </c>
      <c r="CU203" s="21">
        <v>0</v>
      </c>
      <c r="CV203" s="58">
        <v>155</v>
      </c>
      <c r="CW203" s="58">
        <f t="shared" si="173"/>
        <v>0</v>
      </c>
      <c r="CX203" s="58"/>
      <c r="CY203" s="21">
        <f>IF(Table1[[#This Row],[Check 4 Status]]="Continued", Table1[[#This Row],[Check 4 Students Summer]], 0)</f>
        <v>0</v>
      </c>
      <c r="CZ203" s="58">
        <f>Table1[[#This Row],[Check 4 Per Student Savings]]*CY203</f>
        <v>0</v>
      </c>
      <c r="DA203" s="21">
        <f>IF(Table1[[#This Row],[Check 4 Status]]="Continued", Table1[[#This Row],[Check 4 Students Fall]], 0)</f>
        <v>0</v>
      </c>
      <c r="DB203" s="58">
        <f>Table1[[#This Row],[Check 4 Per Student Savings]]*DA203</f>
        <v>0</v>
      </c>
      <c r="DC203" s="21">
        <f>IF(Table1[[#This Row],[Check 4 Status]]="Continued", Table1[[#This Row],[Check 4 Students Spring]], 0)</f>
        <v>0</v>
      </c>
      <c r="DD203" s="58">
        <f>Table1[[#This Row],[Check 4 Per Student Savings]]*DC203</f>
        <v>0</v>
      </c>
      <c r="DE203" s="58">
        <f t="shared" si="174"/>
        <v>0</v>
      </c>
      <c r="DF203" s="58">
        <f t="shared" si="175"/>
        <v>0</v>
      </c>
      <c r="DG20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3530</v>
      </c>
      <c r="DH20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547150</v>
      </c>
      <c r="DI203" s="58">
        <f>Table1[[#This Row],[Grand Total Savings]]/Table1[[#This Row],[Total Award]]</f>
        <v>22.0625</v>
      </c>
      <c r="DJ203" s="17"/>
      <c r="DK203" s="17"/>
      <c r="DL203" s="17"/>
      <c r="DM203" s="17"/>
      <c r="EC203" s="17"/>
      <c r="ED203" s="17"/>
      <c r="EE203" s="17"/>
      <c r="EF203" s="17"/>
    </row>
    <row r="204" spans="1:136" x14ac:dyDescent="0.25">
      <c r="A204" s="159">
        <v>361</v>
      </c>
      <c r="B204" s="17" t="s">
        <v>2011</v>
      </c>
      <c r="D204" s="97">
        <v>514200</v>
      </c>
      <c r="E204" s="165">
        <v>43201</v>
      </c>
      <c r="F204" s="158">
        <v>43479</v>
      </c>
      <c r="G204" s="159">
        <v>11</v>
      </c>
      <c r="H204" s="95" t="s">
        <v>7</v>
      </c>
      <c r="I204" s="226" t="s">
        <v>118</v>
      </c>
      <c r="J204" s="17" t="s">
        <v>276</v>
      </c>
      <c r="K204" s="107">
        <v>10800</v>
      </c>
      <c r="L204" s="107"/>
      <c r="M204" s="101" t="s">
        <v>1009</v>
      </c>
      <c r="N204" s="101" t="s">
        <v>1010</v>
      </c>
      <c r="O204" s="101" t="s">
        <v>185</v>
      </c>
      <c r="P204" s="101" t="s">
        <v>1011</v>
      </c>
      <c r="Q204" s="101" t="s">
        <v>184</v>
      </c>
      <c r="R204" s="101" t="s">
        <v>185</v>
      </c>
      <c r="S204" s="101" t="s">
        <v>953</v>
      </c>
      <c r="T204" s="101" t="s">
        <v>953</v>
      </c>
      <c r="U204" s="101" t="s">
        <v>953</v>
      </c>
      <c r="V204" s="17" t="s">
        <v>150</v>
      </c>
      <c r="W204" s="17" t="s">
        <v>127</v>
      </c>
      <c r="X204" s="17" t="s">
        <v>127</v>
      </c>
      <c r="Y204" s="58">
        <v>26376</v>
      </c>
      <c r="Z204" s="17">
        <v>240</v>
      </c>
      <c r="AA204" s="58">
        <v>111</v>
      </c>
      <c r="AB204" s="21">
        <v>40</v>
      </c>
      <c r="AC204" s="21">
        <v>100</v>
      </c>
      <c r="AD204" s="21">
        <v>100</v>
      </c>
      <c r="AE204" s="17" t="s">
        <v>675</v>
      </c>
      <c r="AF204" s="17" t="s">
        <v>129</v>
      </c>
      <c r="AG204" s="17"/>
      <c r="AI204" s="17" t="s">
        <v>130</v>
      </c>
      <c r="AJ204" s="21">
        <v>0</v>
      </c>
      <c r="AK204" s="58">
        <v>0</v>
      </c>
      <c r="AL204" s="21">
        <v>0</v>
      </c>
      <c r="AM204" s="58">
        <f t="shared" si="160"/>
        <v>0</v>
      </c>
      <c r="AN204" s="21">
        <v>0</v>
      </c>
      <c r="AO204" s="58">
        <f t="shared" si="161"/>
        <v>0</v>
      </c>
      <c r="AP204" s="21">
        <v>0</v>
      </c>
      <c r="AQ204" s="58">
        <f t="shared" si="162"/>
        <v>0</v>
      </c>
      <c r="AR204" s="21">
        <v>0</v>
      </c>
      <c r="AS204" s="58">
        <f t="shared" si="163"/>
        <v>0</v>
      </c>
      <c r="AT204" s="21">
        <v>0</v>
      </c>
      <c r="AU204" s="58">
        <f t="shared" si="164"/>
        <v>0</v>
      </c>
      <c r="AV204" s="21">
        <v>0</v>
      </c>
      <c r="AW204" s="58">
        <v>0</v>
      </c>
      <c r="AX204" s="31">
        <v>0</v>
      </c>
      <c r="AY204" s="58">
        <v>0</v>
      </c>
      <c r="AZ204" s="31">
        <v>0</v>
      </c>
      <c r="BA204" s="58">
        <v>0</v>
      </c>
      <c r="BB204" s="31">
        <v>0</v>
      </c>
      <c r="BC204" s="58">
        <v>0</v>
      </c>
      <c r="BD204" s="31">
        <v>0</v>
      </c>
      <c r="BE204" s="58">
        <v>0</v>
      </c>
      <c r="BF204" s="31">
        <v>0</v>
      </c>
      <c r="BG204" s="58">
        <v>0</v>
      </c>
      <c r="BH204" s="31">
        <v>0</v>
      </c>
      <c r="BI204" s="58">
        <v>0</v>
      </c>
      <c r="BJ204" s="31">
        <v>0</v>
      </c>
      <c r="BK204" s="58">
        <v>0</v>
      </c>
      <c r="BL204" s="17" t="s">
        <v>130</v>
      </c>
      <c r="BM204" s="31">
        <v>40</v>
      </c>
      <c r="BN204" s="31">
        <v>100</v>
      </c>
      <c r="BO204" s="31">
        <v>100</v>
      </c>
      <c r="BP204" s="31">
        <f t="shared" si="165"/>
        <v>240</v>
      </c>
      <c r="BQ204" s="58">
        <v>111</v>
      </c>
      <c r="BR204" s="58">
        <f>Table1[[#This Row],[Check 2 Students Total]]*Table1[[#This Row],[Summer 2018 Price Check]]</f>
        <v>26640</v>
      </c>
      <c r="BS204" s="31">
        <v>0</v>
      </c>
      <c r="BT204" s="58">
        <f>Table1[[#This Row],[Summer 2018 Price Check]]*BS204</f>
        <v>0</v>
      </c>
      <c r="BU204" s="31">
        <f>IF(Table1[[#This Row],[Sustainability Check 2 (2018-2019) Status]]="Continued", Table1[[#This Row],[Check 2 Students Fall]], 0)</f>
        <v>100</v>
      </c>
      <c r="BV204" s="58">
        <f>Table1[[#This Row],[Summer 2018 Price Check]]*BU204</f>
        <v>11100</v>
      </c>
      <c r="BW204" s="21">
        <f>IF(Table1[[#This Row],[Sustainability Check 2 (2018-2019) Status]]="Continued", Table1[Check 2 Students Spring], 0)</f>
        <v>100</v>
      </c>
      <c r="BX204" s="58">
        <f>Table1[[#This Row],[Summer 2018 Price Check]]*Table1[[#This Row],[Spring 2019 Students]]</f>
        <v>11100</v>
      </c>
      <c r="BY204" s="31">
        <f t="shared" si="166"/>
        <v>200</v>
      </c>
      <c r="BZ204" s="58">
        <f t="shared" si="167"/>
        <v>22200</v>
      </c>
      <c r="CA204" s="17" t="s">
        <v>130</v>
      </c>
      <c r="CB204" s="31">
        <v>40</v>
      </c>
      <c r="CC204" s="31">
        <v>100</v>
      </c>
      <c r="CD204" s="31">
        <v>100</v>
      </c>
      <c r="CE204" s="31">
        <f t="shared" si="168"/>
        <v>240</v>
      </c>
      <c r="CF204" s="58">
        <v>111</v>
      </c>
      <c r="CG204" s="58">
        <f t="shared" si="169"/>
        <v>26640</v>
      </c>
      <c r="CH204" s="17" t="s">
        <v>675</v>
      </c>
      <c r="CI204" s="21">
        <f>IF(Table1[[#This Row],[Check 3 Status]]="Continued", Table1[[#This Row],[Check 3 Students Summer]], 0)</f>
        <v>40</v>
      </c>
      <c r="CJ204" s="58">
        <f>Table1[[#This Row],[Check 3 Per Student Savings]]*CI204</f>
        <v>4440</v>
      </c>
      <c r="CK204" s="21">
        <f>IF(Table1[[#This Row],[Check 3 Status]]="Continued", Table1[[#This Row],[Check 3 Students Fall]], 0)</f>
        <v>100</v>
      </c>
      <c r="CL204" s="58">
        <f>Table1[[#This Row],[Check 3 Per Student Savings]]*CK204</f>
        <v>11100</v>
      </c>
      <c r="CM204" s="21">
        <f>IF(Table1[[#This Row],[Check 3 Status]]="Continued", Table1[[#This Row],[Check 3 Students Spring]], 0)</f>
        <v>100</v>
      </c>
      <c r="CN204" s="58">
        <f>Table1[[#This Row],[Check 3 Per Student Savings]]*CM204</f>
        <v>11100</v>
      </c>
      <c r="CO204" s="21">
        <f t="shared" si="170"/>
        <v>240</v>
      </c>
      <c r="CP204" s="58">
        <f t="shared" si="171"/>
        <v>26640</v>
      </c>
      <c r="CQ204" s="58" t="s">
        <v>130</v>
      </c>
      <c r="CR204" s="21">
        <v>40</v>
      </c>
      <c r="CS204" s="21">
        <v>100</v>
      </c>
      <c r="CT204" s="21">
        <v>100</v>
      </c>
      <c r="CU204" s="21">
        <f t="shared" si="172"/>
        <v>240</v>
      </c>
      <c r="CV204" s="58">
        <v>111</v>
      </c>
      <c r="CW204" s="58">
        <f t="shared" si="173"/>
        <v>26640</v>
      </c>
      <c r="CX204" s="58"/>
      <c r="CY204" s="21">
        <f>IF(Table1[[#This Row],[Check 4 Status]]="Continued", Table1[[#This Row],[Check 4 Students Summer]], 0)</f>
        <v>40</v>
      </c>
      <c r="CZ204" s="58">
        <f>Table1[[#This Row],[Check 4 Per Student Savings]]*CY204</f>
        <v>4440</v>
      </c>
      <c r="DA204" s="21">
        <f>IF(Table1[[#This Row],[Check 4 Status]]="Continued", Table1[[#This Row],[Check 4 Students Fall]], 0)</f>
        <v>100</v>
      </c>
      <c r="DB204" s="58">
        <f>Table1[[#This Row],[Check 4 Per Student Savings]]*DA204</f>
        <v>11100</v>
      </c>
      <c r="DC204" s="21">
        <f>IF(Table1[[#This Row],[Check 4 Status]]="Continued", Table1[[#This Row],[Check 4 Students Spring]], 0)</f>
        <v>100</v>
      </c>
      <c r="DD204" s="58">
        <f>Table1[[#This Row],[Check 4 Per Student Savings]]*DC204</f>
        <v>11100</v>
      </c>
      <c r="DE204" s="58">
        <f t="shared" si="174"/>
        <v>240</v>
      </c>
      <c r="DF204" s="58">
        <f t="shared" si="175"/>
        <v>26640</v>
      </c>
      <c r="DG20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680</v>
      </c>
      <c r="DH20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75480</v>
      </c>
      <c r="DI204" s="58">
        <f>Table1[[#This Row],[Grand Total Savings]]/Table1[[#This Row],[Total Award]]</f>
        <v>6.9888888888888889</v>
      </c>
      <c r="DJ204" s="17"/>
      <c r="DK204" s="17"/>
      <c r="DL204" s="17"/>
      <c r="DM204" s="17"/>
      <c r="EC204" s="17"/>
      <c r="ED204" s="17"/>
      <c r="EE204" s="17"/>
      <c r="EF204" s="17"/>
    </row>
    <row r="205" spans="1:136" x14ac:dyDescent="0.25">
      <c r="A205" s="157">
        <v>362</v>
      </c>
      <c r="B205" s="17" t="s">
        <v>2011</v>
      </c>
      <c r="D205" s="97">
        <v>514231</v>
      </c>
      <c r="E205" s="158">
        <v>43349</v>
      </c>
      <c r="F205" s="158">
        <v>43472</v>
      </c>
      <c r="G205" s="159">
        <v>11</v>
      </c>
      <c r="H205" s="95" t="s">
        <v>7</v>
      </c>
      <c r="I205" s="226" t="s">
        <v>118</v>
      </c>
      <c r="J205" s="17" t="s">
        <v>132</v>
      </c>
      <c r="K205" s="107">
        <v>27300</v>
      </c>
      <c r="L205" s="107"/>
      <c r="M205" s="101" t="s">
        <v>1012</v>
      </c>
      <c r="N205" s="101" t="s">
        <v>1013</v>
      </c>
      <c r="O205" s="101" t="s">
        <v>1014</v>
      </c>
      <c r="P205" s="101" t="s">
        <v>1015</v>
      </c>
      <c r="Q205" s="101" t="s">
        <v>467</v>
      </c>
      <c r="R205" s="101" t="s">
        <v>129</v>
      </c>
      <c r="S205" s="173" t="s">
        <v>912</v>
      </c>
      <c r="T205" s="173" t="s">
        <v>912</v>
      </c>
      <c r="U205" s="173" t="s">
        <v>912</v>
      </c>
      <c r="V205" s="17" t="s">
        <v>150</v>
      </c>
      <c r="W205" s="17" t="s">
        <v>150</v>
      </c>
      <c r="X205" s="17" t="s">
        <v>150</v>
      </c>
      <c r="Y205" s="58">
        <v>87249</v>
      </c>
      <c r="Z205" s="17">
        <v>827</v>
      </c>
      <c r="AA205" s="58">
        <v>105.5</v>
      </c>
      <c r="AB205" s="21">
        <v>71</v>
      </c>
      <c r="AC205" s="21">
        <v>373</v>
      </c>
      <c r="AD205" s="21">
        <v>383</v>
      </c>
      <c r="AE205" s="17" t="s">
        <v>675</v>
      </c>
      <c r="AF205" s="17" t="s">
        <v>129</v>
      </c>
      <c r="AG205" s="17"/>
      <c r="AI205" s="17" t="s">
        <v>130</v>
      </c>
      <c r="AJ205" s="21">
        <v>0</v>
      </c>
      <c r="AK205" s="58">
        <v>0</v>
      </c>
      <c r="AL205" s="21">
        <v>0</v>
      </c>
      <c r="AM205" s="58">
        <f t="shared" si="160"/>
        <v>0</v>
      </c>
      <c r="AN205" s="21">
        <v>0</v>
      </c>
      <c r="AO205" s="58">
        <f t="shared" si="161"/>
        <v>0</v>
      </c>
      <c r="AP205" s="21">
        <v>0</v>
      </c>
      <c r="AQ205" s="58">
        <f t="shared" si="162"/>
        <v>0</v>
      </c>
      <c r="AR205" s="21">
        <v>0</v>
      </c>
      <c r="AS205" s="58">
        <f t="shared" si="163"/>
        <v>0</v>
      </c>
      <c r="AT205" s="21">
        <v>0</v>
      </c>
      <c r="AU205" s="58">
        <f t="shared" si="164"/>
        <v>0</v>
      </c>
      <c r="AV205" s="21">
        <v>0</v>
      </c>
      <c r="AW205" s="58">
        <v>0</v>
      </c>
      <c r="AX205" s="31">
        <v>0</v>
      </c>
      <c r="AY205" s="58">
        <v>0</v>
      </c>
      <c r="AZ205" s="31">
        <v>0</v>
      </c>
      <c r="BA205" s="58">
        <v>0</v>
      </c>
      <c r="BB205" s="31">
        <v>0</v>
      </c>
      <c r="BC205" s="58">
        <v>0</v>
      </c>
      <c r="BD205" s="31">
        <v>0</v>
      </c>
      <c r="BE205" s="58">
        <v>0</v>
      </c>
      <c r="BF205" s="31">
        <v>0</v>
      </c>
      <c r="BG205" s="58">
        <v>0</v>
      </c>
      <c r="BH205" s="31">
        <v>0</v>
      </c>
      <c r="BI205" s="58">
        <v>0</v>
      </c>
      <c r="BJ205" s="31">
        <v>0</v>
      </c>
      <c r="BK205" s="58">
        <v>0</v>
      </c>
      <c r="BL205" s="17" t="s">
        <v>130</v>
      </c>
      <c r="BM205" s="31">
        <v>71</v>
      </c>
      <c r="BN205" s="31">
        <v>373</v>
      </c>
      <c r="BO205" s="31">
        <v>383</v>
      </c>
      <c r="BP205" s="31">
        <f t="shared" si="165"/>
        <v>827</v>
      </c>
      <c r="BQ205" s="58">
        <v>106</v>
      </c>
      <c r="BR205" s="58">
        <f>Table1[[#This Row],[Check 2 Students Total]]*Table1[[#This Row],[Summer 2018 Price Check]]</f>
        <v>87662</v>
      </c>
      <c r="BS205" s="31">
        <v>0</v>
      </c>
      <c r="BT205" s="58">
        <f>Table1[[#This Row],[Summer 2018 Price Check]]*BS205</f>
        <v>0</v>
      </c>
      <c r="BU205" s="31">
        <f>IF(Table1[[#This Row],[Sustainability Check 2 (2018-2019) Status]]="Continued", Table1[[#This Row],[Check 2 Students Fall]], 0)</f>
        <v>373</v>
      </c>
      <c r="BV205" s="58">
        <f>Table1[[#This Row],[Summer 2018 Price Check]]*BU205</f>
        <v>39538</v>
      </c>
      <c r="BW205" s="21">
        <f>IF(Table1[[#This Row],[Sustainability Check 2 (2018-2019) Status]]="Continued", Table1[Check 2 Students Spring], 0)</f>
        <v>383</v>
      </c>
      <c r="BX205" s="58">
        <f>Table1[[#This Row],[Summer 2018 Price Check]]*Table1[[#This Row],[Spring 2019 Students]]</f>
        <v>40598</v>
      </c>
      <c r="BY205" s="31">
        <f t="shared" si="166"/>
        <v>756</v>
      </c>
      <c r="BZ205" s="58">
        <f t="shared" si="167"/>
        <v>80136</v>
      </c>
      <c r="CA205" s="17" t="s">
        <v>130</v>
      </c>
      <c r="CB205" s="31">
        <v>71</v>
      </c>
      <c r="CC205" s="31">
        <v>373</v>
      </c>
      <c r="CD205" s="31">
        <v>383</v>
      </c>
      <c r="CE205" s="31">
        <f t="shared" si="168"/>
        <v>827</v>
      </c>
      <c r="CF205" s="58">
        <v>106</v>
      </c>
      <c r="CG205" s="58">
        <f t="shared" si="169"/>
        <v>87662</v>
      </c>
      <c r="CH205" s="17" t="s">
        <v>675</v>
      </c>
      <c r="CI205" s="21">
        <f>IF(Table1[[#This Row],[Check 3 Status]]="Continued", Table1[[#This Row],[Check 3 Students Summer]], 0)</f>
        <v>71</v>
      </c>
      <c r="CJ205" s="58">
        <f>Table1[[#This Row],[Check 3 Per Student Savings]]*CI205</f>
        <v>7526</v>
      </c>
      <c r="CK205" s="21">
        <f>IF(Table1[[#This Row],[Check 3 Status]]="Continued", Table1[[#This Row],[Check 3 Students Fall]], 0)</f>
        <v>373</v>
      </c>
      <c r="CL205" s="58">
        <f>Table1[[#This Row],[Check 3 Per Student Savings]]*CK205</f>
        <v>39538</v>
      </c>
      <c r="CM205" s="21">
        <f>IF(Table1[[#This Row],[Check 3 Status]]="Continued", Table1[[#This Row],[Check 3 Students Spring]], 0)</f>
        <v>383</v>
      </c>
      <c r="CN205" s="58">
        <f>Table1[[#This Row],[Check 3 Per Student Savings]]*CM205</f>
        <v>40598</v>
      </c>
      <c r="CO205" s="21">
        <f t="shared" si="170"/>
        <v>827</v>
      </c>
      <c r="CP205" s="58">
        <f t="shared" si="171"/>
        <v>87662</v>
      </c>
      <c r="CQ205" s="58" t="s">
        <v>130</v>
      </c>
      <c r="CR205" s="21">
        <v>71</v>
      </c>
      <c r="CS205" s="21">
        <v>373</v>
      </c>
      <c r="CT205" s="21">
        <v>383</v>
      </c>
      <c r="CU205" s="21">
        <f t="shared" si="172"/>
        <v>827</v>
      </c>
      <c r="CV205" s="58">
        <v>106</v>
      </c>
      <c r="CW205" s="58">
        <f t="shared" si="173"/>
        <v>87662</v>
      </c>
      <c r="CX205" s="58"/>
      <c r="CY205" s="21">
        <f>IF(Table1[[#This Row],[Check 4 Status]]="Continued", Table1[[#This Row],[Check 4 Students Summer]], 0)</f>
        <v>71</v>
      </c>
      <c r="CZ205" s="58">
        <f>Table1[[#This Row],[Check 4 Per Student Savings]]*CY205</f>
        <v>7526</v>
      </c>
      <c r="DA205" s="21">
        <f>IF(Table1[[#This Row],[Check 4 Status]]="Continued", Table1[[#This Row],[Check 4 Students Fall]], 0)</f>
        <v>373</v>
      </c>
      <c r="DB205" s="58">
        <f>Table1[[#This Row],[Check 4 Per Student Savings]]*DA205</f>
        <v>39538</v>
      </c>
      <c r="DC205" s="21">
        <f>IF(Table1[[#This Row],[Check 4 Status]]="Continued", Table1[[#This Row],[Check 4 Students Spring]], 0)</f>
        <v>383</v>
      </c>
      <c r="DD205" s="58">
        <f>Table1[[#This Row],[Check 4 Per Student Savings]]*DC205</f>
        <v>40598</v>
      </c>
      <c r="DE205" s="58">
        <f t="shared" si="174"/>
        <v>827</v>
      </c>
      <c r="DF205" s="58">
        <f t="shared" si="175"/>
        <v>87662</v>
      </c>
      <c r="DG20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2410</v>
      </c>
      <c r="DH20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255460</v>
      </c>
      <c r="DI205" s="58">
        <f>Table1[[#This Row],[Grand Total Savings]]/Table1[[#This Row],[Total Award]]</f>
        <v>9.357509157509158</v>
      </c>
      <c r="DJ205" s="17"/>
      <c r="DK205" s="17"/>
      <c r="DL205" s="17"/>
      <c r="DM205" s="17"/>
      <c r="EC205" s="17"/>
      <c r="ED205" s="17"/>
      <c r="EE205" s="17"/>
      <c r="EF205" s="17"/>
    </row>
    <row r="206" spans="1:136" x14ac:dyDescent="0.25">
      <c r="A206" s="159">
        <v>364</v>
      </c>
      <c r="B206" s="17" t="s">
        <v>2011</v>
      </c>
      <c r="D206" s="97">
        <v>514147</v>
      </c>
      <c r="E206" s="165">
        <v>43193</v>
      </c>
      <c r="F206" s="158">
        <v>43472</v>
      </c>
      <c r="G206" s="159">
        <v>11</v>
      </c>
      <c r="H206" s="95" t="s">
        <v>7</v>
      </c>
      <c r="I206" s="226" t="s">
        <v>118</v>
      </c>
      <c r="J206" s="17" t="s">
        <v>276</v>
      </c>
      <c r="K206" s="107">
        <v>10800</v>
      </c>
      <c r="L206" s="107"/>
      <c r="M206" s="101" t="s">
        <v>1016</v>
      </c>
      <c r="N206" s="101" t="s">
        <v>1017</v>
      </c>
      <c r="O206" s="101" t="s">
        <v>1018</v>
      </c>
      <c r="P206" s="101" t="s">
        <v>1019</v>
      </c>
      <c r="Q206" s="101" t="s">
        <v>543</v>
      </c>
      <c r="R206" s="101" t="s">
        <v>129</v>
      </c>
      <c r="S206" s="101" t="s">
        <v>953</v>
      </c>
      <c r="T206" s="101" t="s">
        <v>953</v>
      </c>
      <c r="U206" s="101" t="s">
        <v>953</v>
      </c>
      <c r="V206" s="17" t="s">
        <v>150</v>
      </c>
      <c r="W206" s="17" t="s">
        <v>150</v>
      </c>
      <c r="X206" s="17" t="s">
        <v>150</v>
      </c>
      <c r="Y206" s="58">
        <v>23100</v>
      </c>
      <c r="Z206" s="17">
        <v>180</v>
      </c>
      <c r="AA206" s="58">
        <v>128.33000000000001</v>
      </c>
      <c r="AB206" s="21">
        <v>0</v>
      </c>
      <c r="AC206" s="21">
        <v>90</v>
      </c>
      <c r="AD206" s="21">
        <v>90</v>
      </c>
      <c r="AE206" s="17" t="s">
        <v>675</v>
      </c>
      <c r="AF206" s="17" t="s">
        <v>129</v>
      </c>
      <c r="AG206" s="17"/>
      <c r="AI206" s="17" t="s">
        <v>130</v>
      </c>
      <c r="AJ206" s="21">
        <v>0</v>
      </c>
      <c r="AK206" s="58">
        <v>0</v>
      </c>
      <c r="AL206" s="21">
        <v>0</v>
      </c>
      <c r="AM206" s="58">
        <f t="shared" si="160"/>
        <v>0</v>
      </c>
      <c r="AN206" s="21">
        <v>0</v>
      </c>
      <c r="AO206" s="58">
        <f t="shared" si="161"/>
        <v>0</v>
      </c>
      <c r="AP206" s="21">
        <v>0</v>
      </c>
      <c r="AQ206" s="58">
        <f t="shared" si="162"/>
        <v>0</v>
      </c>
      <c r="AR206" s="21">
        <v>0</v>
      </c>
      <c r="AS206" s="58">
        <f t="shared" si="163"/>
        <v>0</v>
      </c>
      <c r="AT206" s="21">
        <v>0</v>
      </c>
      <c r="AU206" s="58">
        <f t="shared" si="164"/>
        <v>0</v>
      </c>
      <c r="AV206" s="21">
        <v>0</v>
      </c>
      <c r="AW206" s="58">
        <v>0</v>
      </c>
      <c r="AX206" s="31">
        <v>0</v>
      </c>
      <c r="AY206" s="58">
        <v>0</v>
      </c>
      <c r="AZ206" s="31">
        <v>0</v>
      </c>
      <c r="BA206" s="58">
        <v>0</v>
      </c>
      <c r="BB206" s="31">
        <v>0</v>
      </c>
      <c r="BC206" s="58">
        <v>0</v>
      </c>
      <c r="BD206" s="31">
        <v>0</v>
      </c>
      <c r="BE206" s="58">
        <v>0</v>
      </c>
      <c r="BF206" s="31">
        <v>0</v>
      </c>
      <c r="BG206" s="58">
        <v>0</v>
      </c>
      <c r="BH206" s="31">
        <v>0</v>
      </c>
      <c r="BI206" s="58">
        <v>0</v>
      </c>
      <c r="BJ206" s="31">
        <v>0</v>
      </c>
      <c r="BK206" s="58">
        <v>0</v>
      </c>
      <c r="BL206" s="17" t="s">
        <v>130</v>
      </c>
      <c r="BM206" s="31">
        <v>0</v>
      </c>
      <c r="BN206" s="31">
        <v>90</v>
      </c>
      <c r="BO206" s="31">
        <v>90</v>
      </c>
      <c r="BP206" s="31">
        <f t="shared" si="165"/>
        <v>180</v>
      </c>
      <c r="BQ206" s="58">
        <v>128</v>
      </c>
      <c r="BR206" s="58">
        <f>Table1[[#This Row],[Check 2 Students Total]]*Table1[[#This Row],[Summer 2018 Price Check]]</f>
        <v>23040</v>
      </c>
      <c r="BS206" s="31">
        <v>0</v>
      </c>
      <c r="BT206" s="58">
        <f>Table1[[#This Row],[Summer 2018 Price Check]]*BS206</f>
        <v>0</v>
      </c>
      <c r="BU206" s="31">
        <f>IF(Table1[[#This Row],[Sustainability Check 2 (2018-2019) Status]]="Continued", Table1[[#This Row],[Check 2 Students Fall]], 0)</f>
        <v>90</v>
      </c>
      <c r="BV206" s="58">
        <f>Table1[[#This Row],[Summer 2018 Price Check]]*BU206</f>
        <v>11520</v>
      </c>
      <c r="BW206" s="21">
        <f>IF(Table1[[#This Row],[Sustainability Check 2 (2018-2019) Status]]="Continued", Table1[Check 2 Students Spring], 0)</f>
        <v>90</v>
      </c>
      <c r="BX206" s="58">
        <f>Table1[[#This Row],[Summer 2018 Price Check]]*Table1[[#This Row],[Spring 2019 Students]]</f>
        <v>11520</v>
      </c>
      <c r="BY206" s="31">
        <f t="shared" si="166"/>
        <v>180</v>
      </c>
      <c r="BZ206" s="58">
        <f t="shared" si="167"/>
        <v>23040</v>
      </c>
      <c r="CA206" s="17" t="s">
        <v>130</v>
      </c>
      <c r="CB206" s="31">
        <v>0</v>
      </c>
      <c r="CC206" s="31">
        <v>90</v>
      </c>
      <c r="CD206" s="31">
        <v>90</v>
      </c>
      <c r="CE206" s="31">
        <f t="shared" si="168"/>
        <v>180</v>
      </c>
      <c r="CF206" s="58">
        <v>128</v>
      </c>
      <c r="CG206" s="58">
        <f t="shared" si="169"/>
        <v>23040</v>
      </c>
      <c r="CH206" s="17" t="s">
        <v>675</v>
      </c>
      <c r="CI206" s="21">
        <f>IF(Table1[[#This Row],[Check 3 Status]]="Continued", Table1[[#This Row],[Check 3 Students Summer]], 0)</f>
        <v>0</v>
      </c>
      <c r="CJ206" s="58">
        <f>Table1[[#This Row],[Check 3 Per Student Savings]]*CI206</f>
        <v>0</v>
      </c>
      <c r="CK206" s="21">
        <f>IF(Table1[[#This Row],[Check 3 Status]]="Continued", Table1[[#This Row],[Check 3 Students Fall]], 0)</f>
        <v>90</v>
      </c>
      <c r="CL206" s="58">
        <f>Table1[[#This Row],[Check 3 Per Student Savings]]*CK206</f>
        <v>11520</v>
      </c>
      <c r="CM206" s="21">
        <f>IF(Table1[[#This Row],[Check 3 Status]]="Continued", Table1[[#This Row],[Check 3 Students Spring]], 0)</f>
        <v>90</v>
      </c>
      <c r="CN206" s="58">
        <f>Table1[[#This Row],[Check 3 Per Student Savings]]*CM206</f>
        <v>11520</v>
      </c>
      <c r="CO206" s="21">
        <f t="shared" si="170"/>
        <v>180</v>
      </c>
      <c r="CP206" s="58">
        <f t="shared" si="171"/>
        <v>23040</v>
      </c>
      <c r="CQ206" s="58" t="s">
        <v>141</v>
      </c>
      <c r="CR206" s="21">
        <v>0</v>
      </c>
      <c r="CS206" s="21">
        <v>90</v>
      </c>
      <c r="CT206" s="21">
        <v>90</v>
      </c>
      <c r="CU206" s="21">
        <v>0</v>
      </c>
      <c r="CV206" s="58">
        <v>128</v>
      </c>
      <c r="CW206" s="58">
        <f t="shared" si="173"/>
        <v>0</v>
      </c>
      <c r="CX206" s="58"/>
      <c r="CY206" s="21">
        <f>IF(Table1[[#This Row],[Check 4 Status]]="Continued", Table1[[#This Row],[Check 4 Students Summer]], 0)</f>
        <v>0</v>
      </c>
      <c r="CZ206" s="58">
        <f>Table1[[#This Row],[Check 4 Per Student Savings]]*CY206</f>
        <v>0</v>
      </c>
      <c r="DA206" s="21">
        <f>IF(Table1[[#This Row],[Check 4 Status]]="Continued", Table1[[#This Row],[Check 4 Students Fall]], 0)</f>
        <v>0</v>
      </c>
      <c r="DB206" s="58">
        <f>Table1[[#This Row],[Check 4 Per Student Savings]]*DA206</f>
        <v>0</v>
      </c>
      <c r="DC206" s="21">
        <f>IF(Table1[[#This Row],[Check 4 Status]]="Continued", Table1[[#This Row],[Check 4 Students Spring]], 0)</f>
        <v>0</v>
      </c>
      <c r="DD206" s="58">
        <f>Table1[[#This Row],[Check 4 Per Student Savings]]*DC206</f>
        <v>0</v>
      </c>
      <c r="DE206" s="58">
        <f t="shared" si="174"/>
        <v>0</v>
      </c>
      <c r="DF206" s="58">
        <f t="shared" si="175"/>
        <v>0</v>
      </c>
      <c r="DG20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360</v>
      </c>
      <c r="DH20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46080</v>
      </c>
      <c r="DI206" s="58">
        <f>Table1[[#This Row],[Grand Total Savings]]/Table1[[#This Row],[Total Award]]</f>
        <v>4.2666666666666666</v>
      </c>
      <c r="DJ206" s="17"/>
      <c r="DK206" s="17"/>
      <c r="DL206" s="17"/>
      <c r="DM206" s="17"/>
      <c r="EC206" s="17"/>
      <c r="ED206" s="17"/>
      <c r="EE206" s="17"/>
      <c r="EF206" s="17"/>
    </row>
    <row r="207" spans="1:136" x14ac:dyDescent="0.25">
      <c r="A207" s="157">
        <v>365</v>
      </c>
      <c r="B207" s="17" t="s">
        <v>2011</v>
      </c>
      <c r="D207" s="97">
        <v>514206</v>
      </c>
      <c r="E207" s="165">
        <v>43206</v>
      </c>
      <c r="F207" s="158">
        <v>43479</v>
      </c>
      <c r="G207" s="159">
        <v>11</v>
      </c>
      <c r="H207" s="95" t="s">
        <v>7</v>
      </c>
      <c r="I207" s="226" t="s">
        <v>118</v>
      </c>
      <c r="J207" s="17" t="s">
        <v>132</v>
      </c>
      <c r="K207" s="107">
        <v>30000</v>
      </c>
      <c r="L207" s="107"/>
      <c r="M207" s="101" t="s">
        <v>435</v>
      </c>
      <c r="N207" s="101" t="s">
        <v>436</v>
      </c>
      <c r="O207" s="101" t="s">
        <v>1020</v>
      </c>
      <c r="P207" s="101" t="s">
        <v>1021</v>
      </c>
      <c r="Q207" s="101" t="s">
        <v>177</v>
      </c>
      <c r="R207" s="101" t="s">
        <v>129</v>
      </c>
      <c r="S207" s="173" t="s">
        <v>912</v>
      </c>
      <c r="T207" s="173" t="s">
        <v>912</v>
      </c>
      <c r="U207" s="173" t="s">
        <v>912</v>
      </c>
      <c r="V207" s="17" t="s">
        <v>150</v>
      </c>
      <c r="W207" s="17" t="s">
        <v>150</v>
      </c>
      <c r="X207" s="17" t="s">
        <v>127</v>
      </c>
      <c r="Y207" s="58">
        <v>39333</v>
      </c>
      <c r="Z207" s="17">
        <v>397</v>
      </c>
      <c r="AA207" s="58">
        <v>285</v>
      </c>
      <c r="AB207" s="21">
        <v>137</v>
      </c>
      <c r="AC207" s="21">
        <v>80</v>
      </c>
      <c r="AD207" s="21">
        <v>180</v>
      </c>
      <c r="AE207" s="17" t="s">
        <v>675</v>
      </c>
      <c r="AF207" s="17" t="s">
        <v>129</v>
      </c>
      <c r="AG207" s="17"/>
      <c r="AI207" s="17" t="s">
        <v>130</v>
      </c>
      <c r="AJ207" s="21">
        <v>0</v>
      </c>
      <c r="AK207" s="58">
        <v>0</v>
      </c>
      <c r="AL207" s="21">
        <v>0</v>
      </c>
      <c r="AM207" s="58">
        <f t="shared" si="160"/>
        <v>0</v>
      </c>
      <c r="AN207" s="21">
        <v>0</v>
      </c>
      <c r="AO207" s="58">
        <f t="shared" si="161"/>
        <v>0</v>
      </c>
      <c r="AP207" s="21">
        <v>0</v>
      </c>
      <c r="AQ207" s="58">
        <f t="shared" si="162"/>
        <v>0</v>
      </c>
      <c r="AR207" s="21">
        <v>0</v>
      </c>
      <c r="AS207" s="58">
        <f t="shared" si="163"/>
        <v>0</v>
      </c>
      <c r="AT207" s="21">
        <v>0</v>
      </c>
      <c r="AU207" s="58">
        <f t="shared" si="164"/>
        <v>0</v>
      </c>
      <c r="AV207" s="21">
        <v>0</v>
      </c>
      <c r="AW207" s="58">
        <v>0</v>
      </c>
      <c r="AX207" s="31">
        <v>0</v>
      </c>
      <c r="AY207" s="58">
        <v>0</v>
      </c>
      <c r="AZ207" s="31">
        <v>0</v>
      </c>
      <c r="BA207" s="58">
        <v>0</v>
      </c>
      <c r="BB207" s="31">
        <v>0</v>
      </c>
      <c r="BC207" s="58">
        <v>0</v>
      </c>
      <c r="BD207" s="31">
        <v>0</v>
      </c>
      <c r="BE207" s="58">
        <v>0</v>
      </c>
      <c r="BF207" s="31">
        <v>0</v>
      </c>
      <c r="BG207" s="58">
        <v>0</v>
      </c>
      <c r="BH207" s="31">
        <v>0</v>
      </c>
      <c r="BI207" s="58">
        <v>0</v>
      </c>
      <c r="BJ207" s="31">
        <v>0</v>
      </c>
      <c r="BK207" s="58">
        <v>0</v>
      </c>
      <c r="BL207" s="17" t="s">
        <v>130</v>
      </c>
      <c r="BM207" s="31">
        <v>137</v>
      </c>
      <c r="BN207" s="31">
        <v>80</v>
      </c>
      <c r="BO207" s="31">
        <v>180</v>
      </c>
      <c r="BP207" s="31">
        <f t="shared" si="165"/>
        <v>397</v>
      </c>
      <c r="BQ207" s="58">
        <v>285</v>
      </c>
      <c r="BR207" s="58">
        <f>Table1[[#This Row],[Check 2 Students Total]]*Table1[[#This Row],[Summer 2018 Price Check]]</f>
        <v>113145</v>
      </c>
      <c r="BS207" s="31">
        <v>0</v>
      </c>
      <c r="BT207" s="58">
        <f>Table1[[#This Row],[Summer 2018 Price Check]]*BS207</f>
        <v>0</v>
      </c>
      <c r="BU207" s="31">
        <f>IF(Table1[[#This Row],[Sustainability Check 2 (2018-2019) Status]]="Continued", Table1[[#This Row],[Check 2 Students Fall]], 0)</f>
        <v>80</v>
      </c>
      <c r="BV207" s="58">
        <f>Table1[[#This Row],[Summer 2018 Price Check]]*BU207</f>
        <v>22800</v>
      </c>
      <c r="BW207" s="21">
        <f>IF(Table1[[#This Row],[Sustainability Check 2 (2018-2019) Status]]="Continued", Table1[Check 2 Students Spring], 0)</f>
        <v>180</v>
      </c>
      <c r="BX207" s="58">
        <f>Table1[[#This Row],[Summer 2018 Price Check]]*Table1[[#This Row],[Spring 2019 Students]]</f>
        <v>51300</v>
      </c>
      <c r="BY207" s="31">
        <f t="shared" si="166"/>
        <v>260</v>
      </c>
      <c r="BZ207" s="58">
        <f t="shared" si="167"/>
        <v>74100</v>
      </c>
      <c r="CA207" s="17" t="s">
        <v>130</v>
      </c>
      <c r="CB207" s="31">
        <v>137</v>
      </c>
      <c r="CC207" s="31">
        <v>80</v>
      </c>
      <c r="CD207" s="31">
        <v>180</v>
      </c>
      <c r="CE207" s="31">
        <f t="shared" si="168"/>
        <v>397</v>
      </c>
      <c r="CF207" s="58">
        <v>285</v>
      </c>
      <c r="CG207" s="58">
        <f t="shared" si="169"/>
        <v>113145</v>
      </c>
      <c r="CH207" s="17" t="s">
        <v>675</v>
      </c>
      <c r="CI207" s="21">
        <f>IF(Table1[[#This Row],[Check 3 Status]]="Continued", Table1[[#This Row],[Check 3 Students Summer]], 0)</f>
        <v>137</v>
      </c>
      <c r="CJ207" s="58">
        <f>Table1[[#This Row],[Check 3 Per Student Savings]]*CI207</f>
        <v>39045</v>
      </c>
      <c r="CK207" s="21">
        <f>IF(Table1[[#This Row],[Check 3 Status]]="Continued", Table1[[#This Row],[Check 3 Students Fall]], 0)</f>
        <v>80</v>
      </c>
      <c r="CL207" s="58">
        <f>Table1[[#This Row],[Check 3 Per Student Savings]]*CK207</f>
        <v>22800</v>
      </c>
      <c r="CM207" s="21">
        <f>IF(Table1[[#This Row],[Check 3 Status]]="Continued", Table1[[#This Row],[Check 3 Students Spring]], 0)</f>
        <v>180</v>
      </c>
      <c r="CN207" s="58">
        <f>Table1[[#This Row],[Check 3 Per Student Savings]]*CM207</f>
        <v>51300</v>
      </c>
      <c r="CO207" s="21">
        <f t="shared" si="170"/>
        <v>397</v>
      </c>
      <c r="CP207" s="58">
        <f t="shared" si="171"/>
        <v>113145</v>
      </c>
      <c r="CQ207" s="58" t="s">
        <v>130</v>
      </c>
      <c r="CR207" s="21">
        <v>137</v>
      </c>
      <c r="CS207" s="21">
        <v>80</v>
      </c>
      <c r="CT207" s="21">
        <v>180</v>
      </c>
      <c r="CU207" s="21">
        <f t="shared" si="172"/>
        <v>397</v>
      </c>
      <c r="CV207" s="58">
        <v>285</v>
      </c>
      <c r="CW207" s="58">
        <f t="shared" si="173"/>
        <v>113145</v>
      </c>
      <c r="CX207" s="58"/>
      <c r="CY207" s="21">
        <f>IF(Table1[[#This Row],[Check 4 Status]]="Continued", Table1[[#This Row],[Check 4 Students Summer]], 0)</f>
        <v>137</v>
      </c>
      <c r="CZ207" s="58">
        <f>Table1[[#This Row],[Check 4 Per Student Savings]]*CY207</f>
        <v>39045</v>
      </c>
      <c r="DA207" s="21">
        <f>IF(Table1[[#This Row],[Check 4 Status]]="Continued", Table1[[#This Row],[Check 4 Students Fall]], 0)</f>
        <v>80</v>
      </c>
      <c r="DB207" s="58">
        <f>Table1[[#This Row],[Check 4 Per Student Savings]]*DA207</f>
        <v>22800</v>
      </c>
      <c r="DC207" s="21">
        <f>IF(Table1[[#This Row],[Check 4 Status]]="Continued", Table1[[#This Row],[Check 4 Students Spring]], 0)</f>
        <v>180</v>
      </c>
      <c r="DD207" s="58">
        <f>Table1[[#This Row],[Check 4 Per Student Savings]]*DC207</f>
        <v>51300</v>
      </c>
      <c r="DE207" s="58">
        <f t="shared" si="174"/>
        <v>397</v>
      </c>
      <c r="DF207" s="58">
        <f t="shared" si="175"/>
        <v>113145</v>
      </c>
      <c r="DG20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1054</v>
      </c>
      <c r="DH20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300390</v>
      </c>
      <c r="DI207" s="58">
        <f>Table1[[#This Row],[Grand Total Savings]]/Table1[[#This Row],[Total Award]]</f>
        <v>10.013</v>
      </c>
      <c r="DJ207" s="17"/>
      <c r="DK207" s="17"/>
      <c r="DL207" s="17"/>
      <c r="DM207" s="17"/>
      <c r="EC207" s="17"/>
      <c r="ED207" s="17"/>
      <c r="EE207" s="17"/>
      <c r="EF207" s="17"/>
    </row>
    <row r="208" spans="1:136" x14ac:dyDescent="0.25">
      <c r="A208" s="159">
        <v>366</v>
      </c>
      <c r="B208" s="17" t="s">
        <v>2011</v>
      </c>
      <c r="D208" s="97">
        <v>514138</v>
      </c>
      <c r="E208" s="165">
        <v>43193</v>
      </c>
      <c r="F208" s="158">
        <v>43593</v>
      </c>
      <c r="G208" s="159">
        <v>11</v>
      </c>
      <c r="H208" s="95" t="s">
        <v>7</v>
      </c>
      <c r="I208" s="226" t="s">
        <v>118</v>
      </c>
      <c r="J208" s="17" t="s">
        <v>159</v>
      </c>
      <c r="K208" s="107">
        <v>30000</v>
      </c>
      <c r="L208" s="107"/>
      <c r="M208" s="101" t="s">
        <v>1022</v>
      </c>
      <c r="N208" s="101" t="s">
        <v>1023</v>
      </c>
      <c r="O208" s="101" t="s">
        <v>1024</v>
      </c>
      <c r="P208" s="101" t="s">
        <v>1025</v>
      </c>
      <c r="Q208" s="101" t="s">
        <v>641</v>
      </c>
      <c r="R208" s="101" t="s">
        <v>129</v>
      </c>
      <c r="S208" s="173" t="s">
        <v>912</v>
      </c>
      <c r="T208" s="173" t="s">
        <v>912</v>
      </c>
      <c r="U208" s="173" t="s">
        <v>912</v>
      </c>
      <c r="V208" s="17" t="s">
        <v>150</v>
      </c>
      <c r="W208" s="17" t="s">
        <v>150</v>
      </c>
      <c r="X208" s="17" t="s">
        <v>140</v>
      </c>
      <c r="Y208" s="58">
        <v>210000</v>
      </c>
      <c r="Z208" s="17">
        <v>7000</v>
      </c>
      <c r="AA208" s="58">
        <v>30</v>
      </c>
      <c r="AB208" s="21">
        <v>600</v>
      </c>
      <c r="AC208" s="21">
        <v>3200</v>
      </c>
      <c r="AD208" s="21">
        <v>3200</v>
      </c>
      <c r="AE208" s="17" t="s">
        <v>675</v>
      </c>
      <c r="AF208" s="17" t="s">
        <v>129</v>
      </c>
      <c r="AG208" s="17"/>
      <c r="AI208" s="17" t="s">
        <v>130</v>
      </c>
      <c r="AJ208" s="21">
        <v>0</v>
      </c>
      <c r="AK208" s="58">
        <v>0</v>
      </c>
      <c r="AL208" s="21">
        <v>0</v>
      </c>
      <c r="AM208" s="58">
        <f t="shared" si="160"/>
        <v>0</v>
      </c>
      <c r="AN208" s="21">
        <v>0</v>
      </c>
      <c r="AO208" s="58">
        <f t="shared" si="161"/>
        <v>0</v>
      </c>
      <c r="AP208" s="21">
        <v>0</v>
      </c>
      <c r="AQ208" s="58">
        <f t="shared" si="162"/>
        <v>0</v>
      </c>
      <c r="AR208" s="21">
        <v>0</v>
      </c>
      <c r="AS208" s="58">
        <f t="shared" si="163"/>
        <v>0</v>
      </c>
      <c r="AT208" s="21">
        <v>0</v>
      </c>
      <c r="AU208" s="58">
        <f t="shared" si="164"/>
        <v>0</v>
      </c>
      <c r="AV208" s="21">
        <v>0</v>
      </c>
      <c r="AW208" s="58">
        <v>0</v>
      </c>
      <c r="AX208" s="31">
        <v>0</v>
      </c>
      <c r="AY208" s="58">
        <v>0</v>
      </c>
      <c r="AZ208" s="31">
        <v>0</v>
      </c>
      <c r="BA208" s="58">
        <v>0</v>
      </c>
      <c r="BB208" s="31">
        <v>0</v>
      </c>
      <c r="BC208" s="58">
        <v>0</v>
      </c>
      <c r="BD208" s="31">
        <v>0</v>
      </c>
      <c r="BE208" s="58">
        <v>0</v>
      </c>
      <c r="BF208" s="31">
        <v>0</v>
      </c>
      <c r="BG208" s="58">
        <v>0</v>
      </c>
      <c r="BH208" s="31">
        <v>0</v>
      </c>
      <c r="BI208" s="58">
        <v>0</v>
      </c>
      <c r="BJ208" s="31">
        <v>0</v>
      </c>
      <c r="BK208" s="58">
        <v>0</v>
      </c>
      <c r="BL208" s="17" t="s">
        <v>130</v>
      </c>
      <c r="BM208" s="31">
        <v>600</v>
      </c>
      <c r="BN208" s="31">
        <v>3200</v>
      </c>
      <c r="BO208" s="31">
        <v>3200</v>
      </c>
      <c r="BP208" s="31">
        <f t="shared" si="165"/>
        <v>7000</v>
      </c>
      <c r="BQ208" s="58">
        <v>30</v>
      </c>
      <c r="BR208" s="58">
        <f>Table1[[#This Row],[Check 2 Students Total]]*Table1[[#This Row],[Summer 2018 Price Check]]</f>
        <v>210000</v>
      </c>
      <c r="BS208" s="31">
        <v>0</v>
      </c>
      <c r="BT208" s="58">
        <f>Table1[[#This Row],[Summer 2018 Price Check]]*BS208</f>
        <v>0</v>
      </c>
      <c r="BU208" s="31">
        <f>IF(Table1[[#This Row],[Sustainability Check 2 (2018-2019) Status]]="Continued", Table1[[#This Row],[Check 2 Students Fall]], 0)</f>
        <v>3200</v>
      </c>
      <c r="BV208" s="58">
        <f>Table1[[#This Row],[Summer 2018 Price Check]]*BU208</f>
        <v>96000</v>
      </c>
      <c r="BW208" s="21">
        <f>IF(Table1[[#This Row],[Sustainability Check 2 (2018-2019) Status]]="Continued", Table1[Check 2 Students Spring], 0)</f>
        <v>3200</v>
      </c>
      <c r="BX208" s="58">
        <f>Table1[[#This Row],[Summer 2018 Price Check]]*Table1[[#This Row],[Spring 2019 Students]]</f>
        <v>96000</v>
      </c>
      <c r="BY208" s="31">
        <f t="shared" si="166"/>
        <v>6400</v>
      </c>
      <c r="BZ208" s="58">
        <f t="shared" si="167"/>
        <v>192000</v>
      </c>
      <c r="CA208" s="17" t="s">
        <v>130</v>
      </c>
      <c r="CB208" s="31">
        <v>600</v>
      </c>
      <c r="CC208" s="31">
        <v>3200</v>
      </c>
      <c r="CD208" s="31">
        <v>3200</v>
      </c>
      <c r="CE208" s="31">
        <f t="shared" si="168"/>
        <v>7000</v>
      </c>
      <c r="CF208" s="58">
        <v>30</v>
      </c>
      <c r="CG208" s="58">
        <f t="shared" si="169"/>
        <v>210000</v>
      </c>
      <c r="CH208" s="17" t="s">
        <v>675</v>
      </c>
      <c r="CI208" s="21">
        <f>IF(Table1[[#This Row],[Check 3 Status]]="Continued", Table1[[#This Row],[Check 3 Students Summer]], 0)</f>
        <v>600</v>
      </c>
      <c r="CJ208" s="58">
        <f>Table1[[#This Row],[Check 3 Per Student Savings]]*CI208</f>
        <v>18000</v>
      </c>
      <c r="CK208" s="21">
        <f>IF(Table1[[#This Row],[Check 3 Status]]="Continued", Table1[[#This Row],[Check 3 Students Fall]], 0)</f>
        <v>3200</v>
      </c>
      <c r="CL208" s="58">
        <f>Table1[[#This Row],[Check 3 Per Student Savings]]*CK208</f>
        <v>96000</v>
      </c>
      <c r="CM208" s="21">
        <f>IF(Table1[[#This Row],[Check 3 Status]]="Continued", Table1[[#This Row],[Check 3 Students Spring]], 0)</f>
        <v>3200</v>
      </c>
      <c r="CN208" s="58">
        <f>Table1[[#This Row],[Check 3 Per Student Savings]]*CM208</f>
        <v>96000</v>
      </c>
      <c r="CO208" s="21">
        <f t="shared" si="170"/>
        <v>7000</v>
      </c>
      <c r="CP208" s="58">
        <f t="shared" si="171"/>
        <v>210000</v>
      </c>
      <c r="CQ208" s="58" t="s">
        <v>130</v>
      </c>
      <c r="CR208" s="21">
        <v>600</v>
      </c>
      <c r="CS208" s="21">
        <v>3200</v>
      </c>
      <c r="CT208" s="21">
        <v>3200</v>
      </c>
      <c r="CU208" s="21">
        <f t="shared" si="172"/>
        <v>7000</v>
      </c>
      <c r="CV208" s="58">
        <v>30</v>
      </c>
      <c r="CW208" s="58">
        <f t="shared" si="173"/>
        <v>210000</v>
      </c>
      <c r="CX208" s="58"/>
      <c r="CY208" s="21">
        <f>IF(Table1[[#This Row],[Check 4 Status]]="Continued", Table1[[#This Row],[Check 4 Students Summer]], 0)</f>
        <v>600</v>
      </c>
      <c r="CZ208" s="58">
        <f>Table1[[#This Row],[Check 4 Per Student Savings]]*CY208</f>
        <v>18000</v>
      </c>
      <c r="DA208" s="21">
        <f>IF(Table1[[#This Row],[Check 4 Status]]="Continued", Table1[[#This Row],[Check 4 Students Fall]], 0)</f>
        <v>3200</v>
      </c>
      <c r="DB208" s="58">
        <f>Table1[[#This Row],[Check 4 Per Student Savings]]*DA208</f>
        <v>96000</v>
      </c>
      <c r="DC208" s="21">
        <f>IF(Table1[[#This Row],[Check 4 Status]]="Continued", Table1[[#This Row],[Check 4 Students Spring]], 0)</f>
        <v>3200</v>
      </c>
      <c r="DD208" s="58">
        <f>Table1[[#This Row],[Check 4 Per Student Savings]]*DC208</f>
        <v>96000</v>
      </c>
      <c r="DE208" s="58">
        <f t="shared" si="174"/>
        <v>7000</v>
      </c>
      <c r="DF208" s="58">
        <f t="shared" si="175"/>
        <v>210000</v>
      </c>
      <c r="DG20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20400</v>
      </c>
      <c r="DH20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612000</v>
      </c>
      <c r="DI208" s="58">
        <f>Table1[[#This Row],[Grand Total Savings]]/Table1[[#This Row],[Total Award]]</f>
        <v>20.399999999999999</v>
      </c>
      <c r="DJ208" s="17"/>
      <c r="DK208" s="17"/>
      <c r="DL208" s="17"/>
      <c r="DM208" s="17"/>
      <c r="EC208" s="17"/>
      <c r="ED208" s="17"/>
      <c r="EE208" s="17"/>
      <c r="EF208" s="17"/>
    </row>
    <row r="209" spans="1:136" x14ac:dyDescent="0.25">
      <c r="A209" s="159">
        <v>370</v>
      </c>
      <c r="B209" s="17" t="s">
        <v>2011</v>
      </c>
      <c r="D209" s="97">
        <v>514201</v>
      </c>
      <c r="E209" s="165">
        <v>43201</v>
      </c>
      <c r="F209" s="158">
        <v>43552</v>
      </c>
      <c r="G209" s="159">
        <v>11</v>
      </c>
      <c r="H209" s="95" t="s">
        <v>7</v>
      </c>
      <c r="I209" s="226" t="s">
        <v>118</v>
      </c>
      <c r="J209" s="17" t="s">
        <v>276</v>
      </c>
      <c r="K209" s="107">
        <v>30000</v>
      </c>
      <c r="L209" s="107"/>
      <c r="M209" s="101" t="s">
        <v>1026</v>
      </c>
      <c r="N209" s="101" t="s">
        <v>1027</v>
      </c>
      <c r="O209" s="101" t="s">
        <v>298</v>
      </c>
      <c r="P209" s="101" t="s">
        <v>1028</v>
      </c>
      <c r="Q209" s="101" t="s">
        <v>192</v>
      </c>
      <c r="R209" s="101" t="s">
        <v>298</v>
      </c>
      <c r="S209" s="101" t="s">
        <v>953</v>
      </c>
      <c r="T209" s="101" t="s">
        <v>953</v>
      </c>
      <c r="U209" s="101" t="s">
        <v>953</v>
      </c>
      <c r="V209" s="17" t="s">
        <v>150</v>
      </c>
      <c r="W209" s="17" t="s">
        <v>127</v>
      </c>
      <c r="X209" s="17" t="s">
        <v>127</v>
      </c>
      <c r="Y209" s="58">
        <v>130416</v>
      </c>
      <c r="Z209" s="17">
        <v>528</v>
      </c>
      <c r="AA209" s="58">
        <v>247</v>
      </c>
      <c r="AB209" s="21">
        <v>96</v>
      </c>
      <c r="AC209" s="21">
        <v>192</v>
      </c>
      <c r="AD209" s="21">
        <v>204</v>
      </c>
      <c r="AE209" s="17" t="s">
        <v>675</v>
      </c>
      <c r="AF209" s="17" t="s">
        <v>129</v>
      </c>
      <c r="AG209" s="17"/>
      <c r="AI209" s="17" t="s">
        <v>130</v>
      </c>
      <c r="AJ209" s="21">
        <v>0</v>
      </c>
      <c r="AK209" s="58">
        <v>0</v>
      </c>
      <c r="AL209" s="21">
        <v>0</v>
      </c>
      <c r="AM209" s="58">
        <f t="shared" si="160"/>
        <v>0</v>
      </c>
      <c r="AN209" s="21">
        <v>0</v>
      </c>
      <c r="AO209" s="58">
        <f t="shared" si="161"/>
        <v>0</v>
      </c>
      <c r="AP209" s="21">
        <v>0</v>
      </c>
      <c r="AQ209" s="58">
        <f t="shared" si="162"/>
        <v>0</v>
      </c>
      <c r="AR209" s="21">
        <v>0</v>
      </c>
      <c r="AS209" s="58">
        <f t="shared" si="163"/>
        <v>0</v>
      </c>
      <c r="AT209" s="21">
        <v>0</v>
      </c>
      <c r="AU209" s="58">
        <f t="shared" si="164"/>
        <v>0</v>
      </c>
      <c r="AV209" s="21">
        <v>0</v>
      </c>
      <c r="AW209" s="58">
        <v>0</v>
      </c>
      <c r="AX209" s="31">
        <v>0</v>
      </c>
      <c r="AY209" s="58">
        <v>0</v>
      </c>
      <c r="AZ209" s="31">
        <v>0</v>
      </c>
      <c r="BA209" s="58">
        <v>0</v>
      </c>
      <c r="BB209" s="31">
        <v>0</v>
      </c>
      <c r="BC209" s="58">
        <v>0</v>
      </c>
      <c r="BD209" s="31">
        <v>0</v>
      </c>
      <c r="BE209" s="58">
        <v>0</v>
      </c>
      <c r="BF209" s="31">
        <v>0</v>
      </c>
      <c r="BG209" s="58">
        <v>0</v>
      </c>
      <c r="BH209" s="31">
        <v>0</v>
      </c>
      <c r="BI209" s="58">
        <v>0</v>
      </c>
      <c r="BJ209" s="31">
        <v>0</v>
      </c>
      <c r="BK209" s="58">
        <v>0</v>
      </c>
      <c r="BL209" s="17" t="s">
        <v>130</v>
      </c>
      <c r="BM209" s="31">
        <v>96</v>
      </c>
      <c r="BN209" s="31">
        <v>192</v>
      </c>
      <c r="BO209" s="31">
        <v>204</v>
      </c>
      <c r="BP209" s="31">
        <f t="shared" si="165"/>
        <v>492</v>
      </c>
      <c r="BQ209" s="58">
        <v>247</v>
      </c>
      <c r="BR209" s="58">
        <f>Table1[[#This Row],[Check 2 Students Total]]*Table1[[#This Row],[Summer 2018 Price Check]]</f>
        <v>121524</v>
      </c>
      <c r="BS209" s="31">
        <v>0</v>
      </c>
      <c r="BT209" s="58">
        <f>Table1[[#This Row],[Summer 2018 Price Check]]*BS209</f>
        <v>0</v>
      </c>
      <c r="BU209" s="31">
        <f>IF(Table1[[#This Row],[Sustainability Check 2 (2018-2019) Status]]="Continued", Table1[[#This Row],[Check 2 Students Fall]], 0)</f>
        <v>192</v>
      </c>
      <c r="BV209" s="58">
        <f>Table1[[#This Row],[Summer 2018 Price Check]]*BU209</f>
        <v>47424</v>
      </c>
      <c r="BW209" s="21">
        <f>IF(Table1[[#This Row],[Sustainability Check 2 (2018-2019) Status]]="Continued", Table1[Check 2 Students Spring], 0)</f>
        <v>204</v>
      </c>
      <c r="BX209" s="58">
        <f>Table1[[#This Row],[Summer 2018 Price Check]]*Table1[[#This Row],[Spring 2019 Students]]</f>
        <v>50388</v>
      </c>
      <c r="BY209" s="31">
        <f t="shared" si="166"/>
        <v>396</v>
      </c>
      <c r="BZ209" s="58">
        <f t="shared" si="167"/>
        <v>97812</v>
      </c>
      <c r="CA209" s="17" t="s">
        <v>130</v>
      </c>
      <c r="CB209" s="31">
        <v>96</v>
      </c>
      <c r="CC209" s="31">
        <v>192</v>
      </c>
      <c r="CD209" s="31">
        <v>204</v>
      </c>
      <c r="CE209" s="31">
        <f t="shared" si="168"/>
        <v>492</v>
      </c>
      <c r="CF209" s="58">
        <v>247</v>
      </c>
      <c r="CG209" s="58">
        <f t="shared" si="169"/>
        <v>121524</v>
      </c>
      <c r="CH209" s="17" t="s">
        <v>675</v>
      </c>
      <c r="CI209" s="21">
        <f>IF(Table1[[#This Row],[Check 3 Status]]="Continued", Table1[[#This Row],[Check 3 Students Summer]], 0)</f>
        <v>96</v>
      </c>
      <c r="CJ209" s="58">
        <f>Table1[[#This Row],[Check 3 Per Student Savings]]*CI209</f>
        <v>23712</v>
      </c>
      <c r="CK209" s="21">
        <f>IF(Table1[[#This Row],[Check 3 Status]]="Continued", Table1[[#This Row],[Check 3 Students Fall]], 0)</f>
        <v>192</v>
      </c>
      <c r="CL209" s="58">
        <f>Table1[[#This Row],[Check 3 Per Student Savings]]*CK209</f>
        <v>47424</v>
      </c>
      <c r="CM209" s="21">
        <f>IF(Table1[[#This Row],[Check 3 Status]]="Continued", Table1[[#This Row],[Check 3 Students Spring]], 0)</f>
        <v>204</v>
      </c>
      <c r="CN209" s="58">
        <f>Table1[[#This Row],[Check 3 Per Student Savings]]*CM209</f>
        <v>50388</v>
      </c>
      <c r="CO209" s="21">
        <f t="shared" si="170"/>
        <v>492</v>
      </c>
      <c r="CP209" s="58">
        <f t="shared" si="171"/>
        <v>121524</v>
      </c>
      <c r="CQ209" s="58" t="s">
        <v>130</v>
      </c>
      <c r="CR209" s="21">
        <v>96</v>
      </c>
      <c r="CS209" s="21">
        <v>192</v>
      </c>
      <c r="CT209" s="21">
        <v>204</v>
      </c>
      <c r="CU209" s="21">
        <f t="shared" si="172"/>
        <v>492</v>
      </c>
      <c r="CV209" s="58">
        <v>247</v>
      </c>
      <c r="CW209" s="58">
        <f t="shared" si="173"/>
        <v>121524</v>
      </c>
      <c r="CX209" s="58"/>
      <c r="CY209" s="21">
        <f>IF(Table1[[#This Row],[Check 4 Status]]="Continued", Table1[[#This Row],[Check 4 Students Summer]], 0)</f>
        <v>96</v>
      </c>
      <c r="CZ209" s="58">
        <f>Table1[[#This Row],[Check 4 Per Student Savings]]*CY209</f>
        <v>23712</v>
      </c>
      <c r="DA209" s="21">
        <f>IF(Table1[[#This Row],[Check 4 Status]]="Continued", Table1[[#This Row],[Check 4 Students Fall]], 0)</f>
        <v>192</v>
      </c>
      <c r="DB209" s="58">
        <f>Table1[[#This Row],[Check 4 Per Student Savings]]*DA209</f>
        <v>47424</v>
      </c>
      <c r="DC209" s="21">
        <f>IF(Table1[[#This Row],[Check 4 Status]]="Continued", Table1[[#This Row],[Check 4 Students Spring]], 0)</f>
        <v>204</v>
      </c>
      <c r="DD209" s="58">
        <f>Table1[[#This Row],[Check 4 Per Student Savings]]*DC209</f>
        <v>50388</v>
      </c>
      <c r="DE209" s="58">
        <f t="shared" si="174"/>
        <v>492</v>
      </c>
      <c r="DF209" s="58">
        <f t="shared" si="175"/>
        <v>121524</v>
      </c>
      <c r="DG20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1380</v>
      </c>
      <c r="DH20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340860</v>
      </c>
      <c r="DI209" s="58">
        <f>Table1[[#This Row],[Grand Total Savings]]/Table1[[#This Row],[Total Award]]</f>
        <v>11.362</v>
      </c>
      <c r="DJ209" s="17"/>
      <c r="DK209" s="17"/>
      <c r="DL209" s="17"/>
      <c r="DM209" s="17"/>
      <c r="EC209" s="17"/>
      <c r="ED209" s="17"/>
      <c r="EE209" s="17"/>
      <c r="EF209" s="17"/>
    </row>
    <row r="210" spans="1:136" x14ac:dyDescent="0.25">
      <c r="A210" s="159" t="s">
        <v>1029</v>
      </c>
      <c r="B210" s="17" t="s">
        <v>2011</v>
      </c>
      <c r="D210" s="97">
        <v>514198</v>
      </c>
      <c r="E210" s="165">
        <v>43201</v>
      </c>
      <c r="F210" s="165">
        <v>43341</v>
      </c>
      <c r="G210" s="159">
        <v>11</v>
      </c>
      <c r="H210" s="95" t="s">
        <v>7</v>
      </c>
      <c r="I210" s="17" t="s">
        <v>962</v>
      </c>
      <c r="J210" s="17" t="s">
        <v>201</v>
      </c>
      <c r="K210" s="107">
        <v>4800</v>
      </c>
      <c r="L210" s="107"/>
      <c r="M210" s="101" t="s">
        <v>1030</v>
      </c>
      <c r="N210" s="101" t="s">
        <v>382</v>
      </c>
      <c r="O210" s="101" t="s">
        <v>1031</v>
      </c>
      <c r="P210" s="101" t="s">
        <v>1032</v>
      </c>
      <c r="Q210" s="101" t="s">
        <v>1033</v>
      </c>
      <c r="R210" s="101" t="s">
        <v>129</v>
      </c>
      <c r="S210" s="173" t="s">
        <v>912</v>
      </c>
      <c r="T210" s="173" t="s">
        <v>912</v>
      </c>
      <c r="U210" s="173" t="s">
        <v>912</v>
      </c>
      <c r="V210" s="17" t="s">
        <v>140</v>
      </c>
      <c r="W210" s="17" t="s">
        <v>140</v>
      </c>
      <c r="X210" s="17" t="s">
        <v>140</v>
      </c>
      <c r="Y210" s="58">
        <v>0</v>
      </c>
      <c r="Z210" s="101">
        <v>0</v>
      </c>
      <c r="AA210" s="58">
        <v>0</v>
      </c>
      <c r="AB210" s="21">
        <v>0</v>
      </c>
      <c r="AC210" s="21">
        <v>0</v>
      </c>
      <c r="AD210" s="21">
        <v>0</v>
      </c>
      <c r="AE210" s="101">
        <v>0</v>
      </c>
      <c r="AF210" s="17" t="s">
        <v>129</v>
      </c>
      <c r="AG210" s="17"/>
      <c r="AI210" s="17" t="s">
        <v>964</v>
      </c>
      <c r="AJ210" s="21">
        <v>0</v>
      </c>
      <c r="AK210" s="31">
        <v>0</v>
      </c>
      <c r="AL210" s="21">
        <v>0</v>
      </c>
      <c r="AM210" s="31">
        <v>0</v>
      </c>
      <c r="AN210" s="21">
        <v>0</v>
      </c>
      <c r="AO210" s="31">
        <v>0</v>
      </c>
      <c r="AP210" s="21">
        <v>0</v>
      </c>
      <c r="AQ210" s="31">
        <v>0</v>
      </c>
      <c r="AR210" s="21">
        <v>0</v>
      </c>
      <c r="AS210" s="31">
        <v>0</v>
      </c>
      <c r="AT210" s="21">
        <v>0</v>
      </c>
      <c r="AU210" s="31">
        <v>0</v>
      </c>
      <c r="AV210" s="21">
        <v>0</v>
      </c>
      <c r="AW210" s="31">
        <v>0</v>
      </c>
      <c r="AX210" s="31">
        <v>0</v>
      </c>
      <c r="AY210" s="31">
        <v>0</v>
      </c>
      <c r="AZ210" s="31">
        <v>0</v>
      </c>
      <c r="BA210" s="31">
        <v>0</v>
      </c>
      <c r="BB210" s="31">
        <v>0</v>
      </c>
      <c r="BC210" s="31">
        <v>0</v>
      </c>
      <c r="BD210" s="31">
        <v>0</v>
      </c>
      <c r="BE210" s="31">
        <v>0</v>
      </c>
      <c r="BF210" s="31">
        <v>0</v>
      </c>
      <c r="BG210" s="31">
        <v>0</v>
      </c>
      <c r="BH210" s="31">
        <v>0</v>
      </c>
      <c r="BI210" s="31">
        <v>0</v>
      </c>
      <c r="BJ210" s="31">
        <v>0</v>
      </c>
      <c r="BK210" s="31">
        <v>0</v>
      </c>
      <c r="BL210" s="17" t="s">
        <v>964</v>
      </c>
      <c r="BM210" s="31">
        <v>0</v>
      </c>
      <c r="BN210" s="31">
        <v>0</v>
      </c>
      <c r="BO210" s="31">
        <v>0</v>
      </c>
      <c r="BP210" s="31">
        <v>0</v>
      </c>
      <c r="BQ210" s="31">
        <v>0</v>
      </c>
      <c r="BR210" s="31">
        <v>0</v>
      </c>
      <c r="BS210" s="31">
        <v>0</v>
      </c>
      <c r="BT210" s="31">
        <v>0</v>
      </c>
      <c r="BU210" s="31">
        <v>0</v>
      </c>
      <c r="BV210" s="31">
        <v>0</v>
      </c>
      <c r="BW210" s="21">
        <f>IF(Table1[[#This Row],[Sustainability Check 2 (2018-2019) Status]]="Continued", Table1[Check 2 Students Spring], 0)</f>
        <v>0</v>
      </c>
      <c r="BX210" s="31">
        <f>Table1[[#This Row],[Summer 2018 Price Check]]*Table1[[#This Row],[Spring 2019 Students]]</f>
        <v>0</v>
      </c>
      <c r="BY210" s="31">
        <f t="shared" si="166"/>
        <v>0</v>
      </c>
      <c r="BZ210" s="58">
        <f t="shared" si="167"/>
        <v>0</v>
      </c>
      <c r="CA210" s="17" t="s">
        <v>964</v>
      </c>
      <c r="CB210" s="21"/>
      <c r="CC210" s="21"/>
      <c r="CD210" s="21"/>
      <c r="CE210" s="21">
        <f t="shared" ref="CE210:CE228" si="176">CB210+CC210+CD210</f>
        <v>0</v>
      </c>
      <c r="CF210" s="58"/>
      <c r="CG210" s="31">
        <f t="shared" si="169"/>
        <v>0</v>
      </c>
      <c r="CH210" s="101">
        <v>0</v>
      </c>
      <c r="CI210" s="21">
        <f>IF(Table1[[#This Row],[Check 3 Status]]="Continued", Table1[[#This Row],[Check 3 Students Summer]], 0)</f>
        <v>0</v>
      </c>
      <c r="CJ210" s="31">
        <f>Table1[[#This Row],[Check 3 Per Student Savings]]*CI210</f>
        <v>0</v>
      </c>
      <c r="CK210" s="21">
        <f>IF(Table1[[#This Row],[Check 3 Status]]="Continued", Table1[[#This Row],[Check 3 Students Fall]], 0)</f>
        <v>0</v>
      </c>
      <c r="CL210" s="31">
        <f>Table1[[#This Row],[Check 3 Per Student Savings]]*CK210</f>
        <v>0</v>
      </c>
      <c r="CM210" s="21">
        <f>IF(Table1[[#This Row],[Check 3 Status]]="Continued", Table1[[#This Row],[Check 3 Students Spring]], 0)</f>
        <v>0</v>
      </c>
      <c r="CN210" s="31">
        <f>Table1[[#This Row],[Check 3 Per Student Savings]]*CM210</f>
        <v>0</v>
      </c>
      <c r="CO210" s="21">
        <f t="shared" si="170"/>
        <v>0</v>
      </c>
      <c r="CP210" s="31">
        <f t="shared" si="171"/>
        <v>0</v>
      </c>
      <c r="CQ210" s="31" t="s">
        <v>964</v>
      </c>
      <c r="CR210" s="21"/>
      <c r="CS210" s="21"/>
      <c r="CT210" s="21"/>
      <c r="CU210" s="21">
        <f t="shared" si="172"/>
        <v>0</v>
      </c>
      <c r="CW210" s="31">
        <f t="shared" si="173"/>
        <v>0</v>
      </c>
      <c r="CY210" s="21">
        <f>IF(Table1[[#This Row],[Check 4 Status]]="Continued", Table1[[#This Row],[Check 4 Students Summer]], 0)</f>
        <v>0</v>
      </c>
      <c r="CZ210" s="58">
        <f>Table1[[#This Row],[Check 4 Per Student Savings]]*CY210</f>
        <v>0</v>
      </c>
      <c r="DA210" s="21">
        <f>IF(Table1[[#This Row],[Check 4 Status]]="Continued", Table1[[#This Row],[Check 4 Students Fall]], 0)</f>
        <v>0</v>
      </c>
      <c r="DB210" s="31">
        <f>Table1[[#This Row],[Check 4 Per Student Savings]]*DA210</f>
        <v>0</v>
      </c>
      <c r="DC210" s="21">
        <f>IF(Table1[[#This Row],[Check 4 Status]]="Continued", Table1[[#This Row],[Check 4 Students Spring]], 0)</f>
        <v>0</v>
      </c>
      <c r="DD210" s="58">
        <f>Table1[[#This Row],[Check 4 Per Student Savings]]*DC210</f>
        <v>0</v>
      </c>
      <c r="DE210" s="58">
        <f t="shared" si="174"/>
        <v>0</v>
      </c>
      <c r="DF210" s="58">
        <f t="shared" si="175"/>
        <v>0</v>
      </c>
      <c r="DG21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1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10" s="58">
        <f>Table1[[#This Row],[Grand Total Savings]]/Table1[[#This Row],[Total Award]]</f>
        <v>0</v>
      </c>
      <c r="DJ210" s="17"/>
      <c r="DK210" s="17"/>
      <c r="DL210" s="17"/>
      <c r="DM210" s="17"/>
      <c r="EC210" s="17"/>
      <c r="ED210" s="17"/>
      <c r="EE210" s="17"/>
      <c r="EF210" s="17"/>
    </row>
    <row r="211" spans="1:136" x14ac:dyDescent="0.25">
      <c r="A211" s="159" t="s">
        <v>1034</v>
      </c>
      <c r="B211" s="17" t="s">
        <v>2011</v>
      </c>
      <c r="D211" s="97">
        <v>514221</v>
      </c>
      <c r="E211" s="165">
        <v>43234</v>
      </c>
      <c r="F211" s="158">
        <v>43480</v>
      </c>
      <c r="G211" s="159">
        <v>11</v>
      </c>
      <c r="H211" s="95" t="s">
        <v>7</v>
      </c>
      <c r="I211" s="17" t="s">
        <v>962</v>
      </c>
      <c r="J211" s="17" t="s">
        <v>166</v>
      </c>
      <c r="K211" s="107">
        <v>4800</v>
      </c>
      <c r="L211" s="107"/>
      <c r="M211" s="101" t="s">
        <v>1035</v>
      </c>
      <c r="N211" s="101" t="s">
        <v>464</v>
      </c>
      <c r="O211" s="101" t="s">
        <v>465</v>
      </c>
      <c r="P211" s="101" t="s">
        <v>466</v>
      </c>
      <c r="Q211" s="101" t="s">
        <v>467</v>
      </c>
      <c r="R211" s="101" t="s">
        <v>465</v>
      </c>
      <c r="S211" s="173" t="s">
        <v>912</v>
      </c>
      <c r="T211" s="173" t="s">
        <v>912</v>
      </c>
      <c r="U211" s="173" t="s">
        <v>912</v>
      </c>
      <c r="V211" s="17" t="s">
        <v>140</v>
      </c>
      <c r="W211" s="17" t="s">
        <v>140</v>
      </c>
      <c r="X211" s="17" t="s">
        <v>140</v>
      </c>
      <c r="Y211" s="58">
        <v>0</v>
      </c>
      <c r="Z211" s="101">
        <v>0</v>
      </c>
      <c r="AA211" s="58">
        <v>0</v>
      </c>
      <c r="AB211" s="21">
        <v>0</v>
      </c>
      <c r="AC211" s="21">
        <v>0</v>
      </c>
      <c r="AD211" s="21">
        <v>0</v>
      </c>
      <c r="AE211" s="101">
        <v>0</v>
      </c>
      <c r="AF211" s="17" t="s">
        <v>129</v>
      </c>
      <c r="AG211" s="17"/>
      <c r="AI211" s="17" t="s">
        <v>964</v>
      </c>
      <c r="AJ211" s="21">
        <v>0</v>
      </c>
      <c r="AK211" s="31">
        <v>0</v>
      </c>
      <c r="AL211" s="21">
        <v>0</v>
      </c>
      <c r="AM211" s="31">
        <v>0</v>
      </c>
      <c r="AN211" s="21">
        <v>0</v>
      </c>
      <c r="AO211" s="31">
        <v>0</v>
      </c>
      <c r="AP211" s="21">
        <v>0</v>
      </c>
      <c r="AQ211" s="31">
        <v>0</v>
      </c>
      <c r="AR211" s="21">
        <v>0</v>
      </c>
      <c r="AS211" s="31">
        <v>0</v>
      </c>
      <c r="AT211" s="21">
        <v>0</v>
      </c>
      <c r="AU211" s="31">
        <v>0</v>
      </c>
      <c r="AV211" s="21">
        <v>0</v>
      </c>
      <c r="AW211" s="31">
        <v>0</v>
      </c>
      <c r="AX211" s="31">
        <v>0</v>
      </c>
      <c r="AY211" s="31">
        <v>0</v>
      </c>
      <c r="AZ211" s="31">
        <v>0</v>
      </c>
      <c r="BA211" s="31">
        <v>0</v>
      </c>
      <c r="BB211" s="31">
        <v>0</v>
      </c>
      <c r="BC211" s="31">
        <v>0</v>
      </c>
      <c r="BD211" s="31">
        <v>0</v>
      </c>
      <c r="BE211" s="31">
        <v>0</v>
      </c>
      <c r="BF211" s="31">
        <v>0</v>
      </c>
      <c r="BG211" s="31">
        <v>0</v>
      </c>
      <c r="BH211" s="31">
        <v>0</v>
      </c>
      <c r="BI211" s="31">
        <v>0</v>
      </c>
      <c r="BJ211" s="31">
        <v>0</v>
      </c>
      <c r="BK211" s="31">
        <v>0</v>
      </c>
      <c r="BL211" s="17" t="s">
        <v>964</v>
      </c>
      <c r="BM211" s="31">
        <v>0</v>
      </c>
      <c r="BN211" s="31">
        <v>0</v>
      </c>
      <c r="BO211" s="31">
        <v>0</v>
      </c>
      <c r="BP211" s="31">
        <v>0</v>
      </c>
      <c r="BQ211" s="31">
        <v>0</v>
      </c>
      <c r="BR211" s="31">
        <v>0</v>
      </c>
      <c r="BS211" s="31">
        <v>0</v>
      </c>
      <c r="BT211" s="31">
        <v>0</v>
      </c>
      <c r="BU211" s="31">
        <v>0</v>
      </c>
      <c r="BV211" s="31">
        <v>0</v>
      </c>
      <c r="BW211" s="21">
        <f>IF(Table1[[#This Row],[Sustainability Check 2 (2018-2019) Status]]="Continued", Table1[Check 2 Students Spring], 0)</f>
        <v>0</v>
      </c>
      <c r="BX211" s="31">
        <f>Table1[[#This Row],[Summer 2018 Price Check]]*Table1[[#This Row],[Spring 2019 Students]]</f>
        <v>0</v>
      </c>
      <c r="BY211" s="31">
        <f t="shared" si="166"/>
        <v>0</v>
      </c>
      <c r="BZ211" s="58">
        <f t="shared" si="167"/>
        <v>0</v>
      </c>
      <c r="CA211" s="17" t="s">
        <v>964</v>
      </c>
      <c r="CB211" s="21"/>
      <c r="CC211" s="21"/>
      <c r="CD211" s="21"/>
      <c r="CE211" s="21">
        <f t="shared" si="176"/>
        <v>0</v>
      </c>
      <c r="CF211" s="58"/>
      <c r="CG211" s="31">
        <f t="shared" si="169"/>
        <v>0</v>
      </c>
      <c r="CH211" s="101">
        <v>0</v>
      </c>
      <c r="CI211" s="21">
        <f>IF(Table1[[#This Row],[Check 3 Status]]="Continued", Table1[[#This Row],[Check 3 Students Summer]], 0)</f>
        <v>0</v>
      </c>
      <c r="CJ211" s="31">
        <f>Table1[[#This Row],[Check 3 Per Student Savings]]*CI211</f>
        <v>0</v>
      </c>
      <c r="CK211" s="21">
        <f>IF(Table1[[#This Row],[Check 3 Status]]="Continued", Table1[[#This Row],[Check 3 Students Fall]], 0)</f>
        <v>0</v>
      </c>
      <c r="CL211" s="31">
        <f>Table1[[#This Row],[Check 3 Per Student Savings]]*CK211</f>
        <v>0</v>
      </c>
      <c r="CM211" s="21">
        <f>IF(Table1[[#This Row],[Check 3 Status]]="Continued", Table1[[#This Row],[Check 3 Students Spring]], 0)</f>
        <v>0</v>
      </c>
      <c r="CN211" s="31">
        <f>Table1[[#This Row],[Check 3 Per Student Savings]]*CM211</f>
        <v>0</v>
      </c>
      <c r="CO211" s="21">
        <f t="shared" si="170"/>
        <v>0</v>
      </c>
      <c r="CP211" s="31">
        <f t="shared" si="171"/>
        <v>0</v>
      </c>
      <c r="CQ211" s="31" t="s">
        <v>964</v>
      </c>
      <c r="CR211" s="21"/>
      <c r="CS211" s="21"/>
      <c r="CT211" s="21"/>
      <c r="CU211" s="21">
        <f t="shared" si="172"/>
        <v>0</v>
      </c>
      <c r="CW211" s="31">
        <f t="shared" si="173"/>
        <v>0</v>
      </c>
      <c r="CY211" s="21">
        <f>IF(Table1[[#This Row],[Check 4 Status]]="Continued", Table1[[#This Row],[Check 4 Students Summer]], 0)</f>
        <v>0</v>
      </c>
      <c r="CZ211" s="58">
        <f>Table1[[#This Row],[Check 4 Per Student Savings]]*CY211</f>
        <v>0</v>
      </c>
      <c r="DA211" s="21">
        <f>IF(Table1[[#This Row],[Check 4 Status]]="Continued", Table1[[#This Row],[Check 4 Students Fall]], 0)</f>
        <v>0</v>
      </c>
      <c r="DB211" s="31">
        <f>Table1[[#This Row],[Check 4 Per Student Savings]]*DA211</f>
        <v>0</v>
      </c>
      <c r="DC211" s="21">
        <f>IF(Table1[[#This Row],[Check 4 Status]]="Continued", Table1[[#This Row],[Check 4 Students Spring]], 0)</f>
        <v>0</v>
      </c>
      <c r="DD211" s="58">
        <f>Table1[[#This Row],[Check 4 Per Student Savings]]*DC211</f>
        <v>0</v>
      </c>
      <c r="DE211" s="58">
        <f t="shared" si="174"/>
        <v>0</v>
      </c>
      <c r="DF211" s="58">
        <f t="shared" si="175"/>
        <v>0</v>
      </c>
      <c r="DG21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1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11" s="58">
        <f>Table1[[#This Row],[Grand Total Savings]]/Table1[[#This Row],[Total Award]]</f>
        <v>0</v>
      </c>
      <c r="DJ211" s="17"/>
      <c r="DK211" s="17"/>
      <c r="DL211" s="17"/>
      <c r="DM211" s="17"/>
      <c r="EC211" s="17"/>
      <c r="ED211" s="17"/>
      <c r="EE211" s="17"/>
      <c r="EF211" s="17"/>
    </row>
    <row r="212" spans="1:136" x14ac:dyDescent="0.25">
      <c r="A212" s="159" t="s">
        <v>1036</v>
      </c>
      <c r="B212" s="17" t="s">
        <v>2011</v>
      </c>
      <c r="D212" s="97">
        <v>514148</v>
      </c>
      <c r="E212" s="165">
        <v>43193</v>
      </c>
      <c r="F212" s="165">
        <v>43333</v>
      </c>
      <c r="G212" s="159">
        <v>11</v>
      </c>
      <c r="H212" s="95" t="s">
        <v>7</v>
      </c>
      <c r="I212" s="17" t="s">
        <v>962</v>
      </c>
      <c r="J212" s="17" t="s">
        <v>276</v>
      </c>
      <c r="K212" s="107">
        <v>4400</v>
      </c>
      <c r="L212" s="107"/>
      <c r="M212" s="101" t="s">
        <v>842</v>
      </c>
      <c r="N212" s="101" t="s">
        <v>843</v>
      </c>
      <c r="O212" s="101" t="s">
        <v>780</v>
      </c>
      <c r="P212" s="101" t="s">
        <v>901</v>
      </c>
      <c r="Q212" s="101" t="s">
        <v>192</v>
      </c>
      <c r="R212" s="101" t="s">
        <v>129</v>
      </c>
      <c r="S212" s="101" t="s">
        <v>953</v>
      </c>
      <c r="T212" s="101" t="s">
        <v>953</v>
      </c>
      <c r="U212" s="101" t="s">
        <v>953</v>
      </c>
      <c r="V212" s="17" t="s">
        <v>140</v>
      </c>
      <c r="W212" s="17" t="s">
        <v>140</v>
      </c>
      <c r="X212" s="17" t="s">
        <v>140</v>
      </c>
      <c r="Y212" s="58">
        <v>0</v>
      </c>
      <c r="Z212" s="101">
        <v>0</v>
      </c>
      <c r="AA212" s="58">
        <v>0</v>
      </c>
      <c r="AB212" s="21">
        <v>0</v>
      </c>
      <c r="AC212" s="21">
        <v>0</v>
      </c>
      <c r="AD212" s="21">
        <v>0</v>
      </c>
      <c r="AE212" s="101">
        <v>0</v>
      </c>
      <c r="AF212" s="17" t="s">
        <v>129</v>
      </c>
      <c r="AG212" s="17"/>
      <c r="AI212" s="17" t="s">
        <v>964</v>
      </c>
      <c r="AJ212" s="21">
        <v>0</v>
      </c>
      <c r="AK212" s="31">
        <v>0</v>
      </c>
      <c r="AL212" s="21">
        <v>0</v>
      </c>
      <c r="AM212" s="31">
        <v>0</v>
      </c>
      <c r="AN212" s="21">
        <v>0</v>
      </c>
      <c r="AO212" s="31">
        <v>0</v>
      </c>
      <c r="AP212" s="21">
        <v>0</v>
      </c>
      <c r="AQ212" s="31">
        <v>0</v>
      </c>
      <c r="AR212" s="21">
        <v>0</v>
      </c>
      <c r="AS212" s="31">
        <v>0</v>
      </c>
      <c r="AT212" s="21">
        <v>0</v>
      </c>
      <c r="AU212" s="31">
        <v>0</v>
      </c>
      <c r="AV212" s="21">
        <v>0</v>
      </c>
      <c r="AW212" s="31">
        <v>0</v>
      </c>
      <c r="AX212" s="31">
        <v>0</v>
      </c>
      <c r="AY212" s="31">
        <v>0</v>
      </c>
      <c r="AZ212" s="31">
        <v>0</v>
      </c>
      <c r="BA212" s="31">
        <v>0</v>
      </c>
      <c r="BB212" s="31">
        <v>0</v>
      </c>
      <c r="BC212" s="31">
        <v>0</v>
      </c>
      <c r="BD212" s="31">
        <v>0</v>
      </c>
      <c r="BE212" s="31">
        <v>0</v>
      </c>
      <c r="BF212" s="31">
        <v>0</v>
      </c>
      <c r="BG212" s="31">
        <v>0</v>
      </c>
      <c r="BH212" s="31">
        <v>0</v>
      </c>
      <c r="BI212" s="31">
        <v>0</v>
      </c>
      <c r="BJ212" s="31">
        <v>0</v>
      </c>
      <c r="BK212" s="31">
        <v>0</v>
      </c>
      <c r="BL212" s="17" t="s">
        <v>964</v>
      </c>
      <c r="BM212" s="31">
        <v>0</v>
      </c>
      <c r="BN212" s="31">
        <v>0</v>
      </c>
      <c r="BO212" s="31">
        <v>0</v>
      </c>
      <c r="BP212" s="31">
        <v>0</v>
      </c>
      <c r="BQ212" s="31">
        <v>0</v>
      </c>
      <c r="BR212" s="31">
        <v>0</v>
      </c>
      <c r="BS212" s="31">
        <v>0</v>
      </c>
      <c r="BT212" s="31">
        <v>0</v>
      </c>
      <c r="BU212" s="31">
        <v>0</v>
      </c>
      <c r="BV212" s="31">
        <v>0</v>
      </c>
      <c r="BW212" s="21">
        <f>IF(Table1[[#This Row],[Sustainability Check 2 (2018-2019) Status]]="Continued", Table1[Check 2 Students Spring], 0)</f>
        <v>0</v>
      </c>
      <c r="BX212" s="31">
        <f>Table1[[#This Row],[Summer 2018 Price Check]]*Table1[[#This Row],[Spring 2019 Students]]</f>
        <v>0</v>
      </c>
      <c r="BY212" s="31">
        <f t="shared" si="166"/>
        <v>0</v>
      </c>
      <c r="BZ212" s="58">
        <f t="shared" si="167"/>
        <v>0</v>
      </c>
      <c r="CA212" s="17" t="s">
        <v>964</v>
      </c>
      <c r="CB212" s="21"/>
      <c r="CC212" s="21"/>
      <c r="CD212" s="21"/>
      <c r="CE212" s="21">
        <f t="shared" si="176"/>
        <v>0</v>
      </c>
      <c r="CF212" s="58"/>
      <c r="CG212" s="31">
        <f t="shared" si="169"/>
        <v>0</v>
      </c>
      <c r="CH212" s="101">
        <v>0</v>
      </c>
      <c r="CI212" s="21">
        <f>IF(Table1[[#This Row],[Check 3 Status]]="Continued", Table1[[#This Row],[Check 3 Students Summer]], 0)</f>
        <v>0</v>
      </c>
      <c r="CJ212" s="31">
        <f>Table1[[#This Row],[Check 3 Per Student Savings]]*CI212</f>
        <v>0</v>
      </c>
      <c r="CK212" s="21">
        <f>IF(Table1[[#This Row],[Check 3 Status]]="Continued", Table1[[#This Row],[Check 3 Students Fall]], 0)</f>
        <v>0</v>
      </c>
      <c r="CL212" s="31">
        <f>Table1[[#This Row],[Check 3 Per Student Savings]]*CK212</f>
        <v>0</v>
      </c>
      <c r="CM212" s="21">
        <f>IF(Table1[[#This Row],[Check 3 Status]]="Continued", Table1[[#This Row],[Check 3 Students Spring]], 0)</f>
        <v>0</v>
      </c>
      <c r="CN212" s="31">
        <f>Table1[[#This Row],[Check 3 Per Student Savings]]*CM212</f>
        <v>0</v>
      </c>
      <c r="CO212" s="21">
        <f t="shared" si="170"/>
        <v>0</v>
      </c>
      <c r="CP212" s="31">
        <f t="shared" si="171"/>
        <v>0</v>
      </c>
      <c r="CQ212" s="31" t="s">
        <v>964</v>
      </c>
      <c r="CR212" s="21"/>
      <c r="CS212" s="21"/>
      <c r="CT212" s="21"/>
      <c r="CU212" s="21">
        <f t="shared" si="172"/>
        <v>0</v>
      </c>
      <c r="CW212" s="31">
        <f t="shared" si="173"/>
        <v>0</v>
      </c>
      <c r="CY212" s="21">
        <f>IF(Table1[[#This Row],[Check 4 Status]]="Continued", Table1[[#This Row],[Check 4 Students Summer]], 0)</f>
        <v>0</v>
      </c>
      <c r="CZ212" s="58">
        <f>Table1[[#This Row],[Check 4 Per Student Savings]]*CY212</f>
        <v>0</v>
      </c>
      <c r="DA212" s="21">
        <f>IF(Table1[[#This Row],[Check 4 Status]]="Continued", Table1[[#This Row],[Check 4 Students Fall]], 0)</f>
        <v>0</v>
      </c>
      <c r="DB212" s="31">
        <f>Table1[[#This Row],[Check 4 Per Student Savings]]*DA212</f>
        <v>0</v>
      </c>
      <c r="DC212" s="21">
        <f>IF(Table1[[#This Row],[Check 4 Status]]="Continued", Table1[[#This Row],[Check 4 Students Spring]], 0)</f>
        <v>0</v>
      </c>
      <c r="DD212" s="58">
        <f>Table1[[#This Row],[Check 4 Per Student Savings]]*DC212</f>
        <v>0</v>
      </c>
      <c r="DE212" s="58">
        <f t="shared" si="174"/>
        <v>0</v>
      </c>
      <c r="DF212" s="58">
        <f t="shared" si="175"/>
        <v>0</v>
      </c>
      <c r="DG21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1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12" s="58">
        <f>Table1[[#This Row],[Grand Total Savings]]/Table1[[#This Row],[Total Award]]</f>
        <v>0</v>
      </c>
      <c r="DJ212" s="17"/>
      <c r="DK212" s="17"/>
      <c r="DL212" s="17"/>
      <c r="DM212" s="17"/>
      <c r="EC212" s="17"/>
      <c r="ED212" s="17"/>
      <c r="EE212" s="17"/>
      <c r="EF212" s="17"/>
    </row>
    <row r="213" spans="1:136" x14ac:dyDescent="0.25">
      <c r="A213" s="157" t="s">
        <v>1037</v>
      </c>
      <c r="B213" s="17" t="s">
        <v>2011</v>
      </c>
      <c r="D213" s="97">
        <v>514199</v>
      </c>
      <c r="E213" s="165">
        <v>43201</v>
      </c>
      <c r="F213" s="158">
        <v>43479</v>
      </c>
      <c r="G213" s="159">
        <v>11</v>
      </c>
      <c r="H213" s="95" t="s">
        <v>7</v>
      </c>
      <c r="I213" s="17" t="s">
        <v>962</v>
      </c>
      <c r="J213" s="17" t="s">
        <v>499</v>
      </c>
      <c r="K213" s="107">
        <v>2800</v>
      </c>
      <c r="L213" s="107"/>
      <c r="M213" s="101" t="s">
        <v>1038</v>
      </c>
      <c r="N213" s="101" t="s">
        <v>1039</v>
      </c>
      <c r="O213" s="101" t="s">
        <v>613</v>
      </c>
      <c r="P213" s="101" t="s">
        <v>599</v>
      </c>
      <c r="Q213" s="101" t="s">
        <v>272</v>
      </c>
      <c r="R213" s="101" t="s">
        <v>1040</v>
      </c>
      <c r="S213" s="173" t="s">
        <v>912</v>
      </c>
      <c r="T213" s="173" t="s">
        <v>912</v>
      </c>
      <c r="U213" s="173" t="s">
        <v>912</v>
      </c>
      <c r="V213" s="17" t="s">
        <v>140</v>
      </c>
      <c r="W213" s="17" t="s">
        <v>140</v>
      </c>
      <c r="X213" s="17" t="s">
        <v>140</v>
      </c>
      <c r="Y213" s="58">
        <v>0</v>
      </c>
      <c r="Z213" s="101">
        <v>0</v>
      </c>
      <c r="AA213" s="58">
        <v>0</v>
      </c>
      <c r="AB213" s="21">
        <v>0</v>
      </c>
      <c r="AC213" s="21">
        <v>0</v>
      </c>
      <c r="AD213" s="21">
        <v>0</v>
      </c>
      <c r="AE213" s="101">
        <v>0</v>
      </c>
      <c r="AF213" s="17" t="s">
        <v>129</v>
      </c>
      <c r="AG213" s="17"/>
      <c r="AI213" s="17" t="s">
        <v>964</v>
      </c>
      <c r="AJ213" s="21">
        <v>0</v>
      </c>
      <c r="AK213" s="31">
        <v>0</v>
      </c>
      <c r="AL213" s="21">
        <v>0</v>
      </c>
      <c r="AM213" s="31">
        <v>0</v>
      </c>
      <c r="AN213" s="21">
        <v>0</v>
      </c>
      <c r="AO213" s="31">
        <v>0</v>
      </c>
      <c r="AP213" s="21">
        <v>0</v>
      </c>
      <c r="AQ213" s="31">
        <v>0</v>
      </c>
      <c r="AR213" s="21">
        <v>0</v>
      </c>
      <c r="AS213" s="31">
        <v>0</v>
      </c>
      <c r="AT213" s="21">
        <v>0</v>
      </c>
      <c r="AU213" s="31">
        <v>0</v>
      </c>
      <c r="AV213" s="21">
        <v>0</v>
      </c>
      <c r="AW213" s="31">
        <v>0</v>
      </c>
      <c r="AX213" s="31">
        <v>0</v>
      </c>
      <c r="AY213" s="31">
        <v>0</v>
      </c>
      <c r="AZ213" s="31">
        <v>0</v>
      </c>
      <c r="BA213" s="31">
        <v>0</v>
      </c>
      <c r="BB213" s="31">
        <v>0</v>
      </c>
      <c r="BC213" s="31">
        <v>0</v>
      </c>
      <c r="BD213" s="31">
        <v>0</v>
      </c>
      <c r="BE213" s="31">
        <v>0</v>
      </c>
      <c r="BF213" s="31">
        <v>0</v>
      </c>
      <c r="BG213" s="31">
        <v>0</v>
      </c>
      <c r="BH213" s="31">
        <v>0</v>
      </c>
      <c r="BI213" s="31">
        <v>0</v>
      </c>
      <c r="BJ213" s="31">
        <v>0</v>
      </c>
      <c r="BK213" s="31">
        <v>0</v>
      </c>
      <c r="BL213" s="17" t="s">
        <v>964</v>
      </c>
      <c r="BM213" s="31">
        <v>0</v>
      </c>
      <c r="BN213" s="31">
        <v>0</v>
      </c>
      <c r="BO213" s="31">
        <v>0</v>
      </c>
      <c r="BP213" s="31">
        <v>0</v>
      </c>
      <c r="BQ213" s="31">
        <v>0</v>
      </c>
      <c r="BR213" s="31">
        <v>0</v>
      </c>
      <c r="BS213" s="31">
        <v>0</v>
      </c>
      <c r="BT213" s="31">
        <v>0</v>
      </c>
      <c r="BU213" s="31">
        <v>0</v>
      </c>
      <c r="BV213" s="31">
        <v>0</v>
      </c>
      <c r="BW213" s="21">
        <f>IF(Table1[[#This Row],[Sustainability Check 2 (2018-2019) Status]]="Continued", Table1[Check 2 Students Spring], 0)</f>
        <v>0</v>
      </c>
      <c r="BX213" s="31">
        <f>Table1[[#This Row],[Summer 2018 Price Check]]*Table1[[#This Row],[Spring 2019 Students]]</f>
        <v>0</v>
      </c>
      <c r="BY213" s="31">
        <f t="shared" si="166"/>
        <v>0</v>
      </c>
      <c r="BZ213" s="58">
        <f t="shared" si="167"/>
        <v>0</v>
      </c>
      <c r="CA213" s="17" t="s">
        <v>964</v>
      </c>
      <c r="CB213" s="21"/>
      <c r="CC213" s="21"/>
      <c r="CD213" s="21"/>
      <c r="CE213" s="21">
        <f t="shared" si="176"/>
        <v>0</v>
      </c>
      <c r="CF213" s="58"/>
      <c r="CG213" s="31">
        <f t="shared" si="169"/>
        <v>0</v>
      </c>
      <c r="CH213" s="101">
        <v>0</v>
      </c>
      <c r="CI213" s="21">
        <f>IF(Table1[[#This Row],[Check 3 Status]]="Continued", Table1[[#This Row],[Check 3 Students Summer]], 0)</f>
        <v>0</v>
      </c>
      <c r="CJ213" s="31">
        <f>Table1[[#This Row],[Check 3 Per Student Savings]]*CI213</f>
        <v>0</v>
      </c>
      <c r="CK213" s="21">
        <f>IF(Table1[[#This Row],[Check 3 Status]]="Continued", Table1[[#This Row],[Check 3 Students Fall]], 0)</f>
        <v>0</v>
      </c>
      <c r="CL213" s="31">
        <f>Table1[[#This Row],[Check 3 Per Student Savings]]*CK213</f>
        <v>0</v>
      </c>
      <c r="CM213" s="21">
        <f>IF(Table1[[#This Row],[Check 3 Status]]="Continued", Table1[[#This Row],[Check 3 Students Spring]], 0)</f>
        <v>0</v>
      </c>
      <c r="CN213" s="31">
        <f>Table1[[#This Row],[Check 3 Per Student Savings]]*CM213</f>
        <v>0</v>
      </c>
      <c r="CO213" s="21">
        <f t="shared" si="170"/>
        <v>0</v>
      </c>
      <c r="CP213" s="31">
        <f t="shared" si="171"/>
        <v>0</v>
      </c>
      <c r="CQ213" s="31" t="s">
        <v>964</v>
      </c>
      <c r="CR213" s="21"/>
      <c r="CS213" s="21"/>
      <c r="CT213" s="21"/>
      <c r="CU213" s="21">
        <f t="shared" si="172"/>
        <v>0</v>
      </c>
      <c r="CW213" s="31">
        <f t="shared" si="173"/>
        <v>0</v>
      </c>
      <c r="CY213" s="21">
        <f>IF(Table1[[#This Row],[Check 4 Status]]="Continued", Table1[[#This Row],[Check 4 Students Summer]], 0)</f>
        <v>0</v>
      </c>
      <c r="CZ213" s="58">
        <f>Table1[[#This Row],[Check 4 Per Student Savings]]*CY213</f>
        <v>0</v>
      </c>
      <c r="DA213" s="21">
        <f>IF(Table1[[#This Row],[Check 4 Status]]="Continued", Table1[[#This Row],[Check 4 Students Fall]], 0)</f>
        <v>0</v>
      </c>
      <c r="DB213" s="31">
        <f>Table1[[#This Row],[Check 4 Per Student Savings]]*DA213</f>
        <v>0</v>
      </c>
      <c r="DC213" s="21">
        <f>IF(Table1[[#This Row],[Check 4 Status]]="Continued", Table1[[#This Row],[Check 4 Students Spring]], 0)</f>
        <v>0</v>
      </c>
      <c r="DD213" s="58">
        <f>Table1[[#This Row],[Check 4 Per Student Savings]]*DC213</f>
        <v>0</v>
      </c>
      <c r="DE213" s="58">
        <f t="shared" si="174"/>
        <v>0</v>
      </c>
      <c r="DF213" s="58">
        <f t="shared" si="175"/>
        <v>0</v>
      </c>
      <c r="DG21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1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13" s="58">
        <f>Table1[[#This Row],[Grand Total Savings]]/Table1[[#This Row],[Total Award]]</f>
        <v>0</v>
      </c>
      <c r="DJ213" s="17"/>
      <c r="DK213" s="17"/>
      <c r="DL213" s="17"/>
      <c r="DM213" s="17"/>
      <c r="EC213" s="17"/>
      <c r="ED213" s="17"/>
      <c r="EE213" s="17"/>
      <c r="EF213" s="17"/>
    </row>
    <row r="214" spans="1:136" x14ac:dyDescent="0.25">
      <c r="A214" s="159" t="s">
        <v>1041</v>
      </c>
      <c r="B214" s="17" t="s">
        <v>2011</v>
      </c>
      <c r="D214" s="97">
        <v>514131</v>
      </c>
      <c r="E214" s="165">
        <v>43193</v>
      </c>
      <c r="F214" s="165">
        <v>43333</v>
      </c>
      <c r="G214" s="159">
        <v>11</v>
      </c>
      <c r="H214" s="95" t="s">
        <v>7</v>
      </c>
      <c r="I214" s="17" t="s">
        <v>962</v>
      </c>
      <c r="J214" s="17" t="s">
        <v>166</v>
      </c>
      <c r="K214" s="107">
        <v>4800</v>
      </c>
      <c r="L214" s="107"/>
      <c r="M214" s="101" t="s">
        <v>167</v>
      </c>
      <c r="N214" s="101" t="s">
        <v>168</v>
      </c>
      <c r="O214" s="101" t="s">
        <v>357</v>
      </c>
      <c r="P214" s="101" t="s">
        <v>358</v>
      </c>
      <c r="Q214" s="101" t="s">
        <v>156</v>
      </c>
      <c r="R214" s="101" t="s">
        <v>129</v>
      </c>
      <c r="S214" s="173" t="s">
        <v>912</v>
      </c>
      <c r="T214" s="173" t="s">
        <v>912</v>
      </c>
      <c r="U214" s="173" t="s">
        <v>912</v>
      </c>
      <c r="V214" s="17" t="s">
        <v>140</v>
      </c>
      <c r="W214" s="17" t="s">
        <v>140</v>
      </c>
      <c r="X214" s="17" t="s">
        <v>140</v>
      </c>
      <c r="Y214" s="58">
        <v>0</v>
      </c>
      <c r="Z214" s="101">
        <v>0</v>
      </c>
      <c r="AA214" s="58">
        <v>0</v>
      </c>
      <c r="AB214" s="21">
        <v>0</v>
      </c>
      <c r="AC214" s="21">
        <v>0</v>
      </c>
      <c r="AD214" s="21">
        <v>0</v>
      </c>
      <c r="AE214" s="101">
        <v>0</v>
      </c>
      <c r="AF214" s="17" t="s">
        <v>129</v>
      </c>
      <c r="AG214" s="17"/>
      <c r="AI214" s="17" t="s">
        <v>964</v>
      </c>
      <c r="AJ214" s="21">
        <v>0</v>
      </c>
      <c r="AK214" s="31">
        <v>0</v>
      </c>
      <c r="AL214" s="21">
        <v>0</v>
      </c>
      <c r="AM214" s="31">
        <v>0</v>
      </c>
      <c r="AN214" s="21">
        <v>0</v>
      </c>
      <c r="AO214" s="31">
        <v>0</v>
      </c>
      <c r="AP214" s="21">
        <v>0</v>
      </c>
      <c r="AQ214" s="31">
        <v>0</v>
      </c>
      <c r="AR214" s="21">
        <v>0</v>
      </c>
      <c r="AS214" s="31">
        <v>0</v>
      </c>
      <c r="AT214" s="21">
        <v>0</v>
      </c>
      <c r="AU214" s="31">
        <v>0</v>
      </c>
      <c r="AV214" s="21">
        <v>0</v>
      </c>
      <c r="AW214" s="31">
        <v>0</v>
      </c>
      <c r="AX214" s="31">
        <v>0</v>
      </c>
      <c r="AY214" s="31">
        <v>0</v>
      </c>
      <c r="AZ214" s="31">
        <v>0</v>
      </c>
      <c r="BA214" s="31">
        <v>0</v>
      </c>
      <c r="BB214" s="31">
        <v>0</v>
      </c>
      <c r="BC214" s="31">
        <v>0</v>
      </c>
      <c r="BD214" s="31">
        <v>0</v>
      </c>
      <c r="BE214" s="31">
        <v>0</v>
      </c>
      <c r="BF214" s="31">
        <v>0</v>
      </c>
      <c r="BG214" s="31">
        <v>0</v>
      </c>
      <c r="BH214" s="31">
        <v>0</v>
      </c>
      <c r="BI214" s="31">
        <v>0</v>
      </c>
      <c r="BJ214" s="31">
        <v>0</v>
      </c>
      <c r="BK214" s="31">
        <v>0</v>
      </c>
      <c r="BL214" s="17" t="s">
        <v>964</v>
      </c>
      <c r="BM214" s="31">
        <v>0</v>
      </c>
      <c r="BN214" s="31">
        <v>0</v>
      </c>
      <c r="BO214" s="31">
        <v>0</v>
      </c>
      <c r="BP214" s="31">
        <v>0</v>
      </c>
      <c r="BQ214" s="31">
        <v>0</v>
      </c>
      <c r="BR214" s="31">
        <v>0</v>
      </c>
      <c r="BS214" s="31">
        <v>0</v>
      </c>
      <c r="BT214" s="31">
        <v>0</v>
      </c>
      <c r="BU214" s="31">
        <v>0</v>
      </c>
      <c r="BV214" s="31">
        <v>0</v>
      </c>
      <c r="BW214" s="21">
        <f>IF(Table1[[#This Row],[Sustainability Check 2 (2018-2019) Status]]="Continued", Table1[Check 2 Students Spring], 0)</f>
        <v>0</v>
      </c>
      <c r="BX214" s="31">
        <f>Table1[[#This Row],[Summer 2018 Price Check]]*Table1[[#This Row],[Spring 2019 Students]]</f>
        <v>0</v>
      </c>
      <c r="BY214" s="31">
        <f t="shared" si="166"/>
        <v>0</v>
      </c>
      <c r="BZ214" s="58">
        <f t="shared" si="167"/>
        <v>0</v>
      </c>
      <c r="CA214" s="17" t="s">
        <v>964</v>
      </c>
      <c r="CB214" s="21"/>
      <c r="CC214" s="21"/>
      <c r="CD214" s="21"/>
      <c r="CE214" s="21">
        <f t="shared" si="176"/>
        <v>0</v>
      </c>
      <c r="CF214" s="58"/>
      <c r="CG214" s="31">
        <f t="shared" si="169"/>
        <v>0</v>
      </c>
      <c r="CH214" s="101">
        <v>0</v>
      </c>
      <c r="CI214" s="21">
        <f>IF(Table1[[#This Row],[Check 3 Status]]="Continued", Table1[[#This Row],[Check 3 Students Summer]], 0)</f>
        <v>0</v>
      </c>
      <c r="CJ214" s="31">
        <f>Table1[[#This Row],[Check 3 Per Student Savings]]*CI214</f>
        <v>0</v>
      </c>
      <c r="CK214" s="21">
        <f>IF(Table1[[#This Row],[Check 3 Status]]="Continued", Table1[[#This Row],[Check 3 Students Fall]], 0)</f>
        <v>0</v>
      </c>
      <c r="CL214" s="31">
        <f>Table1[[#This Row],[Check 3 Per Student Savings]]*CK214</f>
        <v>0</v>
      </c>
      <c r="CM214" s="21">
        <f>IF(Table1[[#This Row],[Check 3 Status]]="Continued", Table1[[#This Row],[Check 3 Students Spring]], 0)</f>
        <v>0</v>
      </c>
      <c r="CN214" s="31">
        <f>Table1[[#This Row],[Check 3 Per Student Savings]]*CM214</f>
        <v>0</v>
      </c>
      <c r="CO214" s="21">
        <f t="shared" si="170"/>
        <v>0</v>
      </c>
      <c r="CP214" s="31">
        <f t="shared" si="171"/>
        <v>0</v>
      </c>
      <c r="CQ214" s="31" t="s">
        <v>964</v>
      </c>
      <c r="CR214" s="21"/>
      <c r="CS214" s="21"/>
      <c r="CT214" s="21"/>
      <c r="CU214" s="21">
        <f t="shared" si="172"/>
        <v>0</v>
      </c>
      <c r="CW214" s="31">
        <f t="shared" si="173"/>
        <v>0</v>
      </c>
      <c r="CY214" s="21">
        <f>IF(Table1[[#This Row],[Check 4 Status]]="Continued", Table1[[#This Row],[Check 4 Students Summer]], 0)</f>
        <v>0</v>
      </c>
      <c r="CZ214" s="58">
        <f>Table1[[#This Row],[Check 4 Per Student Savings]]*CY214</f>
        <v>0</v>
      </c>
      <c r="DA214" s="21">
        <f>IF(Table1[[#This Row],[Check 4 Status]]="Continued", Table1[[#This Row],[Check 4 Students Fall]], 0)</f>
        <v>0</v>
      </c>
      <c r="DB214" s="31">
        <f>Table1[[#This Row],[Check 4 Per Student Savings]]*DA214</f>
        <v>0</v>
      </c>
      <c r="DC214" s="21">
        <f>IF(Table1[[#This Row],[Check 4 Status]]="Continued", Table1[[#This Row],[Check 4 Students Spring]], 0)</f>
        <v>0</v>
      </c>
      <c r="DD214" s="58">
        <f>Table1[[#This Row],[Check 4 Per Student Savings]]*DC214</f>
        <v>0</v>
      </c>
      <c r="DE214" s="58">
        <f t="shared" si="174"/>
        <v>0</v>
      </c>
      <c r="DF214" s="58">
        <f t="shared" si="175"/>
        <v>0</v>
      </c>
      <c r="DG21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1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14" s="58">
        <f>Table1[[#This Row],[Grand Total Savings]]/Table1[[#This Row],[Total Award]]</f>
        <v>0</v>
      </c>
      <c r="DJ214" s="17"/>
      <c r="DK214" s="17"/>
      <c r="DL214" s="17"/>
      <c r="DM214" s="17"/>
      <c r="EC214" s="17"/>
      <c r="ED214" s="17"/>
      <c r="EE214" s="17"/>
      <c r="EF214" s="17"/>
    </row>
    <row r="215" spans="1:136" x14ac:dyDescent="0.25">
      <c r="A215" s="159" t="s">
        <v>1042</v>
      </c>
      <c r="B215" s="17" t="s">
        <v>2011</v>
      </c>
      <c r="D215" s="97">
        <v>514132</v>
      </c>
      <c r="E215" s="165">
        <v>43200</v>
      </c>
      <c r="F215" s="158">
        <v>43472</v>
      </c>
      <c r="G215" s="159">
        <v>11</v>
      </c>
      <c r="H215" s="95" t="s">
        <v>7</v>
      </c>
      <c r="I215" s="17" t="s">
        <v>962</v>
      </c>
      <c r="J215" s="17" t="s">
        <v>172</v>
      </c>
      <c r="K215" s="107">
        <v>4800</v>
      </c>
      <c r="L215" s="107"/>
      <c r="M215" s="101" t="s">
        <v>1043</v>
      </c>
      <c r="N215" s="101" t="s">
        <v>1044</v>
      </c>
      <c r="O215" s="101" t="s">
        <v>454</v>
      </c>
      <c r="P215" s="101" t="s">
        <v>455</v>
      </c>
      <c r="Q215" s="101" t="s">
        <v>456</v>
      </c>
      <c r="R215" s="101" t="s">
        <v>454</v>
      </c>
      <c r="S215" s="173" t="s">
        <v>912</v>
      </c>
      <c r="T215" s="173" t="s">
        <v>912</v>
      </c>
      <c r="U215" s="173" t="s">
        <v>912</v>
      </c>
      <c r="V215" s="17" t="s">
        <v>140</v>
      </c>
      <c r="W215" s="17" t="s">
        <v>140</v>
      </c>
      <c r="X215" s="17" t="s">
        <v>140</v>
      </c>
      <c r="Y215" s="58">
        <v>0</v>
      </c>
      <c r="Z215" s="101">
        <v>0</v>
      </c>
      <c r="AA215" s="58">
        <v>0</v>
      </c>
      <c r="AB215" s="21">
        <v>0</v>
      </c>
      <c r="AC215" s="21">
        <v>0</v>
      </c>
      <c r="AD215" s="21">
        <v>0</v>
      </c>
      <c r="AE215" s="101">
        <v>0</v>
      </c>
      <c r="AF215" s="17" t="s">
        <v>129</v>
      </c>
      <c r="AG215" s="17"/>
      <c r="AI215" s="17" t="s">
        <v>964</v>
      </c>
      <c r="AJ215" s="21">
        <v>0</v>
      </c>
      <c r="AK215" s="31">
        <v>0</v>
      </c>
      <c r="AL215" s="21">
        <v>0</v>
      </c>
      <c r="AM215" s="31">
        <v>0</v>
      </c>
      <c r="AN215" s="21">
        <v>0</v>
      </c>
      <c r="AO215" s="31">
        <v>0</v>
      </c>
      <c r="AP215" s="21">
        <v>0</v>
      </c>
      <c r="AQ215" s="31">
        <v>0</v>
      </c>
      <c r="AR215" s="21">
        <v>0</v>
      </c>
      <c r="AS215" s="31">
        <v>0</v>
      </c>
      <c r="AT215" s="21">
        <v>0</v>
      </c>
      <c r="AU215" s="31">
        <v>0</v>
      </c>
      <c r="AV215" s="21">
        <v>0</v>
      </c>
      <c r="AW215" s="31">
        <v>0</v>
      </c>
      <c r="AX215" s="31">
        <v>0</v>
      </c>
      <c r="AY215" s="31">
        <v>0</v>
      </c>
      <c r="AZ215" s="31">
        <v>0</v>
      </c>
      <c r="BA215" s="31">
        <v>0</v>
      </c>
      <c r="BB215" s="31">
        <v>0</v>
      </c>
      <c r="BC215" s="31">
        <v>0</v>
      </c>
      <c r="BD215" s="31">
        <v>0</v>
      </c>
      <c r="BE215" s="31">
        <v>0</v>
      </c>
      <c r="BF215" s="31">
        <v>0</v>
      </c>
      <c r="BG215" s="31">
        <v>0</v>
      </c>
      <c r="BH215" s="31">
        <v>0</v>
      </c>
      <c r="BI215" s="31">
        <v>0</v>
      </c>
      <c r="BJ215" s="31">
        <v>0</v>
      </c>
      <c r="BK215" s="31">
        <v>0</v>
      </c>
      <c r="BL215" s="17" t="s">
        <v>964</v>
      </c>
      <c r="BM215" s="31">
        <v>0</v>
      </c>
      <c r="BN215" s="31">
        <v>0</v>
      </c>
      <c r="BO215" s="31">
        <v>0</v>
      </c>
      <c r="BP215" s="31">
        <v>0</v>
      </c>
      <c r="BQ215" s="31">
        <v>0</v>
      </c>
      <c r="BR215" s="31">
        <v>0</v>
      </c>
      <c r="BS215" s="31">
        <v>0</v>
      </c>
      <c r="BT215" s="31">
        <v>0</v>
      </c>
      <c r="BU215" s="31">
        <v>0</v>
      </c>
      <c r="BV215" s="31">
        <v>0</v>
      </c>
      <c r="BW215" s="21">
        <f>IF(Table1[[#This Row],[Sustainability Check 2 (2018-2019) Status]]="Continued", Table1[Check 2 Students Spring], 0)</f>
        <v>0</v>
      </c>
      <c r="BX215" s="31">
        <f>Table1[[#This Row],[Summer 2018 Price Check]]*Table1[[#This Row],[Spring 2019 Students]]</f>
        <v>0</v>
      </c>
      <c r="BY215" s="31">
        <f t="shared" si="166"/>
        <v>0</v>
      </c>
      <c r="BZ215" s="58">
        <f t="shared" si="167"/>
        <v>0</v>
      </c>
      <c r="CA215" s="17" t="s">
        <v>964</v>
      </c>
      <c r="CB215" s="21"/>
      <c r="CC215" s="21"/>
      <c r="CD215" s="21"/>
      <c r="CE215" s="21">
        <f t="shared" si="176"/>
        <v>0</v>
      </c>
      <c r="CF215" s="58"/>
      <c r="CG215" s="31">
        <f t="shared" si="169"/>
        <v>0</v>
      </c>
      <c r="CH215" s="101">
        <v>0</v>
      </c>
      <c r="CI215" s="21">
        <f>IF(Table1[[#This Row],[Check 3 Status]]="Continued", Table1[[#This Row],[Check 3 Students Summer]], 0)</f>
        <v>0</v>
      </c>
      <c r="CJ215" s="31">
        <f>Table1[[#This Row],[Check 3 Per Student Savings]]*CI215</f>
        <v>0</v>
      </c>
      <c r="CK215" s="21">
        <f>IF(Table1[[#This Row],[Check 3 Status]]="Continued", Table1[[#This Row],[Check 3 Students Fall]], 0)</f>
        <v>0</v>
      </c>
      <c r="CL215" s="31">
        <f>Table1[[#This Row],[Check 3 Per Student Savings]]*CK215</f>
        <v>0</v>
      </c>
      <c r="CM215" s="21">
        <f>IF(Table1[[#This Row],[Check 3 Status]]="Continued", Table1[[#This Row],[Check 3 Students Spring]], 0)</f>
        <v>0</v>
      </c>
      <c r="CN215" s="31">
        <f>Table1[[#This Row],[Check 3 Per Student Savings]]*CM215</f>
        <v>0</v>
      </c>
      <c r="CO215" s="21">
        <f t="shared" si="170"/>
        <v>0</v>
      </c>
      <c r="CP215" s="31">
        <f t="shared" si="171"/>
        <v>0</v>
      </c>
      <c r="CQ215" s="31" t="s">
        <v>964</v>
      </c>
      <c r="CR215" s="21"/>
      <c r="CS215" s="21"/>
      <c r="CT215" s="21"/>
      <c r="CU215" s="21">
        <f t="shared" si="172"/>
        <v>0</v>
      </c>
      <c r="CW215" s="31">
        <f t="shared" si="173"/>
        <v>0</v>
      </c>
      <c r="CY215" s="21">
        <f>IF(Table1[[#This Row],[Check 4 Status]]="Continued", Table1[[#This Row],[Check 4 Students Summer]], 0)</f>
        <v>0</v>
      </c>
      <c r="CZ215" s="58">
        <f>Table1[[#This Row],[Check 4 Per Student Savings]]*CY215</f>
        <v>0</v>
      </c>
      <c r="DA215" s="21">
        <f>IF(Table1[[#This Row],[Check 4 Status]]="Continued", Table1[[#This Row],[Check 4 Students Fall]], 0)</f>
        <v>0</v>
      </c>
      <c r="DB215" s="31">
        <f>Table1[[#This Row],[Check 4 Per Student Savings]]*DA215</f>
        <v>0</v>
      </c>
      <c r="DC215" s="21">
        <f>IF(Table1[[#This Row],[Check 4 Status]]="Continued", Table1[[#This Row],[Check 4 Students Spring]], 0)</f>
        <v>0</v>
      </c>
      <c r="DD215" s="58">
        <f>Table1[[#This Row],[Check 4 Per Student Savings]]*DC215</f>
        <v>0</v>
      </c>
      <c r="DE215" s="58">
        <f t="shared" si="174"/>
        <v>0</v>
      </c>
      <c r="DF215" s="58">
        <f t="shared" si="175"/>
        <v>0</v>
      </c>
      <c r="DG21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1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15" s="58">
        <f>Table1[[#This Row],[Grand Total Savings]]/Table1[[#This Row],[Total Award]]</f>
        <v>0</v>
      </c>
      <c r="DJ215" s="17"/>
      <c r="DK215" s="17"/>
      <c r="DL215" s="17"/>
      <c r="DM215" s="17"/>
      <c r="EC215" s="17"/>
      <c r="ED215" s="17"/>
      <c r="EE215" s="17"/>
      <c r="EF215" s="17"/>
    </row>
    <row r="216" spans="1:136" x14ac:dyDescent="0.25">
      <c r="A216" s="159" t="s">
        <v>1045</v>
      </c>
      <c r="B216" s="17" t="s">
        <v>2011</v>
      </c>
      <c r="D216" s="97">
        <v>514140</v>
      </c>
      <c r="E216" s="165">
        <v>43193</v>
      </c>
      <c r="F216" s="158">
        <v>43479</v>
      </c>
      <c r="G216" s="159">
        <v>11</v>
      </c>
      <c r="H216" s="95" t="s">
        <v>7</v>
      </c>
      <c r="I216" s="17" t="s">
        <v>962</v>
      </c>
      <c r="J216" s="17" t="s">
        <v>499</v>
      </c>
      <c r="K216" s="107">
        <v>4800</v>
      </c>
      <c r="L216" s="107"/>
      <c r="M216" s="101" t="s">
        <v>791</v>
      </c>
      <c r="N216" s="101" t="s">
        <v>792</v>
      </c>
      <c r="O216" s="101" t="s">
        <v>793</v>
      </c>
      <c r="P216" s="101" t="s">
        <v>794</v>
      </c>
      <c r="Q216" s="101" t="s">
        <v>776</v>
      </c>
      <c r="R216" s="101" t="s">
        <v>793</v>
      </c>
      <c r="S216" s="173" t="s">
        <v>912</v>
      </c>
      <c r="T216" s="173" t="s">
        <v>912</v>
      </c>
      <c r="U216" s="173" t="s">
        <v>912</v>
      </c>
      <c r="V216" s="17" t="s">
        <v>140</v>
      </c>
      <c r="W216" s="17" t="s">
        <v>140</v>
      </c>
      <c r="X216" s="17" t="s">
        <v>140</v>
      </c>
      <c r="Y216" s="58">
        <v>0</v>
      </c>
      <c r="Z216" s="101">
        <v>0</v>
      </c>
      <c r="AA216" s="58">
        <v>0</v>
      </c>
      <c r="AB216" s="21">
        <v>0</v>
      </c>
      <c r="AC216" s="21">
        <v>0</v>
      </c>
      <c r="AD216" s="21">
        <v>0</v>
      </c>
      <c r="AE216" s="101">
        <v>0</v>
      </c>
      <c r="AF216" s="17" t="s">
        <v>129</v>
      </c>
      <c r="AG216" s="17"/>
      <c r="AI216" s="17" t="s">
        <v>964</v>
      </c>
      <c r="AJ216" s="21">
        <v>0</v>
      </c>
      <c r="AK216" s="31">
        <v>0</v>
      </c>
      <c r="AL216" s="21">
        <v>0</v>
      </c>
      <c r="AM216" s="31">
        <v>0</v>
      </c>
      <c r="AN216" s="21">
        <v>0</v>
      </c>
      <c r="AO216" s="31">
        <v>0</v>
      </c>
      <c r="AP216" s="21">
        <v>0</v>
      </c>
      <c r="AQ216" s="31">
        <v>0</v>
      </c>
      <c r="AR216" s="21">
        <v>0</v>
      </c>
      <c r="AS216" s="31">
        <v>0</v>
      </c>
      <c r="AT216" s="21">
        <v>0</v>
      </c>
      <c r="AU216" s="31">
        <v>0</v>
      </c>
      <c r="AV216" s="21">
        <v>0</v>
      </c>
      <c r="AW216" s="31">
        <v>0</v>
      </c>
      <c r="AX216" s="31">
        <v>0</v>
      </c>
      <c r="AY216" s="31">
        <v>0</v>
      </c>
      <c r="AZ216" s="31">
        <v>0</v>
      </c>
      <c r="BA216" s="31">
        <v>0</v>
      </c>
      <c r="BB216" s="31">
        <v>0</v>
      </c>
      <c r="BC216" s="31">
        <v>0</v>
      </c>
      <c r="BD216" s="31">
        <v>0</v>
      </c>
      <c r="BE216" s="31">
        <v>0</v>
      </c>
      <c r="BF216" s="31">
        <v>0</v>
      </c>
      <c r="BG216" s="31">
        <v>0</v>
      </c>
      <c r="BH216" s="31">
        <v>0</v>
      </c>
      <c r="BI216" s="31">
        <v>0</v>
      </c>
      <c r="BJ216" s="31">
        <v>0</v>
      </c>
      <c r="BK216" s="31">
        <v>0</v>
      </c>
      <c r="BL216" s="17" t="s">
        <v>964</v>
      </c>
      <c r="BM216" s="31">
        <v>0</v>
      </c>
      <c r="BN216" s="31">
        <v>0</v>
      </c>
      <c r="BO216" s="31">
        <v>0</v>
      </c>
      <c r="BP216" s="31">
        <v>0</v>
      </c>
      <c r="BQ216" s="31">
        <v>0</v>
      </c>
      <c r="BR216" s="31">
        <v>0</v>
      </c>
      <c r="BS216" s="31">
        <v>0</v>
      </c>
      <c r="BT216" s="31">
        <v>0</v>
      </c>
      <c r="BU216" s="31">
        <v>0</v>
      </c>
      <c r="BV216" s="31">
        <v>0</v>
      </c>
      <c r="BW216" s="21">
        <f>IF(Table1[[#This Row],[Sustainability Check 2 (2018-2019) Status]]="Continued", Table1[Check 2 Students Spring], 0)</f>
        <v>0</v>
      </c>
      <c r="BX216" s="31">
        <f>Table1[[#This Row],[Summer 2018 Price Check]]*Table1[[#This Row],[Spring 2019 Students]]</f>
        <v>0</v>
      </c>
      <c r="BY216" s="31">
        <f t="shared" si="166"/>
        <v>0</v>
      </c>
      <c r="BZ216" s="58">
        <f t="shared" si="167"/>
        <v>0</v>
      </c>
      <c r="CA216" s="17" t="s">
        <v>964</v>
      </c>
      <c r="CB216" s="21"/>
      <c r="CC216" s="21"/>
      <c r="CD216" s="21"/>
      <c r="CE216" s="21">
        <f t="shared" si="176"/>
        <v>0</v>
      </c>
      <c r="CF216" s="58"/>
      <c r="CG216" s="31">
        <f t="shared" si="169"/>
        <v>0</v>
      </c>
      <c r="CH216" s="101">
        <v>0</v>
      </c>
      <c r="CI216" s="21">
        <f>IF(Table1[[#This Row],[Check 3 Status]]="Continued", Table1[[#This Row],[Check 3 Students Summer]], 0)</f>
        <v>0</v>
      </c>
      <c r="CJ216" s="31">
        <f>Table1[[#This Row],[Check 3 Per Student Savings]]*CI216</f>
        <v>0</v>
      </c>
      <c r="CK216" s="21">
        <f>IF(Table1[[#This Row],[Check 3 Status]]="Continued", Table1[[#This Row],[Check 3 Students Fall]], 0)</f>
        <v>0</v>
      </c>
      <c r="CL216" s="31">
        <f>Table1[[#This Row],[Check 3 Per Student Savings]]*CK216</f>
        <v>0</v>
      </c>
      <c r="CM216" s="21">
        <f>IF(Table1[[#This Row],[Check 3 Status]]="Continued", Table1[[#This Row],[Check 3 Students Spring]], 0)</f>
        <v>0</v>
      </c>
      <c r="CN216" s="31">
        <f>Table1[[#This Row],[Check 3 Per Student Savings]]*CM216</f>
        <v>0</v>
      </c>
      <c r="CO216" s="21">
        <f t="shared" si="170"/>
        <v>0</v>
      </c>
      <c r="CP216" s="31">
        <f t="shared" si="171"/>
        <v>0</v>
      </c>
      <c r="CQ216" s="31" t="s">
        <v>964</v>
      </c>
      <c r="CR216" s="21"/>
      <c r="CS216" s="21"/>
      <c r="CT216" s="21"/>
      <c r="CU216" s="21">
        <f t="shared" si="172"/>
        <v>0</v>
      </c>
      <c r="CW216" s="31">
        <f t="shared" si="173"/>
        <v>0</v>
      </c>
      <c r="CY216" s="21">
        <f>IF(Table1[[#This Row],[Check 4 Status]]="Continued", Table1[[#This Row],[Check 4 Students Summer]], 0)</f>
        <v>0</v>
      </c>
      <c r="CZ216" s="58">
        <f>Table1[[#This Row],[Check 4 Per Student Savings]]*CY216</f>
        <v>0</v>
      </c>
      <c r="DA216" s="21">
        <f>IF(Table1[[#This Row],[Check 4 Status]]="Continued", Table1[[#This Row],[Check 4 Students Fall]], 0)</f>
        <v>0</v>
      </c>
      <c r="DB216" s="31">
        <f>Table1[[#This Row],[Check 4 Per Student Savings]]*DA216</f>
        <v>0</v>
      </c>
      <c r="DC216" s="21">
        <f>IF(Table1[[#This Row],[Check 4 Status]]="Continued", Table1[[#This Row],[Check 4 Students Spring]], 0)</f>
        <v>0</v>
      </c>
      <c r="DD216" s="58">
        <f>Table1[[#This Row],[Check 4 Per Student Savings]]*DC216</f>
        <v>0</v>
      </c>
      <c r="DE216" s="58">
        <f t="shared" si="174"/>
        <v>0</v>
      </c>
      <c r="DF216" s="58">
        <f t="shared" si="175"/>
        <v>0</v>
      </c>
      <c r="DG21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1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16" s="58">
        <f>Table1[[#This Row],[Grand Total Savings]]/Table1[[#This Row],[Total Award]]</f>
        <v>0</v>
      </c>
      <c r="DJ216" s="17"/>
      <c r="DK216" s="17"/>
      <c r="DL216" s="17"/>
      <c r="DM216" s="17"/>
      <c r="EC216" s="17"/>
      <c r="ED216" s="17"/>
      <c r="EE216" s="17"/>
      <c r="EF216" s="17"/>
    </row>
    <row r="217" spans="1:136" x14ac:dyDescent="0.25">
      <c r="A217" s="159" t="s">
        <v>1046</v>
      </c>
      <c r="B217" s="17" t="s">
        <v>2011</v>
      </c>
      <c r="D217" s="97">
        <v>514195</v>
      </c>
      <c r="E217" s="165">
        <v>43201</v>
      </c>
      <c r="F217" s="165">
        <v>43587</v>
      </c>
      <c r="G217" s="159">
        <v>11</v>
      </c>
      <c r="H217" s="95" t="s">
        <v>7</v>
      </c>
      <c r="I217" s="17" t="s">
        <v>962</v>
      </c>
      <c r="J217" s="17" t="s">
        <v>243</v>
      </c>
      <c r="K217" s="107">
        <v>4800</v>
      </c>
      <c r="L217" s="107"/>
      <c r="M217" s="101" t="s">
        <v>1047</v>
      </c>
      <c r="N217" s="101" t="s">
        <v>1048</v>
      </c>
      <c r="O217" s="101" t="s">
        <v>204</v>
      </c>
      <c r="P217" s="101" t="s">
        <v>205</v>
      </c>
      <c r="Q217" s="101" t="s">
        <v>206</v>
      </c>
      <c r="R217" s="101" t="s">
        <v>204</v>
      </c>
      <c r="S217" s="173" t="s">
        <v>912</v>
      </c>
      <c r="T217" s="173" t="s">
        <v>912</v>
      </c>
      <c r="U217" s="173" t="s">
        <v>912</v>
      </c>
      <c r="V217" s="17" t="s">
        <v>140</v>
      </c>
      <c r="W217" s="17" t="s">
        <v>140</v>
      </c>
      <c r="X217" s="17" t="s">
        <v>140</v>
      </c>
      <c r="Y217" s="58">
        <v>0</v>
      </c>
      <c r="Z217" s="101">
        <v>0</v>
      </c>
      <c r="AA217" s="58">
        <v>0</v>
      </c>
      <c r="AB217" s="21">
        <v>0</v>
      </c>
      <c r="AC217" s="21">
        <v>0</v>
      </c>
      <c r="AD217" s="21">
        <v>0</v>
      </c>
      <c r="AE217" s="101">
        <v>0</v>
      </c>
      <c r="AF217" s="17" t="s">
        <v>129</v>
      </c>
      <c r="AG217" s="17"/>
      <c r="AI217" s="17" t="s">
        <v>964</v>
      </c>
      <c r="AJ217" s="21">
        <v>0</v>
      </c>
      <c r="AK217" s="31">
        <v>0</v>
      </c>
      <c r="AL217" s="21">
        <v>0</v>
      </c>
      <c r="AM217" s="31">
        <v>0</v>
      </c>
      <c r="AN217" s="21">
        <v>0</v>
      </c>
      <c r="AO217" s="31">
        <v>0</v>
      </c>
      <c r="AP217" s="21">
        <v>0</v>
      </c>
      <c r="AQ217" s="31">
        <v>0</v>
      </c>
      <c r="AR217" s="21">
        <v>0</v>
      </c>
      <c r="AS217" s="31">
        <v>0</v>
      </c>
      <c r="AT217" s="21">
        <v>0</v>
      </c>
      <c r="AU217" s="31">
        <v>0</v>
      </c>
      <c r="AV217" s="21">
        <v>0</v>
      </c>
      <c r="AW217" s="31">
        <v>0</v>
      </c>
      <c r="AX217" s="31">
        <v>0</v>
      </c>
      <c r="AY217" s="31">
        <v>0</v>
      </c>
      <c r="AZ217" s="31">
        <v>0</v>
      </c>
      <c r="BA217" s="31">
        <v>0</v>
      </c>
      <c r="BB217" s="31">
        <v>0</v>
      </c>
      <c r="BC217" s="31">
        <v>0</v>
      </c>
      <c r="BD217" s="31">
        <v>0</v>
      </c>
      <c r="BE217" s="31">
        <v>0</v>
      </c>
      <c r="BF217" s="31">
        <v>0</v>
      </c>
      <c r="BG217" s="31">
        <v>0</v>
      </c>
      <c r="BH217" s="31">
        <v>0</v>
      </c>
      <c r="BI217" s="31">
        <v>0</v>
      </c>
      <c r="BJ217" s="31">
        <v>0</v>
      </c>
      <c r="BK217" s="31">
        <v>0</v>
      </c>
      <c r="BL217" s="17" t="s">
        <v>964</v>
      </c>
      <c r="BM217" s="31">
        <v>0</v>
      </c>
      <c r="BN217" s="31">
        <v>0</v>
      </c>
      <c r="BO217" s="31">
        <v>0</v>
      </c>
      <c r="BP217" s="31">
        <v>0</v>
      </c>
      <c r="BQ217" s="31">
        <v>0</v>
      </c>
      <c r="BR217" s="31">
        <v>0</v>
      </c>
      <c r="BS217" s="31">
        <v>0</v>
      </c>
      <c r="BT217" s="31">
        <v>0</v>
      </c>
      <c r="BU217" s="31">
        <v>0</v>
      </c>
      <c r="BV217" s="31">
        <v>0</v>
      </c>
      <c r="BW217" s="21">
        <f>IF(Table1[[#This Row],[Sustainability Check 2 (2018-2019) Status]]="Continued", Table1[Check 2 Students Spring], 0)</f>
        <v>0</v>
      </c>
      <c r="BX217" s="31">
        <f>Table1[[#This Row],[Summer 2018 Price Check]]*Table1[[#This Row],[Spring 2019 Students]]</f>
        <v>0</v>
      </c>
      <c r="BY217" s="31">
        <f t="shared" si="166"/>
        <v>0</v>
      </c>
      <c r="BZ217" s="58">
        <f t="shared" si="167"/>
        <v>0</v>
      </c>
      <c r="CA217" s="17" t="s">
        <v>964</v>
      </c>
      <c r="CB217" s="21"/>
      <c r="CC217" s="21"/>
      <c r="CD217" s="21"/>
      <c r="CE217" s="21">
        <f t="shared" si="176"/>
        <v>0</v>
      </c>
      <c r="CF217" s="58"/>
      <c r="CG217" s="31">
        <f t="shared" si="169"/>
        <v>0</v>
      </c>
      <c r="CH217" s="101">
        <v>0</v>
      </c>
      <c r="CI217" s="21">
        <f>IF(Table1[[#This Row],[Check 3 Status]]="Continued", Table1[[#This Row],[Check 3 Students Summer]], 0)</f>
        <v>0</v>
      </c>
      <c r="CJ217" s="31">
        <f>Table1[[#This Row],[Check 3 Per Student Savings]]*CI217</f>
        <v>0</v>
      </c>
      <c r="CK217" s="21">
        <f>IF(Table1[[#This Row],[Check 3 Status]]="Continued", Table1[[#This Row],[Check 3 Students Fall]], 0)</f>
        <v>0</v>
      </c>
      <c r="CL217" s="31">
        <f>Table1[[#This Row],[Check 3 Per Student Savings]]*CK217</f>
        <v>0</v>
      </c>
      <c r="CM217" s="21">
        <f>IF(Table1[[#This Row],[Check 3 Status]]="Continued", Table1[[#This Row],[Check 3 Students Spring]], 0)</f>
        <v>0</v>
      </c>
      <c r="CN217" s="31">
        <f>Table1[[#This Row],[Check 3 Per Student Savings]]*CM217</f>
        <v>0</v>
      </c>
      <c r="CO217" s="21">
        <f t="shared" si="170"/>
        <v>0</v>
      </c>
      <c r="CP217" s="31">
        <f t="shared" si="171"/>
        <v>0</v>
      </c>
      <c r="CQ217" s="31" t="s">
        <v>964</v>
      </c>
      <c r="CR217" s="21"/>
      <c r="CS217" s="21"/>
      <c r="CT217" s="21"/>
      <c r="CU217" s="21">
        <f t="shared" si="172"/>
        <v>0</v>
      </c>
      <c r="CW217" s="31">
        <f t="shared" si="173"/>
        <v>0</v>
      </c>
      <c r="CY217" s="21">
        <f>IF(Table1[[#This Row],[Check 4 Status]]="Continued", Table1[[#This Row],[Check 4 Students Summer]], 0)</f>
        <v>0</v>
      </c>
      <c r="CZ217" s="58">
        <f>Table1[[#This Row],[Check 4 Per Student Savings]]*CY217</f>
        <v>0</v>
      </c>
      <c r="DA217" s="21">
        <f>IF(Table1[[#This Row],[Check 4 Status]]="Continued", Table1[[#This Row],[Check 4 Students Fall]], 0)</f>
        <v>0</v>
      </c>
      <c r="DB217" s="31">
        <f>Table1[[#This Row],[Check 4 Per Student Savings]]*DA217</f>
        <v>0</v>
      </c>
      <c r="DC217" s="21">
        <f>IF(Table1[[#This Row],[Check 4 Status]]="Continued", Table1[[#This Row],[Check 4 Students Spring]], 0)</f>
        <v>0</v>
      </c>
      <c r="DD217" s="58">
        <f>Table1[[#This Row],[Check 4 Per Student Savings]]*DC217</f>
        <v>0</v>
      </c>
      <c r="DE217" s="58">
        <f t="shared" si="174"/>
        <v>0</v>
      </c>
      <c r="DF217" s="58">
        <f t="shared" si="175"/>
        <v>0</v>
      </c>
      <c r="DG21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1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17" s="58">
        <f>Table1[[#This Row],[Grand Total Savings]]/Table1[[#This Row],[Total Award]]</f>
        <v>0</v>
      </c>
      <c r="DJ217" s="17"/>
      <c r="DK217" s="17"/>
      <c r="DL217" s="17"/>
      <c r="DM217" s="17"/>
      <c r="EC217" s="17"/>
      <c r="ED217" s="17"/>
      <c r="EE217" s="17"/>
      <c r="EF217" s="17"/>
    </row>
    <row r="218" spans="1:136" x14ac:dyDescent="0.25">
      <c r="A218" s="159" t="s">
        <v>1049</v>
      </c>
      <c r="B218" s="17" t="s">
        <v>2011</v>
      </c>
      <c r="D218" s="97">
        <v>514135</v>
      </c>
      <c r="E218" s="165">
        <v>43193</v>
      </c>
      <c r="F218" s="158">
        <v>43472</v>
      </c>
      <c r="G218" s="159">
        <v>11</v>
      </c>
      <c r="H218" s="95" t="s">
        <v>7</v>
      </c>
      <c r="I218" s="17" t="s">
        <v>962</v>
      </c>
      <c r="J218" s="17" t="s">
        <v>201</v>
      </c>
      <c r="K218" s="107">
        <v>2000</v>
      </c>
      <c r="L218" s="107"/>
      <c r="M218" s="101" t="s">
        <v>1050</v>
      </c>
      <c r="N218" s="101" t="s">
        <v>1051</v>
      </c>
      <c r="O218" s="101" t="s">
        <v>1052</v>
      </c>
      <c r="P218" s="101" t="s">
        <v>1053</v>
      </c>
      <c r="Q218" s="101" t="s">
        <v>206</v>
      </c>
      <c r="R218" s="101" t="s">
        <v>129</v>
      </c>
      <c r="S218" s="173" t="s">
        <v>912</v>
      </c>
      <c r="T218" s="173" t="s">
        <v>912</v>
      </c>
      <c r="U218" s="173" t="s">
        <v>912</v>
      </c>
      <c r="V218" s="17" t="s">
        <v>140</v>
      </c>
      <c r="W218" s="17" t="s">
        <v>140</v>
      </c>
      <c r="X218" s="17" t="s">
        <v>140</v>
      </c>
      <c r="Y218" s="58">
        <v>0</v>
      </c>
      <c r="Z218" s="101">
        <v>0</v>
      </c>
      <c r="AA218" s="58">
        <v>0</v>
      </c>
      <c r="AB218" s="21">
        <v>0</v>
      </c>
      <c r="AC218" s="21">
        <v>0</v>
      </c>
      <c r="AD218" s="21">
        <v>0</v>
      </c>
      <c r="AE218" s="101">
        <v>0</v>
      </c>
      <c r="AF218" s="17" t="s">
        <v>129</v>
      </c>
      <c r="AG218" s="17"/>
      <c r="AI218" s="17" t="s">
        <v>964</v>
      </c>
      <c r="AJ218" s="21">
        <v>0</v>
      </c>
      <c r="AK218" s="31">
        <v>0</v>
      </c>
      <c r="AL218" s="21">
        <v>0</v>
      </c>
      <c r="AM218" s="31">
        <v>0</v>
      </c>
      <c r="AN218" s="21">
        <v>0</v>
      </c>
      <c r="AO218" s="31">
        <v>0</v>
      </c>
      <c r="AP218" s="21">
        <v>0</v>
      </c>
      <c r="AQ218" s="31">
        <v>0</v>
      </c>
      <c r="AR218" s="21">
        <v>0</v>
      </c>
      <c r="AS218" s="31">
        <v>0</v>
      </c>
      <c r="AT218" s="21">
        <v>0</v>
      </c>
      <c r="AU218" s="31">
        <v>0</v>
      </c>
      <c r="AV218" s="21">
        <v>0</v>
      </c>
      <c r="AW218" s="31">
        <v>0</v>
      </c>
      <c r="AX218" s="31">
        <v>0</v>
      </c>
      <c r="AY218" s="31">
        <v>0</v>
      </c>
      <c r="AZ218" s="31">
        <v>0</v>
      </c>
      <c r="BA218" s="31">
        <v>0</v>
      </c>
      <c r="BB218" s="31">
        <v>0</v>
      </c>
      <c r="BC218" s="31">
        <v>0</v>
      </c>
      <c r="BD218" s="31">
        <v>0</v>
      </c>
      <c r="BE218" s="31">
        <v>0</v>
      </c>
      <c r="BF218" s="31">
        <v>0</v>
      </c>
      <c r="BG218" s="31">
        <v>0</v>
      </c>
      <c r="BH218" s="31">
        <v>0</v>
      </c>
      <c r="BI218" s="31">
        <v>0</v>
      </c>
      <c r="BJ218" s="31">
        <v>0</v>
      </c>
      <c r="BK218" s="31">
        <v>0</v>
      </c>
      <c r="BL218" s="17" t="s">
        <v>964</v>
      </c>
      <c r="BM218" s="31">
        <v>0</v>
      </c>
      <c r="BN218" s="31">
        <v>0</v>
      </c>
      <c r="BO218" s="31">
        <v>0</v>
      </c>
      <c r="BP218" s="31">
        <v>0</v>
      </c>
      <c r="BQ218" s="31">
        <v>0</v>
      </c>
      <c r="BR218" s="31">
        <v>0</v>
      </c>
      <c r="BS218" s="31">
        <v>0</v>
      </c>
      <c r="BT218" s="31">
        <v>0</v>
      </c>
      <c r="BU218" s="31">
        <v>0</v>
      </c>
      <c r="BV218" s="31">
        <v>0</v>
      </c>
      <c r="BW218" s="21">
        <f>IF(Table1[[#This Row],[Sustainability Check 2 (2018-2019) Status]]="Continued", Table1[Check 2 Students Spring], 0)</f>
        <v>0</v>
      </c>
      <c r="BX218" s="31">
        <f>Table1[[#This Row],[Summer 2018 Price Check]]*Table1[[#This Row],[Spring 2019 Students]]</f>
        <v>0</v>
      </c>
      <c r="BY218" s="31">
        <f t="shared" si="166"/>
        <v>0</v>
      </c>
      <c r="BZ218" s="58">
        <f t="shared" si="167"/>
        <v>0</v>
      </c>
      <c r="CA218" s="17" t="s">
        <v>964</v>
      </c>
      <c r="CB218" s="21"/>
      <c r="CC218" s="21"/>
      <c r="CD218" s="21"/>
      <c r="CE218" s="21">
        <f t="shared" si="176"/>
        <v>0</v>
      </c>
      <c r="CF218" s="58"/>
      <c r="CG218" s="31">
        <f t="shared" si="169"/>
        <v>0</v>
      </c>
      <c r="CH218" s="101">
        <v>0</v>
      </c>
      <c r="CI218" s="21">
        <f>IF(Table1[[#This Row],[Check 3 Status]]="Continued", Table1[[#This Row],[Check 3 Students Summer]], 0)</f>
        <v>0</v>
      </c>
      <c r="CJ218" s="31">
        <f>Table1[[#This Row],[Check 3 Per Student Savings]]*CI218</f>
        <v>0</v>
      </c>
      <c r="CK218" s="21">
        <f>IF(Table1[[#This Row],[Check 3 Status]]="Continued", Table1[[#This Row],[Check 3 Students Fall]], 0)</f>
        <v>0</v>
      </c>
      <c r="CL218" s="31">
        <f>Table1[[#This Row],[Check 3 Per Student Savings]]*CK218</f>
        <v>0</v>
      </c>
      <c r="CM218" s="21">
        <f>IF(Table1[[#This Row],[Check 3 Status]]="Continued", Table1[[#This Row],[Check 3 Students Spring]], 0)</f>
        <v>0</v>
      </c>
      <c r="CN218" s="31">
        <f>Table1[[#This Row],[Check 3 Per Student Savings]]*CM218</f>
        <v>0</v>
      </c>
      <c r="CO218" s="21">
        <f t="shared" si="170"/>
        <v>0</v>
      </c>
      <c r="CP218" s="31">
        <f t="shared" si="171"/>
        <v>0</v>
      </c>
      <c r="CQ218" s="31" t="s">
        <v>964</v>
      </c>
      <c r="CR218" s="21"/>
      <c r="CS218" s="21"/>
      <c r="CT218" s="21"/>
      <c r="CU218" s="21">
        <f t="shared" si="172"/>
        <v>0</v>
      </c>
      <c r="CW218" s="31">
        <f t="shared" si="173"/>
        <v>0</v>
      </c>
      <c r="CY218" s="21">
        <f>IF(Table1[[#This Row],[Check 4 Status]]="Continued", Table1[[#This Row],[Check 4 Students Summer]], 0)</f>
        <v>0</v>
      </c>
      <c r="CZ218" s="58">
        <f>Table1[[#This Row],[Check 4 Per Student Savings]]*CY218</f>
        <v>0</v>
      </c>
      <c r="DA218" s="21">
        <f>IF(Table1[[#This Row],[Check 4 Status]]="Continued", Table1[[#This Row],[Check 4 Students Fall]], 0)</f>
        <v>0</v>
      </c>
      <c r="DB218" s="31">
        <f>Table1[[#This Row],[Check 4 Per Student Savings]]*DA218</f>
        <v>0</v>
      </c>
      <c r="DC218" s="21">
        <f>IF(Table1[[#This Row],[Check 4 Status]]="Continued", Table1[[#This Row],[Check 4 Students Spring]], 0)</f>
        <v>0</v>
      </c>
      <c r="DD218" s="58">
        <f>Table1[[#This Row],[Check 4 Per Student Savings]]*DC218</f>
        <v>0</v>
      </c>
      <c r="DE218" s="58">
        <f t="shared" si="174"/>
        <v>0</v>
      </c>
      <c r="DF218" s="58">
        <f t="shared" si="175"/>
        <v>0</v>
      </c>
      <c r="DG21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1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18" s="58">
        <f>Table1[[#This Row],[Grand Total Savings]]/Table1[[#This Row],[Total Award]]</f>
        <v>0</v>
      </c>
      <c r="DJ218" s="17"/>
      <c r="DK218" s="17"/>
      <c r="DL218" s="17"/>
      <c r="DM218" s="17"/>
      <c r="EC218" s="17"/>
      <c r="ED218" s="17"/>
      <c r="EE218" s="17"/>
      <c r="EF218" s="17"/>
    </row>
    <row r="219" spans="1:136" x14ac:dyDescent="0.25">
      <c r="A219" s="159" t="s">
        <v>1054</v>
      </c>
      <c r="B219" s="17" t="s">
        <v>2011</v>
      </c>
      <c r="D219" s="97">
        <v>514136</v>
      </c>
      <c r="E219" s="165">
        <v>43193</v>
      </c>
      <c r="F219" s="158">
        <v>43472</v>
      </c>
      <c r="G219" s="159">
        <v>11</v>
      </c>
      <c r="H219" s="95" t="s">
        <v>7</v>
      </c>
      <c r="I219" s="17" t="s">
        <v>962</v>
      </c>
      <c r="J219" s="17" t="s">
        <v>201</v>
      </c>
      <c r="K219" s="107">
        <v>2000</v>
      </c>
      <c r="L219" s="107"/>
      <c r="M219" s="101" t="s">
        <v>568</v>
      </c>
      <c r="N219" s="101" t="s">
        <v>569</v>
      </c>
      <c r="O219" s="101" t="s">
        <v>728</v>
      </c>
      <c r="P219" s="101" t="s">
        <v>205</v>
      </c>
      <c r="Q219" s="101" t="s">
        <v>206</v>
      </c>
      <c r="R219" s="101" t="s">
        <v>204</v>
      </c>
      <c r="S219" s="173" t="s">
        <v>912</v>
      </c>
      <c r="T219" s="173" t="s">
        <v>912</v>
      </c>
      <c r="U219" s="173" t="s">
        <v>912</v>
      </c>
      <c r="V219" s="17" t="s">
        <v>140</v>
      </c>
      <c r="W219" s="17" t="s">
        <v>140</v>
      </c>
      <c r="X219" s="17" t="s">
        <v>140</v>
      </c>
      <c r="Y219" s="58">
        <v>0</v>
      </c>
      <c r="Z219" s="101">
        <v>0</v>
      </c>
      <c r="AA219" s="58">
        <v>0</v>
      </c>
      <c r="AB219" s="21">
        <v>0</v>
      </c>
      <c r="AC219" s="21">
        <v>0</v>
      </c>
      <c r="AD219" s="21">
        <v>0</v>
      </c>
      <c r="AE219" s="101">
        <v>0</v>
      </c>
      <c r="AF219" s="17" t="s">
        <v>129</v>
      </c>
      <c r="AG219" s="17"/>
      <c r="AI219" s="17" t="s">
        <v>964</v>
      </c>
      <c r="AJ219" s="21">
        <v>0</v>
      </c>
      <c r="AK219" s="31">
        <v>0</v>
      </c>
      <c r="AL219" s="21">
        <v>0</v>
      </c>
      <c r="AM219" s="31">
        <v>0</v>
      </c>
      <c r="AN219" s="21">
        <v>0</v>
      </c>
      <c r="AO219" s="31">
        <v>0</v>
      </c>
      <c r="AP219" s="21">
        <v>0</v>
      </c>
      <c r="AQ219" s="31">
        <v>0</v>
      </c>
      <c r="AR219" s="21">
        <v>0</v>
      </c>
      <c r="AS219" s="31">
        <v>0</v>
      </c>
      <c r="AT219" s="21">
        <v>0</v>
      </c>
      <c r="AU219" s="31">
        <v>0</v>
      </c>
      <c r="AV219" s="21">
        <v>0</v>
      </c>
      <c r="AW219" s="31">
        <v>0</v>
      </c>
      <c r="AX219" s="31">
        <v>0</v>
      </c>
      <c r="AY219" s="31">
        <v>0</v>
      </c>
      <c r="AZ219" s="31">
        <v>0</v>
      </c>
      <c r="BA219" s="31">
        <v>0</v>
      </c>
      <c r="BB219" s="31">
        <v>0</v>
      </c>
      <c r="BC219" s="31">
        <v>0</v>
      </c>
      <c r="BD219" s="31">
        <v>0</v>
      </c>
      <c r="BE219" s="31">
        <v>0</v>
      </c>
      <c r="BF219" s="31">
        <v>0</v>
      </c>
      <c r="BG219" s="31">
        <v>0</v>
      </c>
      <c r="BH219" s="31">
        <v>0</v>
      </c>
      <c r="BI219" s="31">
        <v>0</v>
      </c>
      <c r="BJ219" s="31">
        <v>0</v>
      </c>
      <c r="BK219" s="31">
        <v>0</v>
      </c>
      <c r="BL219" s="17" t="s">
        <v>964</v>
      </c>
      <c r="BM219" s="31">
        <v>0</v>
      </c>
      <c r="BN219" s="31">
        <v>0</v>
      </c>
      <c r="BO219" s="31">
        <v>0</v>
      </c>
      <c r="BP219" s="31">
        <v>0</v>
      </c>
      <c r="BQ219" s="31">
        <v>0</v>
      </c>
      <c r="BR219" s="31">
        <v>0</v>
      </c>
      <c r="BS219" s="31">
        <v>0</v>
      </c>
      <c r="BT219" s="31">
        <v>0</v>
      </c>
      <c r="BU219" s="31">
        <v>0</v>
      </c>
      <c r="BV219" s="31">
        <v>0</v>
      </c>
      <c r="BW219" s="21">
        <f>IF(Table1[[#This Row],[Sustainability Check 2 (2018-2019) Status]]="Continued", Table1[Check 2 Students Spring], 0)</f>
        <v>0</v>
      </c>
      <c r="BX219" s="31">
        <f>Table1[[#This Row],[Summer 2018 Price Check]]*Table1[[#This Row],[Spring 2019 Students]]</f>
        <v>0</v>
      </c>
      <c r="BY219" s="31">
        <f t="shared" si="166"/>
        <v>0</v>
      </c>
      <c r="BZ219" s="58">
        <f t="shared" si="167"/>
        <v>0</v>
      </c>
      <c r="CA219" s="17" t="s">
        <v>964</v>
      </c>
      <c r="CB219" s="21"/>
      <c r="CC219" s="21"/>
      <c r="CD219" s="21"/>
      <c r="CE219" s="21">
        <f t="shared" si="176"/>
        <v>0</v>
      </c>
      <c r="CF219" s="58"/>
      <c r="CG219" s="31">
        <f t="shared" si="169"/>
        <v>0</v>
      </c>
      <c r="CH219" s="101">
        <v>0</v>
      </c>
      <c r="CI219" s="21">
        <f>IF(Table1[[#This Row],[Check 3 Status]]="Continued", Table1[[#This Row],[Check 3 Students Summer]], 0)</f>
        <v>0</v>
      </c>
      <c r="CJ219" s="31">
        <f>Table1[[#This Row],[Check 3 Per Student Savings]]*CI219</f>
        <v>0</v>
      </c>
      <c r="CK219" s="21">
        <f>IF(Table1[[#This Row],[Check 3 Status]]="Continued", Table1[[#This Row],[Check 3 Students Fall]], 0)</f>
        <v>0</v>
      </c>
      <c r="CL219" s="31">
        <f>Table1[[#This Row],[Check 3 Per Student Savings]]*CK219</f>
        <v>0</v>
      </c>
      <c r="CM219" s="21">
        <f>IF(Table1[[#This Row],[Check 3 Status]]="Continued", Table1[[#This Row],[Check 3 Students Spring]], 0)</f>
        <v>0</v>
      </c>
      <c r="CN219" s="31">
        <f>Table1[[#This Row],[Check 3 Per Student Savings]]*CM219</f>
        <v>0</v>
      </c>
      <c r="CO219" s="21">
        <f t="shared" si="170"/>
        <v>0</v>
      </c>
      <c r="CP219" s="31">
        <f t="shared" si="171"/>
        <v>0</v>
      </c>
      <c r="CQ219" s="31" t="s">
        <v>964</v>
      </c>
      <c r="CR219" s="21"/>
      <c r="CS219" s="21"/>
      <c r="CT219" s="21"/>
      <c r="CU219" s="21">
        <f t="shared" si="172"/>
        <v>0</v>
      </c>
      <c r="CW219" s="31">
        <f t="shared" si="173"/>
        <v>0</v>
      </c>
      <c r="CY219" s="21">
        <f>IF(Table1[[#This Row],[Check 4 Status]]="Continued", Table1[[#This Row],[Check 4 Students Summer]], 0)</f>
        <v>0</v>
      </c>
      <c r="CZ219" s="58">
        <f>Table1[[#This Row],[Check 4 Per Student Savings]]*CY219</f>
        <v>0</v>
      </c>
      <c r="DA219" s="21">
        <f>IF(Table1[[#This Row],[Check 4 Status]]="Continued", Table1[[#This Row],[Check 4 Students Fall]], 0)</f>
        <v>0</v>
      </c>
      <c r="DB219" s="31">
        <f>Table1[[#This Row],[Check 4 Per Student Savings]]*DA219</f>
        <v>0</v>
      </c>
      <c r="DC219" s="21">
        <f>IF(Table1[[#This Row],[Check 4 Status]]="Continued", Table1[[#This Row],[Check 4 Students Spring]], 0)</f>
        <v>0</v>
      </c>
      <c r="DD219" s="58">
        <f>Table1[[#This Row],[Check 4 Per Student Savings]]*DC219</f>
        <v>0</v>
      </c>
      <c r="DE219" s="58">
        <f t="shared" si="174"/>
        <v>0</v>
      </c>
      <c r="DF219" s="58">
        <f t="shared" si="175"/>
        <v>0</v>
      </c>
      <c r="DG21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1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19" s="58">
        <f>Table1[[#This Row],[Grand Total Savings]]/Table1[[#This Row],[Total Award]]</f>
        <v>0</v>
      </c>
      <c r="DJ219" s="17"/>
      <c r="DK219" s="17"/>
      <c r="DL219" s="17"/>
      <c r="DM219" s="17"/>
      <c r="EC219" s="17"/>
      <c r="ED219" s="17"/>
      <c r="EE219" s="17"/>
      <c r="EF219" s="17"/>
    </row>
    <row r="220" spans="1:136" x14ac:dyDescent="0.25">
      <c r="A220" s="157" t="s">
        <v>1055</v>
      </c>
      <c r="B220" s="17" t="s">
        <v>2011</v>
      </c>
      <c r="D220" s="97" t="s">
        <v>1056</v>
      </c>
      <c r="E220" s="165">
        <v>43206</v>
      </c>
      <c r="F220" s="158">
        <v>43472</v>
      </c>
      <c r="G220" s="159">
        <v>11</v>
      </c>
      <c r="H220" s="95" t="s">
        <v>7</v>
      </c>
      <c r="I220" s="17" t="s">
        <v>962</v>
      </c>
      <c r="J220" s="17" t="s">
        <v>132</v>
      </c>
      <c r="K220" s="107">
        <v>4800</v>
      </c>
      <c r="L220" s="107"/>
      <c r="M220" s="101" t="s">
        <v>862</v>
      </c>
      <c r="N220" s="101" t="s">
        <v>863</v>
      </c>
      <c r="O220" s="101" t="s">
        <v>1057</v>
      </c>
      <c r="P220" s="101" t="s">
        <v>497</v>
      </c>
      <c r="Q220" s="101" t="s">
        <v>467</v>
      </c>
      <c r="R220" s="101" t="s">
        <v>129</v>
      </c>
      <c r="S220" s="173" t="s">
        <v>912</v>
      </c>
      <c r="T220" s="173" t="s">
        <v>912</v>
      </c>
      <c r="U220" s="173" t="s">
        <v>912</v>
      </c>
      <c r="V220" s="17" t="s">
        <v>140</v>
      </c>
      <c r="W220" s="17" t="s">
        <v>140</v>
      </c>
      <c r="X220" s="17" t="s">
        <v>140</v>
      </c>
      <c r="Y220" s="58">
        <v>0</v>
      </c>
      <c r="Z220" s="101">
        <v>0</v>
      </c>
      <c r="AA220" s="58">
        <v>0</v>
      </c>
      <c r="AB220" s="21">
        <v>0</v>
      </c>
      <c r="AC220" s="21">
        <v>0</v>
      </c>
      <c r="AD220" s="21">
        <v>0</v>
      </c>
      <c r="AE220" s="101">
        <v>0</v>
      </c>
      <c r="AF220" s="17" t="s">
        <v>129</v>
      </c>
      <c r="AG220" s="17"/>
      <c r="AI220" s="17" t="s">
        <v>964</v>
      </c>
      <c r="AJ220" s="21">
        <v>0</v>
      </c>
      <c r="AK220" s="31">
        <v>0</v>
      </c>
      <c r="AL220" s="21">
        <v>0</v>
      </c>
      <c r="AM220" s="31">
        <v>0</v>
      </c>
      <c r="AN220" s="21">
        <v>0</v>
      </c>
      <c r="AO220" s="31">
        <v>0</v>
      </c>
      <c r="AP220" s="21">
        <v>0</v>
      </c>
      <c r="AQ220" s="31">
        <v>0</v>
      </c>
      <c r="AR220" s="21">
        <v>0</v>
      </c>
      <c r="AS220" s="31">
        <v>0</v>
      </c>
      <c r="AT220" s="21">
        <v>0</v>
      </c>
      <c r="AU220" s="31">
        <v>0</v>
      </c>
      <c r="AV220" s="21">
        <v>0</v>
      </c>
      <c r="AW220" s="31">
        <v>0</v>
      </c>
      <c r="AX220" s="31">
        <v>0</v>
      </c>
      <c r="AY220" s="31">
        <v>0</v>
      </c>
      <c r="AZ220" s="31">
        <v>0</v>
      </c>
      <c r="BA220" s="31">
        <v>0</v>
      </c>
      <c r="BB220" s="31">
        <v>0</v>
      </c>
      <c r="BC220" s="31">
        <v>0</v>
      </c>
      <c r="BD220" s="31">
        <v>0</v>
      </c>
      <c r="BE220" s="31">
        <v>0</v>
      </c>
      <c r="BF220" s="31">
        <v>0</v>
      </c>
      <c r="BG220" s="31">
        <v>0</v>
      </c>
      <c r="BH220" s="31">
        <v>0</v>
      </c>
      <c r="BI220" s="31">
        <v>0</v>
      </c>
      <c r="BJ220" s="31">
        <v>0</v>
      </c>
      <c r="BK220" s="31">
        <v>0</v>
      </c>
      <c r="BL220" s="17" t="s">
        <v>964</v>
      </c>
      <c r="BM220" s="31">
        <v>0</v>
      </c>
      <c r="BN220" s="31">
        <v>0</v>
      </c>
      <c r="BO220" s="31">
        <v>0</v>
      </c>
      <c r="BP220" s="31">
        <v>0</v>
      </c>
      <c r="BQ220" s="31">
        <v>0</v>
      </c>
      <c r="BR220" s="31">
        <v>0</v>
      </c>
      <c r="BS220" s="31">
        <v>0</v>
      </c>
      <c r="BT220" s="31">
        <v>0</v>
      </c>
      <c r="BU220" s="31">
        <v>0</v>
      </c>
      <c r="BV220" s="31">
        <v>0</v>
      </c>
      <c r="BW220" s="21">
        <f>IF(Table1[[#This Row],[Sustainability Check 2 (2018-2019) Status]]="Continued", Table1[Check 2 Students Spring], 0)</f>
        <v>0</v>
      </c>
      <c r="BX220" s="31">
        <f>Table1[[#This Row],[Summer 2018 Price Check]]*Table1[[#This Row],[Spring 2019 Students]]</f>
        <v>0</v>
      </c>
      <c r="BY220" s="31">
        <f t="shared" si="166"/>
        <v>0</v>
      </c>
      <c r="BZ220" s="58">
        <f t="shared" si="167"/>
        <v>0</v>
      </c>
      <c r="CA220" s="17" t="s">
        <v>964</v>
      </c>
      <c r="CB220" s="21"/>
      <c r="CC220" s="21"/>
      <c r="CD220" s="21"/>
      <c r="CE220" s="21">
        <f t="shared" si="176"/>
        <v>0</v>
      </c>
      <c r="CF220" s="58"/>
      <c r="CG220" s="31">
        <f t="shared" si="169"/>
        <v>0</v>
      </c>
      <c r="CH220" s="101">
        <v>0</v>
      </c>
      <c r="CI220" s="21">
        <f>IF(Table1[[#This Row],[Check 3 Status]]="Continued", Table1[[#This Row],[Check 3 Students Summer]], 0)</f>
        <v>0</v>
      </c>
      <c r="CJ220" s="31">
        <f>Table1[[#This Row],[Check 3 Per Student Savings]]*CI220</f>
        <v>0</v>
      </c>
      <c r="CK220" s="21">
        <f>IF(Table1[[#This Row],[Check 3 Status]]="Continued", Table1[[#This Row],[Check 3 Students Fall]], 0)</f>
        <v>0</v>
      </c>
      <c r="CL220" s="31">
        <f>Table1[[#This Row],[Check 3 Per Student Savings]]*CK220</f>
        <v>0</v>
      </c>
      <c r="CM220" s="21">
        <f>IF(Table1[[#This Row],[Check 3 Status]]="Continued", Table1[[#This Row],[Check 3 Students Spring]], 0)</f>
        <v>0</v>
      </c>
      <c r="CN220" s="31">
        <f>Table1[[#This Row],[Check 3 Per Student Savings]]*CM220</f>
        <v>0</v>
      </c>
      <c r="CO220" s="21">
        <f t="shared" si="170"/>
        <v>0</v>
      </c>
      <c r="CP220" s="31">
        <f t="shared" si="171"/>
        <v>0</v>
      </c>
      <c r="CQ220" s="31" t="s">
        <v>964</v>
      </c>
      <c r="CR220" s="21"/>
      <c r="CS220" s="21"/>
      <c r="CT220" s="21"/>
      <c r="CU220" s="21">
        <f t="shared" si="172"/>
        <v>0</v>
      </c>
      <c r="CW220" s="31">
        <f t="shared" si="173"/>
        <v>0</v>
      </c>
      <c r="CY220" s="21">
        <f>IF(Table1[[#This Row],[Check 4 Status]]="Continued", Table1[[#This Row],[Check 4 Students Summer]], 0)</f>
        <v>0</v>
      </c>
      <c r="CZ220" s="58">
        <f>Table1[[#This Row],[Check 4 Per Student Savings]]*CY220</f>
        <v>0</v>
      </c>
      <c r="DA220" s="21">
        <f>IF(Table1[[#This Row],[Check 4 Status]]="Continued", Table1[[#This Row],[Check 4 Students Fall]], 0)</f>
        <v>0</v>
      </c>
      <c r="DB220" s="31">
        <f>Table1[[#This Row],[Check 4 Per Student Savings]]*DA220</f>
        <v>0</v>
      </c>
      <c r="DC220" s="21">
        <f>IF(Table1[[#This Row],[Check 4 Status]]="Continued", Table1[[#This Row],[Check 4 Students Spring]], 0)</f>
        <v>0</v>
      </c>
      <c r="DD220" s="58">
        <f>Table1[[#This Row],[Check 4 Per Student Savings]]*DC220</f>
        <v>0</v>
      </c>
      <c r="DE220" s="58">
        <f t="shared" si="174"/>
        <v>0</v>
      </c>
      <c r="DF220" s="58">
        <f t="shared" si="175"/>
        <v>0</v>
      </c>
      <c r="DG22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2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20" s="58">
        <f>Table1[[#This Row],[Grand Total Savings]]/Table1[[#This Row],[Total Award]]</f>
        <v>0</v>
      </c>
      <c r="DJ220" s="17"/>
      <c r="DK220" s="17"/>
      <c r="DL220" s="17"/>
      <c r="DM220" s="17"/>
      <c r="EC220" s="17"/>
      <c r="ED220" s="17"/>
      <c r="EE220" s="17"/>
      <c r="EF220" s="17"/>
    </row>
    <row r="221" spans="1:136" x14ac:dyDescent="0.25">
      <c r="A221" s="159" t="s">
        <v>1058</v>
      </c>
      <c r="B221" s="17" t="s">
        <v>2011</v>
      </c>
      <c r="D221" s="97">
        <v>514325</v>
      </c>
      <c r="E221" s="165">
        <v>43264</v>
      </c>
      <c r="F221" s="158">
        <v>43472</v>
      </c>
      <c r="G221" s="159">
        <v>11</v>
      </c>
      <c r="H221" s="95" t="s">
        <v>7</v>
      </c>
      <c r="I221" s="17" t="s">
        <v>962</v>
      </c>
      <c r="J221" s="17" t="s">
        <v>276</v>
      </c>
      <c r="K221" s="107">
        <v>4800</v>
      </c>
      <c r="L221" s="107"/>
      <c r="M221" s="101" t="s">
        <v>1059</v>
      </c>
      <c r="N221" s="101" t="s">
        <v>1060</v>
      </c>
      <c r="O221" s="101" t="s">
        <v>1061</v>
      </c>
      <c r="P221" s="101" t="s">
        <v>1062</v>
      </c>
      <c r="Q221" s="101" t="s">
        <v>641</v>
      </c>
      <c r="R221" s="101" t="s">
        <v>129</v>
      </c>
      <c r="S221" s="101" t="s">
        <v>953</v>
      </c>
      <c r="T221" s="101" t="s">
        <v>953</v>
      </c>
      <c r="U221" s="101" t="s">
        <v>953</v>
      </c>
      <c r="V221" s="17" t="s">
        <v>140</v>
      </c>
      <c r="W221" s="17" t="s">
        <v>140</v>
      </c>
      <c r="X221" s="17" t="s">
        <v>140</v>
      </c>
      <c r="Y221" s="58">
        <v>0</v>
      </c>
      <c r="Z221" s="101">
        <v>0</v>
      </c>
      <c r="AA221" s="58">
        <v>0</v>
      </c>
      <c r="AB221" s="21">
        <v>0</v>
      </c>
      <c r="AC221" s="21">
        <v>0</v>
      </c>
      <c r="AD221" s="21">
        <v>0</v>
      </c>
      <c r="AE221" s="101">
        <v>0</v>
      </c>
      <c r="AF221" s="17" t="s">
        <v>129</v>
      </c>
      <c r="AG221" s="17"/>
      <c r="AI221" s="17" t="s">
        <v>964</v>
      </c>
      <c r="AJ221" s="21">
        <v>0</v>
      </c>
      <c r="AK221" s="31">
        <v>0</v>
      </c>
      <c r="AL221" s="21">
        <v>0</v>
      </c>
      <c r="AM221" s="31">
        <v>0</v>
      </c>
      <c r="AN221" s="21">
        <v>0</v>
      </c>
      <c r="AO221" s="31">
        <v>0</v>
      </c>
      <c r="AP221" s="21">
        <v>0</v>
      </c>
      <c r="AQ221" s="31">
        <v>0</v>
      </c>
      <c r="AR221" s="21">
        <v>0</v>
      </c>
      <c r="AS221" s="31">
        <v>0</v>
      </c>
      <c r="AT221" s="21">
        <v>0</v>
      </c>
      <c r="AU221" s="31">
        <v>0</v>
      </c>
      <c r="AV221" s="21">
        <v>0</v>
      </c>
      <c r="AW221" s="31">
        <v>0</v>
      </c>
      <c r="AX221" s="31">
        <v>0</v>
      </c>
      <c r="AY221" s="31">
        <v>0</v>
      </c>
      <c r="AZ221" s="31">
        <v>0</v>
      </c>
      <c r="BA221" s="31">
        <v>0</v>
      </c>
      <c r="BB221" s="31">
        <v>0</v>
      </c>
      <c r="BC221" s="31">
        <v>0</v>
      </c>
      <c r="BD221" s="31">
        <v>0</v>
      </c>
      <c r="BE221" s="31">
        <v>0</v>
      </c>
      <c r="BF221" s="31">
        <v>0</v>
      </c>
      <c r="BG221" s="31">
        <v>0</v>
      </c>
      <c r="BH221" s="31">
        <v>0</v>
      </c>
      <c r="BI221" s="31">
        <v>0</v>
      </c>
      <c r="BJ221" s="31">
        <v>0</v>
      </c>
      <c r="BK221" s="31">
        <v>0</v>
      </c>
      <c r="BL221" s="17" t="s">
        <v>964</v>
      </c>
      <c r="BM221" s="31">
        <v>0</v>
      </c>
      <c r="BN221" s="31">
        <v>0</v>
      </c>
      <c r="BO221" s="31">
        <v>0</v>
      </c>
      <c r="BP221" s="31">
        <v>0</v>
      </c>
      <c r="BQ221" s="31">
        <v>0</v>
      </c>
      <c r="BR221" s="31">
        <v>0</v>
      </c>
      <c r="BS221" s="31">
        <v>0</v>
      </c>
      <c r="BT221" s="31">
        <v>0</v>
      </c>
      <c r="BU221" s="31">
        <v>0</v>
      </c>
      <c r="BV221" s="31">
        <v>0</v>
      </c>
      <c r="BW221" s="21">
        <f>IF(Table1[[#This Row],[Sustainability Check 2 (2018-2019) Status]]="Continued", Table1[Check 2 Students Spring], 0)</f>
        <v>0</v>
      </c>
      <c r="BX221" s="31">
        <f>Table1[[#This Row],[Summer 2018 Price Check]]*Table1[[#This Row],[Spring 2019 Students]]</f>
        <v>0</v>
      </c>
      <c r="BY221" s="31">
        <f t="shared" si="166"/>
        <v>0</v>
      </c>
      <c r="BZ221" s="58">
        <f t="shared" si="167"/>
        <v>0</v>
      </c>
      <c r="CA221" s="17" t="s">
        <v>964</v>
      </c>
      <c r="CB221" s="21"/>
      <c r="CC221" s="21"/>
      <c r="CD221" s="21"/>
      <c r="CE221" s="21">
        <f t="shared" si="176"/>
        <v>0</v>
      </c>
      <c r="CF221" s="58"/>
      <c r="CG221" s="31">
        <f t="shared" si="169"/>
        <v>0</v>
      </c>
      <c r="CH221" s="101">
        <v>0</v>
      </c>
      <c r="CI221" s="21">
        <f>IF(Table1[[#This Row],[Check 3 Status]]="Continued", Table1[[#This Row],[Check 3 Students Summer]], 0)</f>
        <v>0</v>
      </c>
      <c r="CJ221" s="31">
        <f>Table1[[#This Row],[Check 3 Per Student Savings]]*CI221</f>
        <v>0</v>
      </c>
      <c r="CK221" s="21">
        <f>IF(Table1[[#This Row],[Check 3 Status]]="Continued", Table1[[#This Row],[Check 3 Students Fall]], 0)</f>
        <v>0</v>
      </c>
      <c r="CL221" s="31">
        <f>Table1[[#This Row],[Check 3 Per Student Savings]]*CK221</f>
        <v>0</v>
      </c>
      <c r="CM221" s="21">
        <f>IF(Table1[[#This Row],[Check 3 Status]]="Continued", Table1[[#This Row],[Check 3 Students Spring]], 0)</f>
        <v>0</v>
      </c>
      <c r="CN221" s="31">
        <f>Table1[[#This Row],[Check 3 Per Student Savings]]*CM221</f>
        <v>0</v>
      </c>
      <c r="CO221" s="21">
        <f t="shared" si="170"/>
        <v>0</v>
      </c>
      <c r="CP221" s="31">
        <f t="shared" si="171"/>
        <v>0</v>
      </c>
      <c r="CQ221" s="31" t="s">
        <v>964</v>
      </c>
      <c r="CR221" s="21"/>
      <c r="CS221" s="21"/>
      <c r="CT221" s="21"/>
      <c r="CU221" s="21">
        <f t="shared" si="172"/>
        <v>0</v>
      </c>
      <c r="CW221" s="31">
        <f t="shared" si="173"/>
        <v>0</v>
      </c>
      <c r="CY221" s="21">
        <f>IF(Table1[[#This Row],[Check 4 Status]]="Continued", Table1[[#This Row],[Check 4 Students Summer]], 0)</f>
        <v>0</v>
      </c>
      <c r="CZ221" s="58">
        <f>Table1[[#This Row],[Check 4 Per Student Savings]]*CY221</f>
        <v>0</v>
      </c>
      <c r="DA221" s="21">
        <f>IF(Table1[[#This Row],[Check 4 Status]]="Continued", Table1[[#This Row],[Check 4 Students Fall]], 0)</f>
        <v>0</v>
      </c>
      <c r="DB221" s="31">
        <f>Table1[[#This Row],[Check 4 Per Student Savings]]*DA221</f>
        <v>0</v>
      </c>
      <c r="DC221" s="21">
        <f>IF(Table1[[#This Row],[Check 4 Status]]="Continued", Table1[[#This Row],[Check 4 Students Spring]], 0)</f>
        <v>0</v>
      </c>
      <c r="DD221" s="58">
        <f>Table1[[#This Row],[Check 4 Per Student Savings]]*DC221</f>
        <v>0</v>
      </c>
      <c r="DE221" s="58">
        <f t="shared" si="174"/>
        <v>0</v>
      </c>
      <c r="DF221" s="58">
        <f t="shared" si="175"/>
        <v>0</v>
      </c>
      <c r="DG22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2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21" s="58">
        <f>Table1[[#This Row],[Grand Total Savings]]/Table1[[#This Row],[Total Award]]</f>
        <v>0</v>
      </c>
      <c r="DJ221" s="17"/>
      <c r="DK221" s="17"/>
      <c r="DL221" s="17"/>
      <c r="DM221" s="17"/>
      <c r="EC221" s="17"/>
      <c r="ED221" s="17"/>
      <c r="EE221" s="17"/>
      <c r="EF221" s="17"/>
    </row>
    <row r="222" spans="1:136" x14ac:dyDescent="0.25">
      <c r="A222" s="159" t="s">
        <v>1063</v>
      </c>
      <c r="B222" s="17" t="s">
        <v>2011</v>
      </c>
      <c r="D222" s="97">
        <v>514141</v>
      </c>
      <c r="E222" s="165">
        <v>43193</v>
      </c>
      <c r="G222" s="159">
        <v>11</v>
      </c>
      <c r="H222" s="95" t="s">
        <v>7</v>
      </c>
      <c r="I222" s="17" t="s">
        <v>962</v>
      </c>
      <c r="J222" s="17" t="s">
        <v>499</v>
      </c>
      <c r="K222" s="107">
        <v>4800</v>
      </c>
      <c r="L222" s="107"/>
      <c r="M222" s="101" t="s">
        <v>1064</v>
      </c>
      <c r="N222" s="101" t="s">
        <v>1065</v>
      </c>
      <c r="O222" s="101" t="s">
        <v>122</v>
      </c>
      <c r="P222" s="101" t="s">
        <v>123</v>
      </c>
      <c r="Q222" s="101" t="s">
        <v>124</v>
      </c>
      <c r="R222" s="101" t="s">
        <v>122</v>
      </c>
      <c r="S222" s="173" t="s">
        <v>912</v>
      </c>
      <c r="T222" s="173" t="s">
        <v>912</v>
      </c>
      <c r="U222" s="173" t="s">
        <v>912</v>
      </c>
      <c r="V222" s="17" t="s">
        <v>140</v>
      </c>
      <c r="W222" s="17" t="s">
        <v>140</v>
      </c>
      <c r="X222" s="17" t="s">
        <v>140</v>
      </c>
      <c r="Y222" s="58">
        <v>0</v>
      </c>
      <c r="Z222" s="101">
        <v>0</v>
      </c>
      <c r="AA222" s="58">
        <v>0</v>
      </c>
      <c r="AB222" s="21">
        <v>0</v>
      </c>
      <c r="AC222" s="21">
        <v>0</v>
      </c>
      <c r="AD222" s="21">
        <v>0</v>
      </c>
      <c r="AE222" s="101">
        <v>0</v>
      </c>
      <c r="AF222" s="17" t="s">
        <v>129</v>
      </c>
      <c r="AG222" s="17"/>
      <c r="AI222" s="17" t="s">
        <v>964</v>
      </c>
      <c r="AJ222" s="21">
        <v>0</v>
      </c>
      <c r="AK222" s="31">
        <v>0</v>
      </c>
      <c r="AL222" s="21">
        <v>0</v>
      </c>
      <c r="AM222" s="31">
        <v>0</v>
      </c>
      <c r="AN222" s="21">
        <v>0</v>
      </c>
      <c r="AO222" s="31">
        <v>0</v>
      </c>
      <c r="AP222" s="21">
        <v>0</v>
      </c>
      <c r="AQ222" s="31">
        <v>0</v>
      </c>
      <c r="AR222" s="21">
        <v>0</v>
      </c>
      <c r="AS222" s="31">
        <v>0</v>
      </c>
      <c r="AT222" s="21">
        <v>0</v>
      </c>
      <c r="AU222" s="31">
        <v>0</v>
      </c>
      <c r="AV222" s="21">
        <v>0</v>
      </c>
      <c r="AW222" s="31">
        <v>0</v>
      </c>
      <c r="AX222" s="31">
        <v>0</v>
      </c>
      <c r="AY222" s="31">
        <v>0</v>
      </c>
      <c r="AZ222" s="31">
        <v>0</v>
      </c>
      <c r="BA222" s="31">
        <v>0</v>
      </c>
      <c r="BB222" s="31">
        <v>0</v>
      </c>
      <c r="BC222" s="31">
        <v>0</v>
      </c>
      <c r="BD222" s="31">
        <v>0</v>
      </c>
      <c r="BE222" s="31">
        <v>0</v>
      </c>
      <c r="BF222" s="31">
        <v>0</v>
      </c>
      <c r="BG222" s="31">
        <v>0</v>
      </c>
      <c r="BH222" s="31">
        <v>0</v>
      </c>
      <c r="BI222" s="31">
        <v>0</v>
      </c>
      <c r="BJ222" s="31">
        <v>0</v>
      </c>
      <c r="BK222" s="31">
        <v>0</v>
      </c>
      <c r="BL222" s="17" t="s">
        <v>964</v>
      </c>
      <c r="BM222" s="31">
        <v>0</v>
      </c>
      <c r="BN222" s="31">
        <v>0</v>
      </c>
      <c r="BO222" s="31">
        <v>0</v>
      </c>
      <c r="BP222" s="31">
        <v>0</v>
      </c>
      <c r="BQ222" s="31">
        <v>0</v>
      </c>
      <c r="BR222" s="31">
        <v>0</v>
      </c>
      <c r="BS222" s="31">
        <v>0</v>
      </c>
      <c r="BT222" s="31">
        <v>0</v>
      </c>
      <c r="BU222" s="31">
        <v>0</v>
      </c>
      <c r="BV222" s="31">
        <v>0</v>
      </c>
      <c r="BW222" s="21">
        <f>IF(Table1[[#This Row],[Sustainability Check 2 (2018-2019) Status]]="Continued", Table1[Check 2 Students Spring], 0)</f>
        <v>0</v>
      </c>
      <c r="BX222" s="31">
        <f>Table1[[#This Row],[Summer 2018 Price Check]]*Table1[[#This Row],[Spring 2019 Students]]</f>
        <v>0</v>
      </c>
      <c r="BY222" s="31">
        <f t="shared" si="166"/>
        <v>0</v>
      </c>
      <c r="BZ222" s="58">
        <f t="shared" si="167"/>
        <v>0</v>
      </c>
      <c r="CA222" s="17" t="s">
        <v>964</v>
      </c>
      <c r="CB222" s="21"/>
      <c r="CC222" s="21"/>
      <c r="CD222" s="21"/>
      <c r="CE222" s="21">
        <f t="shared" si="176"/>
        <v>0</v>
      </c>
      <c r="CF222" s="58"/>
      <c r="CG222" s="31">
        <f t="shared" si="169"/>
        <v>0</v>
      </c>
      <c r="CH222" s="101">
        <v>0</v>
      </c>
      <c r="CI222" s="21">
        <f>IF(Table1[[#This Row],[Check 3 Status]]="Continued", Table1[[#This Row],[Check 3 Students Summer]], 0)</f>
        <v>0</v>
      </c>
      <c r="CJ222" s="31">
        <f>Table1[[#This Row],[Check 3 Per Student Savings]]*CI222</f>
        <v>0</v>
      </c>
      <c r="CK222" s="21">
        <f>IF(Table1[[#This Row],[Check 3 Status]]="Continued", Table1[[#This Row],[Check 3 Students Fall]], 0)</f>
        <v>0</v>
      </c>
      <c r="CL222" s="31">
        <f>Table1[[#This Row],[Check 3 Per Student Savings]]*CK222</f>
        <v>0</v>
      </c>
      <c r="CM222" s="21">
        <f>IF(Table1[[#This Row],[Check 3 Status]]="Continued", Table1[[#This Row],[Check 3 Students Spring]], 0)</f>
        <v>0</v>
      </c>
      <c r="CN222" s="31">
        <f>Table1[[#This Row],[Check 3 Per Student Savings]]*CM222</f>
        <v>0</v>
      </c>
      <c r="CO222" s="21">
        <f t="shared" si="170"/>
        <v>0</v>
      </c>
      <c r="CP222" s="31">
        <f t="shared" si="171"/>
        <v>0</v>
      </c>
      <c r="CQ222" s="31" t="s">
        <v>964</v>
      </c>
      <c r="CR222" s="21"/>
      <c r="CS222" s="21"/>
      <c r="CT222" s="21"/>
      <c r="CU222" s="21">
        <f t="shared" si="172"/>
        <v>0</v>
      </c>
      <c r="CW222" s="31">
        <f t="shared" si="173"/>
        <v>0</v>
      </c>
      <c r="CY222" s="21">
        <f>IF(Table1[[#This Row],[Check 4 Status]]="Continued", Table1[[#This Row],[Check 4 Students Summer]], 0)</f>
        <v>0</v>
      </c>
      <c r="CZ222" s="58">
        <f>Table1[[#This Row],[Check 4 Per Student Savings]]*CY222</f>
        <v>0</v>
      </c>
      <c r="DA222" s="21">
        <f>IF(Table1[[#This Row],[Check 4 Status]]="Continued", Table1[[#This Row],[Check 4 Students Fall]], 0)</f>
        <v>0</v>
      </c>
      <c r="DB222" s="31">
        <f>Table1[[#This Row],[Check 4 Per Student Savings]]*DA222</f>
        <v>0</v>
      </c>
      <c r="DC222" s="21">
        <f>IF(Table1[[#This Row],[Check 4 Status]]="Continued", Table1[[#This Row],[Check 4 Students Spring]], 0)</f>
        <v>0</v>
      </c>
      <c r="DD222" s="58">
        <f>Table1[[#This Row],[Check 4 Per Student Savings]]*DC222</f>
        <v>0</v>
      </c>
      <c r="DE222" s="58">
        <f t="shared" si="174"/>
        <v>0</v>
      </c>
      <c r="DF222" s="58">
        <f t="shared" si="175"/>
        <v>0</v>
      </c>
      <c r="DG22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2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22" s="58">
        <f>Table1[[#This Row],[Grand Total Savings]]/Table1[[#This Row],[Total Award]]</f>
        <v>0</v>
      </c>
      <c r="DJ222" s="17"/>
      <c r="DK222" s="17"/>
      <c r="DL222" s="17"/>
      <c r="DM222" s="17"/>
      <c r="EC222" s="17"/>
      <c r="ED222" s="17"/>
      <c r="EE222" s="17"/>
      <c r="EF222" s="17"/>
    </row>
    <row r="223" spans="1:136" x14ac:dyDescent="0.25">
      <c r="A223" s="159" t="s">
        <v>1066</v>
      </c>
      <c r="B223" s="17" t="s">
        <v>2011</v>
      </c>
      <c r="D223" s="97">
        <v>514203</v>
      </c>
      <c r="E223" s="165">
        <v>43201</v>
      </c>
      <c r="F223" s="158">
        <v>43472</v>
      </c>
      <c r="G223" s="159">
        <v>11</v>
      </c>
      <c r="H223" s="95" t="s">
        <v>7</v>
      </c>
      <c r="I223" s="17" t="s">
        <v>962</v>
      </c>
      <c r="J223" s="17" t="s">
        <v>243</v>
      </c>
      <c r="K223" s="107">
        <v>2000</v>
      </c>
      <c r="L223" s="107"/>
      <c r="M223" s="101" t="s">
        <v>1067</v>
      </c>
      <c r="N223" s="101" t="s">
        <v>479</v>
      </c>
      <c r="O223" s="101" t="s">
        <v>1068</v>
      </c>
      <c r="P223" s="101" t="s">
        <v>481</v>
      </c>
      <c r="Q223" s="101" t="s">
        <v>177</v>
      </c>
      <c r="R223" s="101" t="s">
        <v>129</v>
      </c>
      <c r="S223" s="173" t="s">
        <v>912</v>
      </c>
      <c r="T223" s="173" t="s">
        <v>912</v>
      </c>
      <c r="U223" s="173" t="s">
        <v>912</v>
      </c>
      <c r="V223" s="17" t="s">
        <v>140</v>
      </c>
      <c r="W223" s="17" t="s">
        <v>140</v>
      </c>
      <c r="X223" s="17" t="s">
        <v>140</v>
      </c>
      <c r="Y223" s="58">
        <v>0</v>
      </c>
      <c r="Z223" s="101">
        <v>0</v>
      </c>
      <c r="AA223" s="58">
        <v>0</v>
      </c>
      <c r="AB223" s="21">
        <v>0</v>
      </c>
      <c r="AC223" s="21">
        <v>0</v>
      </c>
      <c r="AD223" s="21">
        <v>0</v>
      </c>
      <c r="AE223" s="101">
        <v>0</v>
      </c>
      <c r="AF223" s="17" t="s">
        <v>129</v>
      </c>
      <c r="AG223" s="17"/>
      <c r="AI223" s="17" t="s">
        <v>964</v>
      </c>
      <c r="AJ223" s="21">
        <v>0</v>
      </c>
      <c r="AK223" s="31">
        <v>0</v>
      </c>
      <c r="AL223" s="21">
        <v>0</v>
      </c>
      <c r="AM223" s="31">
        <v>0</v>
      </c>
      <c r="AN223" s="21">
        <v>0</v>
      </c>
      <c r="AO223" s="31">
        <v>0</v>
      </c>
      <c r="AP223" s="21">
        <v>0</v>
      </c>
      <c r="AQ223" s="31">
        <v>0</v>
      </c>
      <c r="AR223" s="21">
        <v>0</v>
      </c>
      <c r="AS223" s="31">
        <v>0</v>
      </c>
      <c r="AT223" s="21">
        <v>0</v>
      </c>
      <c r="AU223" s="31">
        <v>0</v>
      </c>
      <c r="AV223" s="21">
        <v>0</v>
      </c>
      <c r="AW223" s="31">
        <v>0</v>
      </c>
      <c r="AX223" s="31">
        <v>0</v>
      </c>
      <c r="AY223" s="31">
        <v>0</v>
      </c>
      <c r="AZ223" s="31">
        <v>0</v>
      </c>
      <c r="BA223" s="31">
        <v>0</v>
      </c>
      <c r="BB223" s="31">
        <v>0</v>
      </c>
      <c r="BC223" s="31">
        <v>0</v>
      </c>
      <c r="BD223" s="31">
        <v>0</v>
      </c>
      <c r="BE223" s="31">
        <v>0</v>
      </c>
      <c r="BF223" s="31">
        <v>0</v>
      </c>
      <c r="BG223" s="31">
        <v>0</v>
      </c>
      <c r="BH223" s="31">
        <v>0</v>
      </c>
      <c r="BI223" s="31">
        <v>0</v>
      </c>
      <c r="BJ223" s="31">
        <v>0</v>
      </c>
      <c r="BK223" s="31">
        <v>0</v>
      </c>
      <c r="BL223" s="17" t="s">
        <v>964</v>
      </c>
      <c r="BM223" s="31">
        <v>0</v>
      </c>
      <c r="BN223" s="31">
        <v>0</v>
      </c>
      <c r="BO223" s="31">
        <v>0</v>
      </c>
      <c r="BP223" s="31">
        <v>0</v>
      </c>
      <c r="BQ223" s="31">
        <v>0</v>
      </c>
      <c r="BR223" s="31">
        <v>0</v>
      </c>
      <c r="BS223" s="31">
        <v>0</v>
      </c>
      <c r="BT223" s="31">
        <v>0</v>
      </c>
      <c r="BU223" s="31">
        <v>0</v>
      </c>
      <c r="BV223" s="31">
        <v>0</v>
      </c>
      <c r="BW223" s="21">
        <f>IF(Table1[[#This Row],[Sustainability Check 2 (2018-2019) Status]]="Continued", Table1[Check 2 Students Spring], 0)</f>
        <v>0</v>
      </c>
      <c r="BX223" s="31">
        <f>Table1[[#This Row],[Summer 2018 Price Check]]*Table1[[#This Row],[Spring 2019 Students]]</f>
        <v>0</v>
      </c>
      <c r="BY223" s="31">
        <f t="shared" si="166"/>
        <v>0</v>
      </c>
      <c r="BZ223" s="58">
        <f t="shared" si="167"/>
        <v>0</v>
      </c>
      <c r="CA223" s="17" t="s">
        <v>964</v>
      </c>
      <c r="CB223" s="21"/>
      <c r="CC223" s="21"/>
      <c r="CD223" s="21"/>
      <c r="CE223" s="21">
        <f t="shared" si="176"/>
        <v>0</v>
      </c>
      <c r="CF223" s="58"/>
      <c r="CG223" s="31">
        <f t="shared" si="169"/>
        <v>0</v>
      </c>
      <c r="CH223" s="101">
        <v>0</v>
      </c>
      <c r="CI223" s="21">
        <f>IF(Table1[[#This Row],[Check 3 Status]]="Continued", Table1[[#This Row],[Check 3 Students Summer]], 0)</f>
        <v>0</v>
      </c>
      <c r="CJ223" s="31">
        <f>Table1[[#This Row],[Check 3 Per Student Savings]]*CI223</f>
        <v>0</v>
      </c>
      <c r="CK223" s="21">
        <f>IF(Table1[[#This Row],[Check 3 Status]]="Continued", Table1[[#This Row],[Check 3 Students Fall]], 0)</f>
        <v>0</v>
      </c>
      <c r="CL223" s="31">
        <f>Table1[[#This Row],[Check 3 Per Student Savings]]*CK223</f>
        <v>0</v>
      </c>
      <c r="CM223" s="21">
        <f>IF(Table1[[#This Row],[Check 3 Status]]="Continued", Table1[[#This Row],[Check 3 Students Spring]], 0)</f>
        <v>0</v>
      </c>
      <c r="CN223" s="31">
        <f>Table1[[#This Row],[Check 3 Per Student Savings]]*CM223</f>
        <v>0</v>
      </c>
      <c r="CO223" s="21">
        <f t="shared" si="170"/>
        <v>0</v>
      </c>
      <c r="CP223" s="31">
        <f t="shared" si="171"/>
        <v>0</v>
      </c>
      <c r="CQ223" s="31" t="s">
        <v>964</v>
      </c>
      <c r="CR223" s="21"/>
      <c r="CS223" s="21"/>
      <c r="CT223" s="21"/>
      <c r="CU223" s="21">
        <f t="shared" si="172"/>
        <v>0</v>
      </c>
      <c r="CW223" s="31">
        <f t="shared" si="173"/>
        <v>0</v>
      </c>
      <c r="CY223" s="21">
        <f>IF(Table1[[#This Row],[Check 4 Status]]="Continued", Table1[[#This Row],[Check 4 Students Summer]], 0)</f>
        <v>0</v>
      </c>
      <c r="CZ223" s="58">
        <f>Table1[[#This Row],[Check 4 Per Student Savings]]*CY223</f>
        <v>0</v>
      </c>
      <c r="DA223" s="21">
        <f>IF(Table1[[#This Row],[Check 4 Status]]="Continued", Table1[[#This Row],[Check 4 Students Fall]], 0)</f>
        <v>0</v>
      </c>
      <c r="DB223" s="31">
        <f>Table1[[#This Row],[Check 4 Per Student Savings]]*DA223</f>
        <v>0</v>
      </c>
      <c r="DC223" s="21">
        <f>IF(Table1[[#This Row],[Check 4 Status]]="Continued", Table1[[#This Row],[Check 4 Students Spring]], 0)</f>
        <v>0</v>
      </c>
      <c r="DD223" s="58">
        <f>Table1[[#This Row],[Check 4 Per Student Savings]]*DC223</f>
        <v>0</v>
      </c>
      <c r="DE223" s="58">
        <f t="shared" si="174"/>
        <v>0</v>
      </c>
      <c r="DF223" s="58">
        <f t="shared" si="175"/>
        <v>0</v>
      </c>
      <c r="DG22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2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23" s="58">
        <f>Table1[[#This Row],[Grand Total Savings]]/Table1[[#This Row],[Total Award]]</f>
        <v>0</v>
      </c>
      <c r="DJ223" s="17"/>
      <c r="DK223" s="17"/>
      <c r="DL223" s="17"/>
      <c r="DM223" s="17"/>
      <c r="EC223" s="17"/>
      <c r="ED223" s="17"/>
      <c r="EE223" s="17"/>
      <c r="EF223" s="17"/>
    </row>
    <row r="224" spans="1:136" x14ac:dyDescent="0.25">
      <c r="A224" s="159" t="s">
        <v>1069</v>
      </c>
      <c r="B224" s="17" t="s">
        <v>2011</v>
      </c>
      <c r="D224" s="97">
        <v>514149</v>
      </c>
      <c r="E224" s="165">
        <v>43193</v>
      </c>
      <c r="G224" s="159">
        <v>11</v>
      </c>
      <c r="H224" s="95" t="s">
        <v>7</v>
      </c>
      <c r="I224" s="17" t="s">
        <v>962</v>
      </c>
      <c r="J224" s="17" t="s">
        <v>276</v>
      </c>
      <c r="K224" s="107">
        <v>4800</v>
      </c>
      <c r="L224" s="107"/>
      <c r="M224" s="101" t="s">
        <v>1070</v>
      </c>
      <c r="N224" s="101" t="s">
        <v>1071</v>
      </c>
      <c r="O224" s="101" t="s">
        <v>296</v>
      </c>
      <c r="P224" s="101" t="s">
        <v>901</v>
      </c>
      <c r="Q224" s="101" t="s">
        <v>192</v>
      </c>
      <c r="R224" s="101" t="s">
        <v>298</v>
      </c>
      <c r="S224" s="101" t="s">
        <v>953</v>
      </c>
      <c r="T224" s="101" t="s">
        <v>953</v>
      </c>
      <c r="U224" s="101" t="s">
        <v>953</v>
      </c>
      <c r="V224" s="17" t="s">
        <v>140</v>
      </c>
      <c r="W224" s="17" t="s">
        <v>140</v>
      </c>
      <c r="X224" s="17" t="s">
        <v>140</v>
      </c>
      <c r="Y224" s="58">
        <v>0</v>
      </c>
      <c r="Z224" s="101">
        <v>0</v>
      </c>
      <c r="AA224" s="58">
        <v>0</v>
      </c>
      <c r="AB224" s="21">
        <v>0</v>
      </c>
      <c r="AC224" s="21">
        <v>0</v>
      </c>
      <c r="AD224" s="21">
        <v>0</v>
      </c>
      <c r="AE224" s="101">
        <v>0</v>
      </c>
      <c r="AF224" s="17" t="s">
        <v>129</v>
      </c>
      <c r="AG224" s="17"/>
      <c r="AI224" s="17" t="s">
        <v>964</v>
      </c>
      <c r="AJ224" s="21">
        <v>0</v>
      </c>
      <c r="AK224" s="31">
        <v>0</v>
      </c>
      <c r="AL224" s="21">
        <v>0</v>
      </c>
      <c r="AM224" s="31">
        <v>0</v>
      </c>
      <c r="AN224" s="21">
        <v>0</v>
      </c>
      <c r="AO224" s="31">
        <v>0</v>
      </c>
      <c r="AP224" s="21">
        <v>0</v>
      </c>
      <c r="AQ224" s="31">
        <v>0</v>
      </c>
      <c r="AR224" s="21">
        <v>0</v>
      </c>
      <c r="AS224" s="31">
        <v>0</v>
      </c>
      <c r="AT224" s="21">
        <v>0</v>
      </c>
      <c r="AU224" s="31">
        <v>0</v>
      </c>
      <c r="AV224" s="21">
        <v>0</v>
      </c>
      <c r="AW224" s="31">
        <v>0</v>
      </c>
      <c r="AX224" s="31">
        <v>0</v>
      </c>
      <c r="AY224" s="31">
        <v>0</v>
      </c>
      <c r="AZ224" s="31">
        <v>0</v>
      </c>
      <c r="BA224" s="31">
        <v>0</v>
      </c>
      <c r="BB224" s="31">
        <v>0</v>
      </c>
      <c r="BC224" s="31">
        <v>0</v>
      </c>
      <c r="BD224" s="31">
        <v>0</v>
      </c>
      <c r="BE224" s="31">
        <v>0</v>
      </c>
      <c r="BF224" s="31">
        <v>0</v>
      </c>
      <c r="BG224" s="31">
        <v>0</v>
      </c>
      <c r="BH224" s="31">
        <v>0</v>
      </c>
      <c r="BI224" s="31">
        <v>0</v>
      </c>
      <c r="BJ224" s="31">
        <v>0</v>
      </c>
      <c r="BK224" s="31">
        <v>0</v>
      </c>
      <c r="BL224" s="17" t="s">
        <v>964</v>
      </c>
      <c r="BM224" s="31">
        <v>0</v>
      </c>
      <c r="BN224" s="31">
        <v>0</v>
      </c>
      <c r="BO224" s="31">
        <v>0</v>
      </c>
      <c r="BP224" s="31">
        <v>0</v>
      </c>
      <c r="BQ224" s="31">
        <v>0</v>
      </c>
      <c r="BR224" s="31">
        <v>0</v>
      </c>
      <c r="BS224" s="31">
        <v>0</v>
      </c>
      <c r="BT224" s="31">
        <v>0</v>
      </c>
      <c r="BU224" s="31">
        <v>0</v>
      </c>
      <c r="BV224" s="31">
        <v>0</v>
      </c>
      <c r="BW224" s="21">
        <f>IF(Table1[[#This Row],[Sustainability Check 2 (2018-2019) Status]]="Continued", Table1[Check 2 Students Spring], 0)</f>
        <v>0</v>
      </c>
      <c r="BX224" s="31">
        <f>Table1[[#This Row],[Summer 2018 Price Check]]*Table1[[#This Row],[Spring 2019 Students]]</f>
        <v>0</v>
      </c>
      <c r="BY224" s="31">
        <f t="shared" si="166"/>
        <v>0</v>
      </c>
      <c r="BZ224" s="58">
        <f t="shared" si="167"/>
        <v>0</v>
      </c>
      <c r="CA224" s="17" t="s">
        <v>964</v>
      </c>
      <c r="CB224" s="21"/>
      <c r="CC224" s="21"/>
      <c r="CD224" s="21"/>
      <c r="CE224" s="21">
        <f t="shared" si="176"/>
        <v>0</v>
      </c>
      <c r="CF224" s="58"/>
      <c r="CG224" s="31">
        <f t="shared" si="169"/>
        <v>0</v>
      </c>
      <c r="CH224" s="101">
        <v>0</v>
      </c>
      <c r="CI224" s="21">
        <f>IF(Table1[[#This Row],[Check 3 Status]]="Continued", Table1[[#This Row],[Check 3 Students Summer]], 0)</f>
        <v>0</v>
      </c>
      <c r="CJ224" s="31">
        <f>Table1[[#This Row],[Check 3 Per Student Savings]]*CI224</f>
        <v>0</v>
      </c>
      <c r="CK224" s="21">
        <f>IF(Table1[[#This Row],[Check 3 Status]]="Continued", Table1[[#This Row],[Check 3 Students Fall]], 0)</f>
        <v>0</v>
      </c>
      <c r="CL224" s="31">
        <f>Table1[[#This Row],[Check 3 Per Student Savings]]*CK224</f>
        <v>0</v>
      </c>
      <c r="CM224" s="21">
        <f>IF(Table1[[#This Row],[Check 3 Status]]="Continued", Table1[[#This Row],[Check 3 Students Spring]], 0)</f>
        <v>0</v>
      </c>
      <c r="CN224" s="31">
        <f>Table1[[#This Row],[Check 3 Per Student Savings]]*CM224</f>
        <v>0</v>
      </c>
      <c r="CO224" s="21">
        <f t="shared" si="170"/>
        <v>0</v>
      </c>
      <c r="CP224" s="31">
        <f t="shared" si="171"/>
        <v>0</v>
      </c>
      <c r="CQ224" s="31" t="s">
        <v>964</v>
      </c>
      <c r="CR224" s="21"/>
      <c r="CS224" s="21"/>
      <c r="CT224" s="21"/>
      <c r="CU224" s="21">
        <f t="shared" si="172"/>
        <v>0</v>
      </c>
      <c r="CW224" s="31">
        <f t="shared" si="173"/>
        <v>0</v>
      </c>
      <c r="CY224" s="21">
        <f>IF(Table1[[#This Row],[Check 4 Status]]="Continued", Table1[[#This Row],[Check 4 Students Summer]], 0)</f>
        <v>0</v>
      </c>
      <c r="CZ224" s="58">
        <f>Table1[[#This Row],[Check 4 Per Student Savings]]*CY224</f>
        <v>0</v>
      </c>
      <c r="DA224" s="21">
        <f>IF(Table1[[#This Row],[Check 4 Status]]="Continued", Table1[[#This Row],[Check 4 Students Fall]], 0)</f>
        <v>0</v>
      </c>
      <c r="DB224" s="31">
        <f>Table1[[#This Row],[Check 4 Per Student Savings]]*DA224</f>
        <v>0</v>
      </c>
      <c r="DC224" s="21">
        <f>IF(Table1[[#This Row],[Check 4 Status]]="Continued", Table1[[#This Row],[Check 4 Students Spring]], 0)</f>
        <v>0</v>
      </c>
      <c r="DD224" s="58">
        <f>Table1[[#This Row],[Check 4 Per Student Savings]]*DC224</f>
        <v>0</v>
      </c>
      <c r="DE224" s="58">
        <f t="shared" si="174"/>
        <v>0</v>
      </c>
      <c r="DF224" s="58">
        <f t="shared" si="175"/>
        <v>0</v>
      </c>
      <c r="DG22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2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24" s="58">
        <f>Table1[[#This Row],[Grand Total Savings]]/Table1[[#This Row],[Total Award]]</f>
        <v>0</v>
      </c>
      <c r="DJ224" s="17"/>
      <c r="DK224" s="17"/>
      <c r="DL224" s="17"/>
      <c r="DM224" s="17"/>
      <c r="EC224" s="17"/>
      <c r="ED224" s="17"/>
      <c r="EE224" s="17"/>
      <c r="EF224" s="17"/>
    </row>
    <row r="225" spans="1:136" x14ac:dyDescent="0.25">
      <c r="A225" s="159" t="s">
        <v>1072</v>
      </c>
      <c r="B225" s="17" t="s">
        <v>2011</v>
      </c>
      <c r="D225" s="97">
        <v>514488</v>
      </c>
      <c r="E225" s="165">
        <v>43322</v>
      </c>
      <c r="F225" s="165">
        <v>43333</v>
      </c>
      <c r="G225" s="159">
        <v>11</v>
      </c>
      <c r="H225" s="95" t="s">
        <v>7</v>
      </c>
      <c r="I225" s="17" t="s">
        <v>962</v>
      </c>
      <c r="J225" s="17" t="s">
        <v>236</v>
      </c>
      <c r="K225" s="107">
        <v>4800</v>
      </c>
      <c r="L225" s="107"/>
      <c r="M225" s="101" t="s">
        <v>1073</v>
      </c>
      <c r="N225" s="101" t="s">
        <v>759</v>
      </c>
      <c r="O225" s="101" t="s">
        <v>1074</v>
      </c>
      <c r="P225" s="101" t="s">
        <v>1075</v>
      </c>
      <c r="Q225" s="101" t="s">
        <v>148</v>
      </c>
      <c r="R225" s="101" t="s">
        <v>1076</v>
      </c>
      <c r="S225" s="173" t="s">
        <v>912</v>
      </c>
      <c r="T225" s="173" t="s">
        <v>912</v>
      </c>
      <c r="U225" s="173" t="s">
        <v>912</v>
      </c>
      <c r="V225" s="17" t="s">
        <v>140</v>
      </c>
      <c r="W225" s="17" t="s">
        <v>140</v>
      </c>
      <c r="X225" s="17" t="s">
        <v>140</v>
      </c>
      <c r="Y225" s="58">
        <v>0</v>
      </c>
      <c r="Z225" s="101">
        <v>0</v>
      </c>
      <c r="AA225" s="58">
        <v>0</v>
      </c>
      <c r="AB225" s="21">
        <v>0</v>
      </c>
      <c r="AC225" s="21">
        <v>0</v>
      </c>
      <c r="AD225" s="21">
        <v>0</v>
      </c>
      <c r="AE225" s="101">
        <v>0</v>
      </c>
      <c r="AF225" s="17" t="s">
        <v>129</v>
      </c>
      <c r="AG225" s="17"/>
      <c r="AI225" s="17" t="s">
        <v>964</v>
      </c>
      <c r="AJ225" s="21">
        <v>0</v>
      </c>
      <c r="AK225" s="31">
        <v>0</v>
      </c>
      <c r="AL225" s="21">
        <v>0</v>
      </c>
      <c r="AM225" s="31">
        <v>0</v>
      </c>
      <c r="AN225" s="21">
        <v>0</v>
      </c>
      <c r="AO225" s="31">
        <v>0</v>
      </c>
      <c r="AP225" s="21">
        <v>0</v>
      </c>
      <c r="AQ225" s="31">
        <v>0</v>
      </c>
      <c r="AR225" s="21">
        <v>0</v>
      </c>
      <c r="AS225" s="31">
        <v>0</v>
      </c>
      <c r="AT225" s="21">
        <v>0</v>
      </c>
      <c r="AU225" s="31">
        <v>0</v>
      </c>
      <c r="AV225" s="21">
        <v>0</v>
      </c>
      <c r="AW225" s="31">
        <v>0</v>
      </c>
      <c r="AX225" s="31">
        <v>0</v>
      </c>
      <c r="AY225" s="31">
        <v>0</v>
      </c>
      <c r="AZ225" s="31">
        <v>0</v>
      </c>
      <c r="BA225" s="31">
        <v>0</v>
      </c>
      <c r="BB225" s="31">
        <v>0</v>
      </c>
      <c r="BC225" s="31">
        <v>0</v>
      </c>
      <c r="BD225" s="31">
        <v>0</v>
      </c>
      <c r="BE225" s="31">
        <v>0</v>
      </c>
      <c r="BF225" s="31">
        <v>0</v>
      </c>
      <c r="BG225" s="31">
        <v>0</v>
      </c>
      <c r="BH225" s="31">
        <v>0</v>
      </c>
      <c r="BI225" s="31">
        <v>0</v>
      </c>
      <c r="BJ225" s="31">
        <v>0</v>
      </c>
      <c r="BK225" s="31">
        <v>0</v>
      </c>
      <c r="BL225" s="17" t="s">
        <v>964</v>
      </c>
      <c r="BM225" s="31">
        <v>0</v>
      </c>
      <c r="BN225" s="31">
        <v>0</v>
      </c>
      <c r="BO225" s="31">
        <v>0</v>
      </c>
      <c r="BP225" s="31">
        <v>0</v>
      </c>
      <c r="BQ225" s="31">
        <v>0</v>
      </c>
      <c r="BR225" s="31">
        <v>0</v>
      </c>
      <c r="BS225" s="31">
        <v>0</v>
      </c>
      <c r="BT225" s="31">
        <v>0</v>
      </c>
      <c r="BU225" s="31">
        <v>0</v>
      </c>
      <c r="BV225" s="31">
        <v>0</v>
      </c>
      <c r="BW225" s="21">
        <f>IF(Table1[[#This Row],[Sustainability Check 2 (2018-2019) Status]]="Continued", Table1[Check 2 Students Spring], 0)</f>
        <v>0</v>
      </c>
      <c r="BX225" s="31">
        <f>Table1[[#This Row],[Summer 2018 Price Check]]*Table1[[#This Row],[Spring 2019 Students]]</f>
        <v>0</v>
      </c>
      <c r="BY225" s="31">
        <f t="shared" si="166"/>
        <v>0</v>
      </c>
      <c r="BZ225" s="58">
        <f t="shared" si="167"/>
        <v>0</v>
      </c>
      <c r="CA225" s="17" t="s">
        <v>964</v>
      </c>
      <c r="CB225" s="21"/>
      <c r="CC225" s="21"/>
      <c r="CD225" s="21"/>
      <c r="CE225" s="21">
        <f t="shared" si="176"/>
        <v>0</v>
      </c>
      <c r="CF225" s="58"/>
      <c r="CG225" s="31">
        <f t="shared" si="169"/>
        <v>0</v>
      </c>
      <c r="CH225" s="101">
        <v>0</v>
      </c>
      <c r="CI225" s="21">
        <f>IF(Table1[[#This Row],[Check 3 Status]]="Continued", Table1[[#This Row],[Check 3 Students Summer]], 0)</f>
        <v>0</v>
      </c>
      <c r="CJ225" s="31">
        <f>Table1[[#This Row],[Check 3 Per Student Savings]]*CI225</f>
        <v>0</v>
      </c>
      <c r="CK225" s="21">
        <f>IF(Table1[[#This Row],[Check 3 Status]]="Continued", Table1[[#This Row],[Check 3 Students Fall]], 0)</f>
        <v>0</v>
      </c>
      <c r="CL225" s="31">
        <f>Table1[[#This Row],[Check 3 Per Student Savings]]*CK225</f>
        <v>0</v>
      </c>
      <c r="CM225" s="21">
        <f>IF(Table1[[#This Row],[Check 3 Status]]="Continued", Table1[[#This Row],[Check 3 Students Spring]], 0)</f>
        <v>0</v>
      </c>
      <c r="CN225" s="31">
        <f>Table1[[#This Row],[Check 3 Per Student Savings]]*CM225</f>
        <v>0</v>
      </c>
      <c r="CO225" s="21">
        <f t="shared" si="170"/>
        <v>0</v>
      </c>
      <c r="CP225" s="31">
        <f t="shared" si="171"/>
        <v>0</v>
      </c>
      <c r="CQ225" s="31" t="s">
        <v>964</v>
      </c>
      <c r="CR225" s="21"/>
      <c r="CS225" s="21"/>
      <c r="CT225" s="21"/>
      <c r="CU225" s="21">
        <f t="shared" si="172"/>
        <v>0</v>
      </c>
      <c r="CW225" s="31">
        <f t="shared" si="173"/>
        <v>0</v>
      </c>
      <c r="CY225" s="21">
        <f>IF(Table1[[#This Row],[Check 4 Status]]="Continued", Table1[[#This Row],[Check 4 Students Summer]], 0)</f>
        <v>0</v>
      </c>
      <c r="CZ225" s="58">
        <f>Table1[[#This Row],[Check 4 Per Student Savings]]*CY225</f>
        <v>0</v>
      </c>
      <c r="DA225" s="21">
        <f>IF(Table1[[#This Row],[Check 4 Status]]="Continued", Table1[[#This Row],[Check 4 Students Fall]], 0)</f>
        <v>0</v>
      </c>
      <c r="DB225" s="31">
        <f>Table1[[#This Row],[Check 4 Per Student Savings]]*DA225</f>
        <v>0</v>
      </c>
      <c r="DC225" s="21">
        <f>IF(Table1[[#This Row],[Check 4 Status]]="Continued", Table1[[#This Row],[Check 4 Students Spring]], 0)</f>
        <v>0</v>
      </c>
      <c r="DD225" s="58">
        <f>Table1[[#This Row],[Check 4 Per Student Savings]]*DC225</f>
        <v>0</v>
      </c>
      <c r="DE225" s="58">
        <f t="shared" si="174"/>
        <v>0</v>
      </c>
      <c r="DF225" s="58">
        <f t="shared" si="175"/>
        <v>0</v>
      </c>
      <c r="DG22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2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25" s="58">
        <f>Table1[[#This Row],[Grand Total Savings]]/Table1[[#This Row],[Total Award]]</f>
        <v>0</v>
      </c>
      <c r="DJ225" s="17"/>
      <c r="DK225" s="17"/>
      <c r="DL225" s="17"/>
      <c r="DM225" s="17"/>
      <c r="EC225" s="17"/>
      <c r="ED225" s="17"/>
      <c r="EE225" s="17"/>
      <c r="EF225" s="17"/>
    </row>
    <row r="226" spans="1:136" x14ac:dyDescent="0.25">
      <c r="A226" s="159" t="s">
        <v>1077</v>
      </c>
      <c r="B226" s="17" t="s">
        <v>2011</v>
      </c>
      <c r="D226" s="97">
        <v>514478</v>
      </c>
      <c r="E226" s="165">
        <v>43264</v>
      </c>
      <c r="F226" s="158">
        <v>43472</v>
      </c>
      <c r="G226" s="159">
        <v>11</v>
      </c>
      <c r="H226" s="95" t="s">
        <v>7</v>
      </c>
      <c r="I226" s="17" t="s">
        <v>962</v>
      </c>
      <c r="J226" s="17" t="s">
        <v>426</v>
      </c>
      <c r="K226" s="107">
        <v>4800</v>
      </c>
      <c r="L226" s="107"/>
      <c r="M226" s="101" t="s">
        <v>1078</v>
      </c>
      <c r="N226" s="101" t="s">
        <v>1079</v>
      </c>
      <c r="O226" s="101" t="s">
        <v>728</v>
      </c>
      <c r="P226" s="101" t="s">
        <v>205</v>
      </c>
      <c r="Q226" s="101" t="s">
        <v>206</v>
      </c>
      <c r="R226" s="101" t="s">
        <v>204</v>
      </c>
      <c r="S226" s="173" t="s">
        <v>912</v>
      </c>
      <c r="T226" s="173" t="s">
        <v>912</v>
      </c>
      <c r="U226" s="173" t="s">
        <v>912</v>
      </c>
      <c r="V226" s="17" t="s">
        <v>140</v>
      </c>
      <c r="W226" s="17" t="s">
        <v>140</v>
      </c>
      <c r="X226" s="17" t="s">
        <v>140</v>
      </c>
      <c r="Y226" s="58">
        <v>0</v>
      </c>
      <c r="Z226" s="101">
        <v>0</v>
      </c>
      <c r="AA226" s="58">
        <v>0</v>
      </c>
      <c r="AB226" s="21">
        <v>0</v>
      </c>
      <c r="AC226" s="21">
        <v>0</v>
      </c>
      <c r="AD226" s="21">
        <v>0</v>
      </c>
      <c r="AE226" s="101">
        <v>0</v>
      </c>
      <c r="AF226" s="17" t="s">
        <v>129</v>
      </c>
      <c r="AG226" s="17"/>
      <c r="AI226" s="17" t="s">
        <v>964</v>
      </c>
      <c r="AJ226" s="21">
        <v>0</v>
      </c>
      <c r="AK226" s="31">
        <v>0</v>
      </c>
      <c r="AL226" s="21">
        <v>0</v>
      </c>
      <c r="AM226" s="31">
        <v>0</v>
      </c>
      <c r="AN226" s="21">
        <v>0</v>
      </c>
      <c r="AO226" s="31">
        <v>0</v>
      </c>
      <c r="AP226" s="21">
        <v>0</v>
      </c>
      <c r="AQ226" s="31">
        <v>0</v>
      </c>
      <c r="AR226" s="21">
        <v>0</v>
      </c>
      <c r="AS226" s="31">
        <v>0</v>
      </c>
      <c r="AT226" s="21">
        <v>0</v>
      </c>
      <c r="AU226" s="31">
        <v>0</v>
      </c>
      <c r="AV226" s="21">
        <v>0</v>
      </c>
      <c r="AW226" s="31">
        <v>0</v>
      </c>
      <c r="AX226" s="31">
        <v>0</v>
      </c>
      <c r="AY226" s="31">
        <v>0</v>
      </c>
      <c r="AZ226" s="31">
        <v>0</v>
      </c>
      <c r="BA226" s="31">
        <v>0</v>
      </c>
      <c r="BB226" s="31">
        <v>0</v>
      </c>
      <c r="BC226" s="31">
        <v>0</v>
      </c>
      <c r="BD226" s="31">
        <v>0</v>
      </c>
      <c r="BE226" s="31">
        <v>0</v>
      </c>
      <c r="BF226" s="31">
        <v>0</v>
      </c>
      <c r="BG226" s="31">
        <v>0</v>
      </c>
      <c r="BH226" s="31">
        <v>0</v>
      </c>
      <c r="BI226" s="31">
        <v>0</v>
      </c>
      <c r="BJ226" s="31">
        <v>0</v>
      </c>
      <c r="BK226" s="31">
        <v>0</v>
      </c>
      <c r="BL226" s="17" t="s">
        <v>964</v>
      </c>
      <c r="BM226" s="31">
        <v>0</v>
      </c>
      <c r="BN226" s="31">
        <v>0</v>
      </c>
      <c r="BO226" s="31">
        <v>0</v>
      </c>
      <c r="BP226" s="31">
        <v>0</v>
      </c>
      <c r="BQ226" s="31">
        <v>0</v>
      </c>
      <c r="BR226" s="31">
        <v>0</v>
      </c>
      <c r="BS226" s="31">
        <v>0</v>
      </c>
      <c r="BT226" s="31">
        <v>0</v>
      </c>
      <c r="BU226" s="31">
        <v>0</v>
      </c>
      <c r="BV226" s="31">
        <v>0</v>
      </c>
      <c r="BW226" s="21">
        <f>IF(Table1[[#This Row],[Sustainability Check 2 (2018-2019) Status]]="Continued", Table1[Check 2 Students Spring], 0)</f>
        <v>0</v>
      </c>
      <c r="BX226" s="31">
        <f>Table1[[#This Row],[Summer 2018 Price Check]]*Table1[[#This Row],[Spring 2019 Students]]</f>
        <v>0</v>
      </c>
      <c r="BY226" s="31">
        <f t="shared" si="166"/>
        <v>0</v>
      </c>
      <c r="BZ226" s="58">
        <f t="shared" si="167"/>
        <v>0</v>
      </c>
      <c r="CA226" s="17" t="s">
        <v>964</v>
      </c>
      <c r="CB226" s="21"/>
      <c r="CC226" s="21"/>
      <c r="CD226" s="21"/>
      <c r="CE226" s="21">
        <f t="shared" si="176"/>
        <v>0</v>
      </c>
      <c r="CF226" s="58"/>
      <c r="CG226" s="31">
        <f t="shared" si="169"/>
        <v>0</v>
      </c>
      <c r="CH226" s="101">
        <v>0</v>
      </c>
      <c r="CI226" s="21">
        <f>IF(Table1[[#This Row],[Check 3 Status]]="Continued", Table1[[#This Row],[Check 3 Students Summer]], 0)</f>
        <v>0</v>
      </c>
      <c r="CJ226" s="31">
        <f>Table1[[#This Row],[Check 3 Per Student Savings]]*CI226</f>
        <v>0</v>
      </c>
      <c r="CK226" s="21">
        <f>IF(Table1[[#This Row],[Check 3 Status]]="Continued", Table1[[#This Row],[Check 3 Students Fall]], 0)</f>
        <v>0</v>
      </c>
      <c r="CL226" s="31">
        <f>Table1[[#This Row],[Check 3 Per Student Savings]]*CK226</f>
        <v>0</v>
      </c>
      <c r="CM226" s="21">
        <f>IF(Table1[[#This Row],[Check 3 Status]]="Continued", Table1[[#This Row],[Check 3 Students Spring]], 0)</f>
        <v>0</v>
      </c>
      <c r="CN226" s="31">
        <f>Table1[[#This Row],[Check 3 Per Student Savings]]*CM226</f>
        <v>0</v>
      </c>
      <c r="CO226" s="21">
        <f t="shared" si="170"/>
        <v>0</v>
      </c>
      <c r="CP226" s="31">
        <f t="shared" si="171"/>
        <v>0</v>
      </c>
      <c r="CQ226" s="31" t="s">
        <v>964</v>
      </c>
      <c r="CR226" s="21"/>
      <c r="CS226" s="21"/>
      <c r="CT226" s="21"/>
      <c r="CU226" s="21">
        <f t="shared" si="172"/>
        <v>0</v>
      </c>
      <c r="CW226" s="31">
        <f t="shared" si="173"/>
        <v>0</v>
      </c>
      <c r="CY226" s="21">
        <f>IF(Table1[[#This Row],[Check 4 Status]]="Continued", Table1[[#This Row],[Check 4 Students Summer]], 0)</f>
        <v>0</v>
      </c>
      <c r="CZ226" s="58">
        <f>Table1[[#This Row],[Check 4 Per Student Savings]]*CY226</f>
        <v>0</v>
      </c>
      <c r="DA226" s="21">
        <f>IF(Table1[[#This Row],[Check 4 Status]]="Continued", Table1[[#This Row],[Check 4 Students Fall]], 0)</f>
        <v>0</v>
      </c>
      <c r="DB226" s="31">
        <f>Table1[[#This Row],[Check 4 Per Student Savings]]*DA226</f>
        <v>0</v>
      </c>
      <c r="DC226" s="21">
        <f>IF(Table1[[#This Row],[Check 4 Status]]="Continued", Table1[[#This Row],[Check 4 Students Spring]], 0)</f>
        <v>0</v>
      </c>
      <c r="DD226" s="58">
        <f>Table1[[#This Row],[Check 4 Per Student Savings]]*DC226</f>
        <v>0</v>
      </c>
      <c r="DE226" s="58">
        <f t="shared" si="174"/>
        <v>0</v>
      </c>
      <c r="DF226" s="58">
        <f t="shared" si="175"/>
        <v>0</v>
      </c>
      <c r="DG22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2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26" s="58">
        <f>Table1[[#This Row],[Grand Total Savings]]/Table1[[#This Row],[Total Award]]</f>
        <v>0</v>
      </c>
      <c r="DJ226" s="17"/>
      <c r="DK226" s="17"/>
      <c r="DL226" s="17"/>
      <c r="DM226" s="17"/>
      <c r="EC226" s="17"/>
      <c r="ED226" s="17"/>
      <c r="EE226" s="17"/>
      <c r="EF226" s="17"/>
    </row>
    <row r="227" spans="1:136" x14ac:dyDescent="0.25">
      <c r="A227" s="159" t="s">
        <v>1080</v>
      </c>
      <c r="B227" s="17" t="s">
        <v>2011</v>
      </c>
      <c r="D227" s="97">
        <v>514150</v>
      </c>
      <c r="E227" s="165">
        <v>43193</v>
      </c>
      <c r="F227" s="158">
        <v>43472</v>
      </c>
      <c r="G227" s="159">
        <v>11</v>
      </c>
      <c r="H227" s="95" t="s">
        <v>7</v>
      </c>
      <c r="I227" s="17" t="s">
        <v>962</v>
      </c>
      <c r="J227" s="17" t="s">
        <v>276</v>
      </c>
      <c r="K227" s="107">
        <v>4550</v>
      </c>
      <c r="L227" s="107"/>
      <c r="M227" s="101" t="s">
        <v>1081</v>
      </c>
      <c r="N227" s="101" t="s">
        <v>836</v>
      </c>
      <c r="O227" s="101" t="s">
        <v>1082</v>
      </c>
      <c r="P227" s="101" t="s">
        <v>353</v>
      </c>
      <c r="Q227" s="101" t="s">
        <v>304</v>
      </c>
      <c r="R227" s="101" t="s">
        <v>1083</v>
      </c>
      <c r="S227" s="101" t="s">
        <v>953</v>
      </c>
      <c r="T227" s="101" t="s">
        <v>953</v>
      </c>
      <c r="U227" s="101" t="s">
        <v>953</v>
      </c>
      <c r="V227" s="17" t="s">
        <v>140</v>
      </c>
      <c r="W227" s="17" t="s">
        <v>140</v>
      </c>
      <c r="X227" s="17" t="s">
        <v>140</v>
      </c>
      <c r="Y227" s="58">
        <v>0</v>
      </c>
      <c r="Z227" s="101">
        <v>0</v>
      </c>
      <c r="AA227" s="58">
        <v>0</v>
      </c>
      <c r="AB227" s="21">
        <v>0</v>
      </c>
      <c r="AC227" s="21">
        <v>0</v>
      </c>
      <c r="AD227" s="21">
        <v>0</v>
      </c>
      <c r="AE227" s="101">
        <v>0</v>
      </c>
      <c r="AF227" s="17" t="s">
        <v>129</v>
      </c>
      <c r="AG227" s="17"/>
      <c r="AI227" s="17" t="s">
        <v>964</v>
      </c>
      <c r="AJ227" s="21">
        <v>0</v>
      </c>
      <c r="AK227" s="31">
        <v>0</v>
      </c>
      <c r="AL227" s="21">
        <v>0</v>
      </c>
      <c r="AM227" s="31">
        <v>0</v>
      </c>
      <c r="AN227" s="21">
        <v>0</v>
      </c>
      <c r="AO227" s="31">
        <v>0</v>
      </c>
      <c r="AP227" s="21">
        <v>0</v>
      </c>
      <c r="AQ227" s="31">
        <v>0</v>
      </c>
      <c r="AR227" s="21">
        <v>0</v>
      </c>
      <c r="AS227" s="31">
        <v>0</v>
      </c>
      <c r="AT227" s="21">
        <v>0</v>
      </c>
      <c r="AU227" s="31">
        <v>0</v>
      </c>
      <c r="AV227" s="21">
        <v>0</v>
      </c>
      <c r="AW227" s="31">
        <v>0</v>
      </c>
      <c r="AX227" s="31">
        <v>0</v>
      </c>
      <c r="AY227" s="31">
        <v>0</v>
      </c>
      <c r="AZ227" s="31">
        <v>0</v>
      </c>
      <c r="BA227" s="31">
        <v>0</v>
      </c>
      <c r="BB227" s="31">
        <v>0</v>
      </c>
      <c r="BC227" s="31">
        <v>0</v>
      </c>
      <c r="BD227" s="31">
        <v>0</v>
      </c>
      <c r="BE227" s="31">
        <v>0</v>
      </c>
      <c r="BF227" s="31">
        <v>0</v>
      </c>
      <c r="BG227" s="31">
        <v>0</v>
      </c>
      <c r="BH227" s="31">
        <v>0</v>
      </c>
      <c r="BI227" s="31">
        <v>0</v>
      </c>
      <c r="BJ227" s="31">
        <v>0</v>
      </c>
      <c r="BK227" s="31">
        <v>0</v>
      </c>
      <c r="BL227" s="17" t="s">
        <v>964</v>
      </c>
      <c r="BM227" s="31">
        <v>0</v>
      </c>
      <c r="BN227" s="31">
        <v>0</v>
      </c>
      <c r="BO227" s="31">
        <v>0</v>
      </c>
      <c r="BP227" s="31">
        <v>0</v>
      </c>
      <c r="BQ227" s="31">
        <v>0</v>
      </c>
      <c r="BR227" s="31">
        <v>0</v>
      </c>
      <c r="BS227" s="31">
        <v>0</v>
      </c>
      <c r="BT227" s="31">
        <v>0</v>
      </c>
      <c r="BU227" s="31">
        <v>0</v>
      </c>
      <c r="BV227" s="31">
        <v>0</v>
      </c>
      <c r="BW227" s="21">
        <f>IF(Table1[[#This Row],[Sustainability Check 2 (2018-2019) Status]]="Continued", Table1[Check 2 Students Spring], 0)</f>
        <v>0</v>
      </c>
      <c r="BX227" s="31">
        <f>Table1[[#This Row],[Summer 2018 Price Check]]*Table1[[#This Row],[Spring 2019 Students]]</f>
        <v>0</v>
      </c>
      <c r="BY227" s="31">
        <f t="shared" si="166"/>
        <v>0</v>
      </c>
      <c r="BZ227" s="58">
        <f t="shared" si="167"/>
        <v>0</v>
      </c>
      <c r="CA227" s="17" t="s">
        <v>964</v>
      </c>
      <c r="CB227" s="21"/>
      <c r="CC227" s="21"/>
      <c r="CD227" s="21"/>
      <c r="CE227" s="21">
        <f t="shared" si="176"/>
        <v>0</v>
      </c>
      <c r="CF227" s="58"/>
      <c r="CG227" s="31">
        <f t="shared" si="169"/>
        <v>0</v>
      </c>
      <c r="CH227" s="101">
        <v>0</v>
      </c>
      <c r="CI227" s="21">
        <f>IF(Table1[[#This Row],[Check 3 Status]]="Continued", Table1[[#This Row],[Check 3 Students Summer]], 0)</f>
        <v>0</v>
      </c>
      <c r="CJ227" s="31">
        <f>Table1[[#This Row],[Check 3 Per Student Savings]]*CI227</f>
        <v>0</v>
      </c>
      <c r="CK227" s="21">
        <f>IF(Table1[[#This Row],[Check 3 Status]]="Continued", Table1[[#This Row],[Check 3 Students Fall]], 0)</f>
        <v>0</v>
      </c>
      <c r="CL227" s="31">
        <f>Table1[[#This Row],[Check 3 Per Student Savings]]*CK227</f>
        <v>0</v>
      </c>
      <c r="CM227" s="21">
        <f>IF(Table1[[#This Row],[Check 3 Status]]="Continued", Table1[[#This Row],[Check 3 Students Spring]], 0)</f>
        <v>0</v>
      </c>
      <c r="CN227" s="31">
        <f>Table1[[#This Row],[Check 3 Per Student Savings]]*CM227</f>
        <v>0</v>
      </c>
      <c r="CO227" s="21">
        <f t="shared" si="170"/>
        <v>0</v>
      </c>
      <c r="CP227" s="31">
        <f t="shared" si="171"/>
        <v>0</v>
      </c>
      <c r="CQ227" s="31" t="s">
        <v>964</v>
      </c>
      <c r="CR227" s="21"/>
      <c r="CS227" s="21"/>
      <c r="CT227" s="21"/>
      <c r="CU227" s="21">
        <f t="shared" si="172"/>
        <v>0</v>
      </c>
      <c r="CW227" s="31">
        <f t="shared" si="173"/>
        <v>0</v>
      </c>
      <c r="CY227" s="21">
        <f>IF(Table1[[#This Row],[Check 4 Status]]="Continued", Table1[[#This Row],[Check 4 Students Summer]], 0)</f>
        <v>0</v>
      </c>
      <c r="CZ227" s="58">
        <f>Table1[[#This Row],[Check 4 Per Student Savings]]*CY227</f>
        <v>0</v>
      </c>
      <c r="DA227" s="21">
        <f>IF(Table1[[#This Row],[Check 4 Status]]="Continued", Table1[[#This Row],[Check 4 Students Fall]], 0)</f>
        <v>0</v>
      </c>
      <c r="DB227" s="31">
        <f>Table1[[#This Row],[Check 4 Per Student Savings]]*DA227</f>
        <v>0</v>
      </c>
      <c r="DC227" s="21">
        <f>IF(Table1[[#This Row],[Check 4 Status]]="Continued", Table1[[#This Row],[Check 4 Students Spring]], 0)</f>
        <v>0</v>
      </c>
      <c r="DD227" s="58">
        <f>Table1[[#This Row],[Check 4 Per Student Savings]]*DC227</f>
        <v>0</v>
      </c>
      <c r="DE227" s="58">
        <f t="shared" si="174"/>
        <v>0</v>
      </c>
      <c r="DF227" s="58">
        <f t="shared" si="175"/>
        <v>0</v>
      </c>
      <c r="DG22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2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27" s="58">
        <f>Table1[[#This Row],[Grand Total Savings]]/Table1[[#This Row],[Total Award]]</f>
        <v>0</v>
      </c>
      <c r="DJ227" s="17"/>
      <c r="DK227" s="17"/>
      <c r="DL227" s="17"/>
      <c r="DM227" s="17"/>
      <c r="EC227" s="17"/>
      <c r="ED227" s="17"/>
      <c r="EE227" s="17"/>
      <c r="EF227" s="17"/>
    </row>
    <row r="228" spans="1:136" x14ac:dyDescent="0.25">
      <c r="A228" s="159" t="s">
        <v>1084</v>
      </c>
      <c r="B228" s="17" t="s">
        <v>2011</v>
      </c>
      <c r="D228" s="97">
        <v>514137</v>
      </c>
      <c r="E228" s="165">
        <v>43193</v>
      </c>
      <c r="F228" s="165">
        <v>43333</v>
      </c>
      <c r="G228" s="159">
        <v>11</v>
      </c>
      <c r="H228" s="95" t="s">
        <v>7</v>
      </c>
      <c r="I228" s="17" t="s">
        <v>962</v>
      </c>
      <c r="J228" s="17" t="s">
        <v>201</v>
      </c>
      <c r="K228" s="107">
        <v>2000</v>
      </c>
      <c r="L228" s="107"/>
      <c r="M228" s="101" t="s">
        <v>1085</v>
      </c>
      <c r="N228" s="101" t="s">
        <v>203</v>
      </c>
      <c r="O228" s="101" t="s">
        <v>1086</v>
      </c>
      <c r="P228" s="101" t="s">
        <v>1087</v>
      </c>
      <c r="Q228" s="101" t="s">
        <v>206</v>
      </c>
      <c r="R228" s="101" t="s">
        <v>129</v>
      </c>
      <c r="S228" s="173" t="s">
        <v>912</v>
      </c>
      <c r="T228" s="173" t="s">
        <v>912</v>
      </c>
      <c r="U228" s="173" t="s">
        <v>912</v>
      </c>
      <c r="V228" s="17" t="s">
        <v>140</v>
      </c>
      <c r="W228" s="17" t="s">
        <v>140</v>
      </c>
      <c r="X228" s="17" t="s">
        <v>140</v>
      </c>
      <c r="Y228" s="58">
        <v>0</v>
      </c>
      <c r="Z228" s="101">
        <v>0</v>
      </c>
      <c r="AA228" s="58">
        <v>0</v>
      </c>
      <c r="AB228" s="21">
        <v>0</v>
      </c>
      <c r="AC228" s="21">
        <v>0</v>
      </c>
      <c r="AD228" s="21">
        <v>0</v>
      </c>
      <c r="AE228" s="101">
        <v>0</v>
      </c>
      <c r="AF228" s="17" t="s">
        <v>129</v>
      </c>
      <c r="AG228" s="17"/>
      <c r="AI228" s="17" t="s">
        <v>964</v>
      </c>
      <c r="AJ228" s="21">
        <v>0</v>
      </c>
      <c r="AK228" s="31">
        <v>0</v>
      </c>
      <c r="AL228" s="21">
        <v>0</v>
      </c>
      <c r="AM228" s="31">
        <v>0</v>
      </c>
      <c r="AN228" s="21">
        <v>0</v>
      </c>
      <c r="AO228" s="31">
        <v>0</v>
      </c>
      <c r="AP228" s="21">
        <v>0</v>
      </c>
      <c r="AQ228" s="31">
        <v>0</v>
      </c>
      <c r="AR228" s="21">
        <v>0</v>
      </c>
      <c r="AS228" s="31">
        <v>0</v>
      </c>
      <c r="AT228" s="21">
        <v>0</v>
      </c>
      <c r="AU228" s="31">
        <v>0</v>
      </c>
      <c r="AV228" s="21">
        <v>0</v>
      </c>
      <c r="AW228" s="31">
        <v>0</v>
      </c>
      <c r="AX228" s="31">
        <v>0</v>
      </c>
      <c r="AY228" s="31">
        <v>0</v>
      </c>
      <c r="AZ228" s="31">
        <v>0</v>
      </c>
      <c r="BA228" s="31">
        <v>0</v>
      </c>
      <c r="BB228" s="31">
        <v>0</v>
      </c>
      <c r="BC228" s="31">
        <v>0</v>
      </c>
      <c r="BD228" s="31">
        <v>0</v>
      </c>
      <c r="BE228" s="31">
        <v>0</v>
      </c>
      <c r="BF228" s="31">
        <v>0</v>
      </c>
      <c r="BG228" s="31">
        <v>0</v>
      </c>
      <c r="BH228" s="31">
        <v>0</v>
      </c>
      <c r="BI228" s="31">
        <v>0</v>
      </c>
      <c r="BJ228" s="31">
        <v>0</v>
      </c>
      <c r="BK228" s="31">
        <v>0</v>
      </c>
      <c r="BL228" s="17" t="s">
        <v>964</v>
      </c>
      <c r="BM228" s="31">
        <v>0</v>
      </c>
      <c r="BN228" s="31">
        <v>0</v>
      </c>
      <c r="BO228" s="31">
        <v>0</v>
      </c>
      <c r="BP228" s="31">
        <v>0</v>
      </c>
      <c r="BQ228" s="31">
        <v>0</v>
      </c>
      <c r="BR228" s="31">
        <v>0</v>
      </c>
      <c r="BS228" s="31">
        <v>0</v>
      </c>
      <c r="BT228" s="31">
        <v>0</v>
      </c>
      <c r="BU228" s="31">
        <v>0</v>
      </c>
      <c r="BV228" s="31">
        <v>0</v>
      </c>
      <c r="BW228" s="21">
        <f>IF(Table1[[#This Row],[Sustainability Check 2 (2018-2019) Status]]="Continued", Table1[Check 2 Students Spring], 0)</f>
        <v>0</v>
      </c>
      <c r="BX228" s="31">
        <f>Table1[[#This Row],[Summer 2018 Price Check]]*Table1[[#This Row],[Spring 2019 Students]]</f>
        <v>0</v>
      </c>
      <c r="BY228" s="31">
        <f t="shared" si="166"/>
        <v>0</v>
      </c>
      <c r="BZ228" s="58">
        <f t="shared" si="167"/>
        <v>0</v>
      </c>
      <c r="CA228" s="17" t="s">
        <v>964</v>
      </c>
      <c r="CB228" s="21"/>
      <c r="CC228" s="21"/>
      <c r="CD228" s="21"/>
      <c r="CE228" s="21">
        <f t="shared" si="176"/>
        <v>0</v>
      </c>
      <c r="CF228" s="58"/>
      <c r="CG228" s="31">
        <f t="shared" si="169"/>
        <v>0</v>
      </c>
      <c r="CH228" s="101">
        <v>0</v>
      </c>
      <c r="CI228" s="21">
        <f>IF(Table1[[#This Row],[Check 3 Status]]="Continued", Table1[[#This Row],[Check 3 Students Summer]], 0)</f>
        <v>0</v>
      </c>
      <c r="CJ228" s="31">
        <f>Table1[[#This Row],[Check 3 Per Student Savings]]*CI228</f>
        <v>0</v>
      </c>
      <c r="CK228" s="21">
        <f>IF(Table1[[#This Row],[Check 3 Status]]="Continued", Table1[[#This Row],[Check 3 Students Fall]], 0)</f>
        <v>0</v>
      </c>
      <c r="CL228" s="31">
        <f>Table1[[#This Row],[Check 3 Per Student Savings]]*CK228</f>
        <v>0</v>
      </c>
      <c r="CM228" s="21">
        <f>IF(Table1[[#This Row],[Check 3 Status]]="Continued", Table1[[#This Row],[Check 3 Students Spring]], 0)</f>
        <v>0</v>
      </c>
      <c r="CN228" s="31">
        <f>Table1[[#This Row],[Check 3 Per Student Savings]]*CM228</f>
        <v>0</v>
      </c>
      <c r="CO228" s="21">
        <f t="shared" si="170"/>
        <v>0</v>
      </c>
      <c r="CP228" s="31">
        <f t="shared" si="171"/>
        <v>0</v>
      </c>
      <c r="CQ228" s="31" t="s">
        <v>964</v>
      </c>
      <c r="CR228" s="21"/>
      <c r="CS228" s="21"/>
      <c r="CT228" s="21"/>
      <c r="CU228" s="21">
        <f t="shared" si="172"/>
        <v>0</v>
      </c>
      <c r="CW228" s="31">
        <f t="shared" si="173"/>
        <v>0</v>
      </c>
      <c r="CY228" s="21">
        <f>IF(Table1[[#This Row],[Check 4 Status]]="Continued", Table1[[#This Row],[Check 4 Students Summer]], 0)</f>
        <v>0</v>
      </c>
      <c r="CZ228" s="58">
        <f>Table1[[#This Row],[Check 4 Per Student Savings]]*CY228</f>
        <v>0</v>
      </c>
      <c r="DA228" s="21">
        <f>IF(Table1[[#This Row],[Check 4 Status]]="Continued", Table1[[#This Row],[Check 4 Students Fall]], 0)</f>
        <v>0</v>
      </c>
      <c r="DB228" s="31">
        <f>Table1[[#This Row],[Check 4 Per Student Savings]]*DA228</f>
        <v>0</v>
      </c>
      <c r="DC228" s="21">
        <f>IF(Table1[[#This Row],[Check 4 Status]]="Continued", Table1[[#This Row],[Check 4 Students Spring]], 0)</f>
        <v>0</v>
      </c>
      <c r="DD228" s="58">
        <f>Table1[[#This Row],[Check 4 Per Student Savings]]*DC228</f>
        <v>0</v>
      </c>
      <c r="DE228" s="58">
        <f t="shared" si="174"/>
        <v>0</v>
      </c>
      <c r="DF228" s="58">
        <f t="shared" si="175"/>
        <v>0</v>
      </c>
      <c r="DG22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2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28" s="58">
        <f>Table1[[#This Row],[Grand Total Savings]]/Table1[[#This Row],[Total Award]]</f>
        <v>0</v>
      </c>
      <c r="DJ228" s="17"/>
      <c r="DK228" s="17"/>
      <c r="DL228" s="17"/>
      <c r="DM228" s="17"/>
      <c r="EC228" s="17"/>
      <c r="ED228" s="17"/>
      <c r="EE228" s="17"/>
      <c r="EF228" s="17"/>
    </row>
    <row r="229" spans="1:136" x14ac:dyDescent="0.25">
      <c r="A229" s="157" t="s">
        <v>1088</v>
      </c>
      <c r="B229" s="17" t="s">
        <v>2011</v>
      </c>
      <c r="D229" s="97">
        <v>514510</v>
      </c>
      <c r="E229" s="165">
        <v>43299</v>
      </c>
      <c r="G229" s="157" t="s">
        <v>1089</v>
      </c>
      <c r="H229" s="95" t="s">
        <v>7</v>
      </c>
      <c r="I229" s="226" t="s">
        <v>118</v>
      </c>
      <c r="J229" s="17" t="s">
        <v>243</v>
      </c>
      <c r="K229" s="101">
        <v>29750</v>
      </c>
      <c r="L229" s="101"/>
      <c r="M229" s="101" t="s">
        <v>1090</v>
      </c>
      <c r="N229" s="101" t="s">
        <v>1091</v>
      </c>
      <c r="O229" s="101" t="s">
        <v>1092</v>
      </c>
      <c r="P229" s="101" t="s">
        <v>1093</v>
      </c>
      <c r="Q229" s="101" t="s">
        <v>248</v>
      </c>
      <c r="R229" s="101" t="s">
        <v>1094</v>
      </c>
      <c r="S229" s="101" t="s">
        <v>953</v>
      </c>
      <c r="T229" s="101" t="s">
        <v>953</v>
      </c>
      <c r="U229" s="101" t="s">
        <v>953</v>
      </c>
      <c r="V229" s="17" t="s">
        <v>127</v>
      </c>
      <c r="W229" s="17" t="s">
        <v>150</v>
      </c>
      <c r="X229" s="17" t="s">
        <v>127</v>
      </c>
      <c r="Y229" s="58">
        <v>156300</v>
      </c>
      <c r="Z229" s="17">
        <v>2605</v>
      </c>
      <c r="AA229" s="58">
        <v>60</v>
      </c>
      <c r="AB229" s="21">
        <v>80</v>
      </c>
      <c r="AC229" s="21">
        <v>1390</v>
      </c>
      <c r="AD229" s="21">
        <v>1135</v>
      </c>
      <c r="AE229" s="101" t="s">
        <v>1096</v>
      </c>
      <c r="AF229" s="17" t="s">
        <v>129</v>
      </c>
      <c r="AG229" s="17"/>
      <c r="AI229" s="17" t="s">
        <v>130</v>
      </c>
      <c r="AJ229" s="21">
        <v>0</v>
      </c>
      <c r="AK229" s="58">
        <v>0</v>
      </c>
      <c r="AL229" s="21">
        <v>0</v>
      </c>
      <c r="AM229" s="58">
        <f t="shared" ref="AM229:AM252" si="177">AK229</f>
        <v>0</v>
      </c>
      <c r="AN229" s="21">
        <v>0</v>
      </c>
      <c r="AO229" s="58">
        <f t="shared" ref="AO229:AO252" si="178">$AA229*AN229</f>
        <v>0</v>
      </c>
      <c r="AP229" s="21">
        <v>0</v>
      </c>
      <c r="AQ229" s="58">
        <f t="shared" ref="AQ229:AQ252" si="179">$AA229*AP229</f>
        <v>0</v>
      </c>
      <c r="AR229" s="21">
        <v>0</v>
      </c>
      <c r="AS229" s="58">
        <f t="shared" ref="AS229:AS252" si="180">$AA229*AR229</f>
        <v>0</v>
      </c>
      <c r="AT229" s="21">
        <v>0</v>
      </c>
      <c r="AU229" s="58">
        <f t="shared" ref="AU229:AU252" si="181">AO229+AQ229+AS229</f>
        <v>0</v>
      </c>
      <c r="AV229" s="21">
        <v>0</v>
      </c>
      <c r="AW229" s="58">
        <v>0</v>
      </c>
      <c r="AX229" s="31">
        <v>0</v>
      </c>
      <c r="AY229" s="58">
        <v>0</v>
      </c>
      <c r="AZ229" s="31">
        <v>0</v>
      </c>
      <c r="BA229" s="58">
        <v>0</v>
      </c>
      <c r="BB229" s="31">
        <v>0</v>
      </c>
      <c r="BC229" s="58">
        <v>0</v>
      </c>
      <c r="BD229" s="31">
        <v>0</v>
      </c>
      <c r="BE229" s="58">
        <v>0</v>
      </c>
      <c r="BF229" s="31">
        <v>0</v>
      </c>
      <c r="BG229" s="58">
        <v>0</v>
      </c>
      <c r="BH229" s="31">
        <v>0</v>
      </c>
      <c r="BI229" s="58">
        <v>0</v>
      </c>
      <c r="BJ229" s="31">
        <v>0</v>
      </c>
      <c r="BK229" s="58">
        <v>0</v>
      </c>
      <c r="BL229" s="17" t="s">
        <v>130</v>
      </c>
      <c r="BM229" s="31">
        <v>80</v>
      </c>
      <c r="BN229" s="31">
        <v>1390</v>
      </c>
      <c r="BO229" s="31">
        <v>1135</v>
      </c>
      <c r="BP229" s="31">
        <f t="shared" ref="BP229:BP251" si="182">SUM(BM229:BO229)</f>
        <v>2605</v>
      </c>
      <c r="BQ229" s="58">
        <v>60</v>
      </c>
      <c r="BR229" s="58">
        <f>Table1[[#This Row],[Check 2 Students Total]]*Table1[[#This Row],[Summer 2018 Price Check]]</f>
        <v>156300</v>
      </c>
      <c r="BS229" s="31">
        <v>0</v>
      </c>
      <c r="BT229" s="58">
        <f>Table1[[#This Row],[Summer 2018 Price Check]]*BS229</f>
        <v>0</v>
      </c>
      <c r="BU229" s="31">
        <v>0</v>
      </c>
      <c r="BV229" s="58">
        <f>Table1[[#This Row],[Summer 2018 Price Check]]*BU229</f>
        <v>0</v>
      </c>
      <c r="BW229" s="21">
        <v>0</v>
      </c>
      <c r="BX229" s="58">
        <f>Table1[[#This Row],[Summer 2018 Price Check]]*Table1[[#This Row],[Spring 2019 Students]]</f>
        <v>0</v>
      </c>
      <c r="BY229" s="31">
        <f t="shared" si="166"/>
        <v>0</v>
      </c>
      <c r="BZ229" s="58">
        <f t="shared" si="167"/>
        <v>0</v>
      </c>
      <c r="CA229" s="17" t="s">
        <v>130</v>
      </c>
      <c r="CB229" s="31">
        <v>80</v>
      </c>
      <c r="CC229" s="31">
        <v>1390</v>
      </c>
      <c r="CD229" s="31">
        <v>1135</v>
      </c>
      <c r="CE229" s="31">
        <f t="shared" ref="CE229:CE252" si="183">SUM(CB229:CD229)</f>
        <v>2605</v>
      </c>
      <c r="CF229" s="58">
        <v>60</v>
      </c>
      <c r="CG229" s="58">
        <f t="shared" si="169"/>
        <v>156300</v>
      </c>
      <c r="CH229" s="101" t="s">
        <v>1096</v>
      </c>
      <c r="CI229" s="21">
        <v>0</v>
      </c>
      <c r="CJ229" s="58">
        <v>0</v>
      </c>
      <c r="CK229" s="21">
        <f>IF(Table1[[#This Row],[Check 3 Status]]="Continued", Table1[[#This Row],[Check 3 Students Fall]], 0)</f>
        <v>1390</v>
      </c>
      <c r="CL229" s="58">
        <f>Table1[[#This Row],[Check 3 Per Student Savings]]*CK229</f>
        <v>83400</v>
      </c>
      <c r="CM229" s="21">
        <f>IF(Table1[[#This Row],[Check 3 Status]]="Continued", Table1[[#This Row],[Check 3 Students Spring]], 0)</f>
        <v>1135</v>
      </c>
      <c r="CN229" s="58">
        <f>Table1[[#This Row],[Check 3 Per Student Savings]]*CM229</f>
        <v>68100</v>
      </c>
      <c r="CO229" s="21">
        <f t="shared" si="170"/>
        <v>2525</v>
      </c>
      <c r="CP229" s="58">
        <f t="shared" si="171"/>
        <v>151500</v>
      </c>
      <c r="CQ229" s="58" t="s">
        <v>130</v>
      </c>
      <c r="CR229" s="21">
        <v>80</v>
      </c>
      <c r="CS229" s="21">
        <v>1390</v>
      </c>
      <c r="CT229" s="21">
        <v>1135</v>
      </c>
      <c r="CU229" s="21">
        <f t="shared" si="172"/>
        <v>2605</v>
      </c>
      <c r="CV229" s="58">
        <v>60</v>
      </c>
      <c r="CW229" s="58">
        <f t="shared" si="173"/>
        <v>156300</v>
      </c>
      <c r="CX229" s="58"/>
      <c r="CY229" s="21">
        <f>IF(Table1[[#This Row],[Check 4 Status]]="Continued", Table1[[#This Row],[Check 4 Students Summer]], 0)</f>
        <v>80</v>
      </c>
      <c r="CZ229" s="58">
        <f>Table1[[#This Row],[Check 4 Per Student Savings]]*CY229</f>
        <v>4800</v>
      </c>
      <c r="DA229" s="21">
        <f>IF(Table1[[#This Row],[Check 4 Status]]="Continued", Table1[[#This Row],[Check 4 Students Fall]], 0)</f>
        <v>1390</v>
      </c>
      <c r="DB229" s="58">
        <f>Table1[[#This Row],[Check 4 Per Student Savings]]*DA229</f>
        <v>83400</v>
      </c>
      <c r="DC229" s="21">
        <f>IF(Table1[[#This Row],[Check 4 Status]]="Continued", Table1[[#This Row],[Check 4 Students Spring]], 0)</f>
        <v>1135</v>
      </c>
      <c r="DD229" s="58">
        <f>Table1[[#This Row],[Check 4 Per Student Savings]]*DC229</f>
        <v>68100</v>
      </c>
      <c r="DE229" s="58">
        <f t="shared" si="174"/>
        <v>2605</v>
      </c>
      <c r="DF229" s="58">
        <f t="shared" si="175"/>
        <v>156300</v>
      </c>
      <c r="DG22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5130</v>
      </c>
      <c r="DH22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307800</v>
      </c>
      <c r="DI229" s="58">
        <f>Table1[[#This Row],[Grand Total Savings]]/Table1[[#This Row],[Total Award]]</f>
        <v>10.346218487394959</v>
      </c>
      <c r="DJ229" s="17"/>
      <c r="DK229" s="17"/>
      <c r="DL229" s="17"/>
      <c r="DM229" s="17"/>
      <c r="EC229" s="17"/>
      <c r="ED229" s="17"/>
      <c r="EE229" s="17"/>
      <c r="EF229" s="17"/>
    </row>
    <row r="230" spans="1:136" ht="15.75" thickBot="1" x14ac:dyDescent="0.3">
      <c r="A230" s="174" t="s">
        <v>1097</v>
      </c>
      <c r="B230" s="17" t="s">
        <v>2011</v>
      </c>
      <c r="D230" s="97">
        <v>514511</v>
      </c>
      <c r="E230" s="175">
        <v>43299</v>
      </c>
      <c r="F230" s="104"/>
      <c r="G230" s="174" t="s">
        <v>1089</v>
      </c>
      <c r="H230" s="102" t="s">
        <v>7</v>
      </c>
      <c r="I230" s="227" t="s">
        <v>118</v>
      </c>
      <c r="J230" s="104" t="s">
        <v>172</v>
      </c>
      <c r="K230" s="105">
        <v>30000</v>
      </c>
      <c r="L230" s="105"/>
      <c r="M230" s="105" t="s">
        <v>395</v>
      </c>
      <c r="N230" s="105" t="s">
        <v>1098</v>
      </c>
      <c r="O230" s="105" t="s">
        <v>397</v>
      </c>
      <c r="P230" s="105" t="s">
        <v>398</v>
      </c>
      <c r="Q230" s="105" t="s">
        <v>248</v>
      </c>
      <c r="R230" s="105" t="s">
        <v>1094</v>
      </c>
      <c r="S230" s="105" t="s">
        <v>953</v>
      </c>
      <c r="T230" s="105" t="s">
        <v>953</v>
      </c>
      <c r="U230" s="105" t="s">
        <v>953</v>
      </c>
      <c r="V230" s="104" t="s">
        <v>1095</v>
      </c>
      <c r="W230" s="104" t="s">
        <v>1095</v>
      </c>
      <c r="X230" s="104" t="s">
        <v>1095</v>
      </c>
      <c r="Y230" s="103">
        <v>775200</v>
      </c>
      <c r="Z230" s="104">
        <v>17874</v>
      </c>
      <c r="AA230" s="103">
        <v>67.13</v>
      </c>
      <c r="AB230" s="59">
        <v>1986</v>
      </c>
      <c r="AC230" s="59">
        <v>8928</v>
      </c>
      <c r="AD230" s="59">
        <v>6880</v>
      </c>
      <c r="AE230" s="105" t="s">
        <v>595</v>
      </c>
      <c r="AF230" s="104" t="s">
        <v>129</v>
      </c>
      <c r="AG230" s="104"/>
      <c r="AH230" s="104"/>
      <c r="AI230" s="104" t="s">
        <v>130</v>
      </c>
      <c r="AJ230" s="59">
        <v>0</v>
      </c>
      <c r="AK230" s="103">
        <v>0</v>
      </c>
      <c r="AL230" s="59">
        <v>0</v>
      </c>
      <c r="AM230" s="103">
        <f t="shared" si="177"/>
        <v>0</v>
      </c>
      <c r="AN230" s="59">
        <v>0</v>
      </c>
      <c r="AO230" s="103">
        <f t="shared" si="178"/>
        <v>0</v>
      </c>
      <c r="AP230" s="59">
        <v>0</v>
      </c>
      <c r="AQ230" s="103">
        <f t="shared" si="179"/>
        <v>0</v>
      </c>
      <c r="AR230" s="59">
        <v>0</v>
      </c>
      <c r="AS230" s="103">
        <f t="shared" si="180"/>
        <v>0</v>
      </c>
      <c r="AT230" s="59">
        <v>0</v>
      </c>
      <c r="AU230" s="103">
        <f t="shared" si="181"/>
        <v>0</v>
      </c>
      <c r="AV230" s="59">
        <v>0</v>
      </c>
      <c r="AW230" s="103">
        <v>0</v>
      </c>
      <c r="AX230" s="57">
        <v>0</v>
      </c>
      <c r="AY230" s="103">
        <v>0</v>
      </c>
      <c r="AZ230" s="57">
        <v>0</v>
      </c>
      <c r="BA230" s="103">
        <v>0</v>
      </c>
      <c r="BB230" s="57">
        <v>0</v>
      </c>
      <c r="BC230" s="103">
        <v>0</v>
      </c>
      <c r="BD230" s="57">
        <v>0</v>
      </c>
      <c r="BE230" s="103">
        <v>0</v>
      </c>
      <c r="BF230" s="57">
        <v>0</v>
      </c>
      <c r="BG230" s="103">
        <v>0</v>
      </c>
      <c r="BH230" s="57">
        <v>0</v>
      </c>
      <c r="BI230" s="103">
        <v>0</v>
      </c>
      <c r="BJ230" s="57">
        <v>0</v>
      </c>
      <c r="BK230" s="103">
        <v>0</v>
      </c>
      <c r="BL230" s="104" t="s">
        <v>130</v>
      </c>
      <c r="BM230" s="57">
        <v>1986</v>
      </c>
      <c r="BN230" s="57">
        <v>8928</v>
      </c>
      <c r="BO230" s="57">
        <v>6880</v>
      </c>
      <c r="BP230" s="57">
        <f t="shared" si="182"/>
        <v>17794</v>
      </c>
      <c r="BQ230" s="103">
        <v>67.13</v>
      </c>
      <c r="BR230" s="103">
        <f>Table1[[#This Row],[Check 2 Students Total]]*Table1[[#This Row],[Summer 2018 Price Check]]</f>
        <v>1194511.22</v>
      </c>
      <c r="BS230" s="57">
        <v>0</v>
      </c>
      <c r="BT230" s="103">
        <f>Table1[[#This Row],[Summer 2018 Price Check]]*BS230</f>
        <v>0</v>
      </c>
      <c r="BU230" s="57">
        <v>0</v>
      </c>
      <c r="BV230" s="103">
        <v>0</v>
      </c>
      <c r="BW230" s="59">
        <f>IF(Table1[[#This Row],[Sustainability Check 2 (2018-2019) Status]]="Continued", Table1[Check 2 Students Spring], 0)</f>
        <v>6880</v>
      </c>
      <c r="BX230" s="103">
        <f>Table1[[#This Row],[Summer 2018 Price Check]]*Table1[[#This Row],[Spring 2019 Students]]</f>
        <v>461854.39999999997</v>
      </c>
      <c r="BY230" s="57">
        <f t="shared" si="166"/>
        <v>6880</v>
      </c>
      <c r="BZ230" s="103">
        <f t="shared" si="167"/>
        <v>461854.39999999997</v>
      </c>
      <c r="CA230" s="104" t="s">
        <v>130</v>
      </c>
      <c r="CB230" s="57">
        <v>1986</v>
      </c>
      <c r="CC230" s="57">
        <v>8928</v>
      </c>
      <c r="CD230" s="57">
        <v>6880</v>
      </c>
      <c r="CE230" s="57">
        <f t="shared" si="183"/>
        <v>17794</v>
      </c>
      <c r="CF230" s="103">
        <v>67.13</v>
      </c>
      <c r="CG230" s="103">
        <f t="shared" si="169"/>
        <v>1194511.22</v>
      </c>
      <c r="CH230" s="105" t="s">
        <v>595</v>
      </c>
      <c r="CI230" s="59">
        <f>IF(Table1[[#This Row],[Check 3 Status]]="Continued", Table1[[#This Row],[Check 3 Students Summer]], 0)</f>
        <v>1986</v>
      </c>
      <c r="CJ230" s="103">
        <f>Table1[[#This Row],[Check 3 Per Student Savings]]*CI230</f>
        <v>133320.18</v>
      </c>
      <c r="CK230" s="59">
        <v>0</v>
      </c>
      <c r="CL230" s="103">
        <f>Table1[[#This Row],[Check 3 Per Student Savings]]*CK230</f>
        <v>0</v>
      </c>
      <c r="CM230" s="59">
        <f>IF(Table1[[#This Row],[Check 3 Status]]="Continued", Table1[[#This Row],[Check 3 Students Spring]], 0)</f>
        <v>6880</v>
      </c>
      <c r="CN230" s="103">
        <f>Table1[[#This Row],[Check 3 Per Student Savings]]*CM230</f>
        <v>461854.39999999997</v>
      </c>
      <c r="CO230" s="59">
        <f t="shared" si="170"/>
        <v>8866</v>
      </c>
      <c r="CP230" s="103">
        <f t="shared" si="171"/>
        <v>595174.57999999996</v>
      </c>
      <c r="CQ230" s="103" t="s">
        <v>141</v>
      </c>
      <c r="CR230" s="59">
        <v>1986</v>
      </c>
      <c r="CS230" s="59">
        <v>8928</v>
      </c>
      <c r="CT230" s="59">
        <v>6880</v>
      </c>
      <c r="CU230" s="59">
        <v>0</v>
      </c>
      <c r="CV230" s="103">
        <v>67.13</v>
      </c>
      <c r="CW230" s="103">
        <f t="shared" si="173"/>
        <v>0</v>
      </c>
      <c r="CX230" s="103"/>
      <c r="CY230" s="21">
        <f>IF(Table1[[#This Row],[Check 4 Status]]="Continued", Table1[[#This Row],[Check 4 Students Summer]], 0)</f>
        <v>0</v>
      </c>
      <c r="CZ230" s="58">
        <f>Table1[[#This Row],[Check 4 Per Student Savings]]*CY230</f>
        <v>0</v>
      </c>
      <c r="DA230" s="59">
        <f>IF(Table1[[#This Row],[Check 4 Status]]="Continued", Table1[[#This Row],[Check 4 Students Fall]], 0)</f>
        <v>0</v>
      </c>
      <c r="DB230" s="103">
        <f>Table1[[#This Row],[Check 4 Per Student Savings]]*DA230</f>
        <v>0</v>
      </c>
      <c r="DC230" s="21">
        <f>IF(Table1[[#This Row],[Check 4 Status]]="Continued", Table1[[#This Row],[Check 4 Students Spring]], 0)</f>
        <v>0</v>
      </c>
      <c r="DD230" s="58">
        <f>Table1[[#This Row],[Check 4 Per Student Savings]]*DC230</f>
        <v>0</v>
      </c>
      <c r="DE230" s="58">
        <f t="shared" si="174"/>
        <v>0</v>
      </c>
      <c r="DF230" s="58">
        <f t="shared" si="175"/>
        <v>0</v>
      </c>
      <c r="DG23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15746</v>
      </c>
      <c r="DH23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1057028.98</v>
      </c>
      <c r="DI230" s="103">
        <f>Table1[[#This Row],[Grand Total Savings]]/Table1[[#This Row],[Total Award]]</f>
        <v>35.234299333333333</v>
      </c>
      <c r="DJ230" s="17"/>
      <c r="DK230" s="17"/>
      <c r="DL230" s="17"/>
      <c r="DM230" s="17"/>
      <c r="EC230" s="17"/>
      <c r="ED230" s="17"/>
      <c r="EE230" s="17"/>
      <c r="EF230" s="17"/>
    </row>
    <row r="231" spans="1:136" ht="16.5" thickTop="1" thickBot="1" x14ac:dyDescent="0.3">
      <c r="A231" s="157" t="s">
        <v>1099</v>
      </c>
      <c r="B231" s="17" t="s">
        <v>2011</v>
      </c>
      <c r="D231" s="97">
        <v>514563</v>
      </c>
      <c r="E231" s="165">
        <v>43318</v>
      </c>
      <c r="G231" s="162" t="s">
        <v>1089</v>
      </c>
      <c r="H231" s="95" t="s">
        <v>7</v>
      </c>
      <c r="I231" s="226" t="s">
        <v>118</v>
      </c>
      <c r="J231" s="17" t="s">
        <v>671</v>
      </c>
      <c r="K231" s="101">
        <v>30000</v>
      </c>
      <c r="L231" s="101"/>
      <c r="M231" s="101" t="s">
        <v>1100</v>
      </c>
      <c r="N231" s="101" t="s">
        <v>1101</v>
      </c>
      <c r="O231" s="101" t="s">
        <v>780</v>
      </c>
      <c r="P231" s="101" t="s">
        <v>1102</v>
      </c>
      <c r="Q231" s="101" t="s">
        <v>192</v>
      </c>
      <c r="R231" s="101" t="s">
        <v>129</v>
      </c>
      <c r="S231" s="101" t="s">
        <v>953</v>
      </c>
      <c r="T231" s="101" t="s">
        <v>953</v>
      </c>
      <c r="U231" s="101" t="s">
        <v>953</v>
      </c>
      <c r="V231" s="17" t="s">
        <v>127</v>
      </c>
      <c r="W231" s="17" t="s">
        <v>139</v>
      </c>
      <c r="X231" s="17" t="s">
        <v>139</v>
      </c>
      <c r="Y231" s="58">
        <v>68389</v>
      </c>
      <c r="Z231" s="17">
        <v>792</v>
      </c>
      <c r="AA231" s="58">
        <v>172.7</v>
      </c>
      <c r="AB231" s="21">
        <v>48</v>
      </c>
      <c r="AC231" s="21">
        <v>372</v>
      </c>
      <c r="AD231" s="21">
        <v>372</v>
      </c>
      <c r="AE231" s="101" t="s">
        <v>1096</v>
      </c>
      <c r="AF231" s="17" t="s">
        <v>129</v>
      </c>
      <c r="AG231" s="17"/>
      <c r="AI231" s="17" t="s">
        <v>130</v>
      </c>
      <c r="AJ231" s="21">
        <v>0</v>
      </c>
      <c r="AK231" s="58">
        <v>0</v>
      </c>
      <c r="AL231" s="21">
        <v>0</v>
      </c>
      <c r="AM231" s="58">
        <f t="shared" si="177"/>
        <v>0</v>
      </c>
      <c r="AN231" s="21">
        <v>0</v>
      </c>
      <c r="AO231" s="58">
        <f t="shared" si="178"/>
        <v>0</v>
      </c>
      <c r="AP231" s="21">
        <v>0</v>
      </c>
      <c r="AQ231" s="58">
        <f t="shared" si="179"/>
        <v>0</v>
      </c>
      <c r="AR231" s="21">
        <v>0</v>
      </c>
      <c r="AS231" s="58">
        <f t="shared" si="180"/>
        <v>0</v>
      </c>
      <c r="AT231" s="21">
        <v>0</v>
      </c>
      <c r="AU231" s="58">
        <f t="shared" si="181"/>
        <v>0</v>
      </c>
      <c r="AV231" s="21">
        <v>0</v>
      </c>
      <c r="AW231" s="58">
        <v>0</v>
      </c>
      <c r="AX231" s="31">
        <v>0</v>
      </c>
      <c r="AY231" s="58">
        <v>0</v>
      </c>
      <c r="AZ231" s="31">
        <v>0</v>
      </c>
      <c r="BA231" s="58">
        <v>0</v>
      </c>
      <c r="BB231" s="31">
        <v>0</v>
      </c>
      <c r="BC231" s="58">
        <v>0</v>
      </c>
      <c r="BD231" s="31">
        <v>0</v>
      </c>
      <c r="BE231" s="58">
        <v>0</v>
      </c>
      <c r="BF231" s="31">
        <v>0</v>
      </c>
      <c r="BG231" s="58">
        <v>0</v>
      </c>
      <c r="BH231" s="31">
        <v>0</v>
      </c>
      <c r="BI231" s="58">
        <v>0</v>
      </c>
      <c r="BJ231" s="31">
        <v>0</v>
      </c>
      <c r="BK231" s="58">
        <v>0</v>
      </c>
      <c r="BL231" s="17" t="s">
        <v>130</v>
      </c>
      <c r="BM231" s="31">
        <v>48</v>
      </c>
      <c r="BN231" s="31">
        <v>372</v>
      </c>
      <c r="BO231" s="31">
        <v>372</v>
      </c>
      <c r="BP231" s="31">
        <f t="shared" si="182"/>
        <v>792</v>
      </c>
      <c r="BQ231" s="58">
        <v>172.7</v>
      </c>
      <c r="BR231" s="58">
        <f>Table1[[#This Row],[Check 2 Students Total]]*Table1[[#This Row],[Summer 2018 Price Check]]</f>
        <v>136778.4</v>
      </c>
      <c r="BS231" s="31">
        <v>0</v>
      </c>
      <c r="BT231" s="58">
        <f>Table1[[#This Row],[Summer 2018 Price Check]]*BS231</f>
        <v>0</v>
      </c>
      <c r="BU231" s="31">
        <v>0</v>
      </c>
      <c r="BV231" s="58">
        <v>0</v>
      </c>
      <c r="BW231" s="21">
        <v>0</v>
      </c>
      <c r="BX231" s="58">
        <f>Table1[[#This Row],[Summer 2018 Price Check]]*Table1[[#This Row],[Spring 2019 Students]]</f>
        <v>0</v>
      </c>
      <c r="BY231" s="31">
        <f t="shared" si="166"/>
        <v>0</v>
      </c>
      <c r="BZ231" s="58">
        <f t="shared" si="167"/>
        <v>0</v>
      </c>
      <c r="CA231" s="17" t="s">
        <v>130</v>
      </c>
      <c r="CB231" s="31">
        <v>48</v>
      </c>
      <c r="CC231" s="31">
        <v>372</v>
      </c>
      <c r="CD231" s="31">
        <v>372</v>
      </c>
      <c r="CE231" s="31">
        <f t="shared" si="183"/>
        <v>792</v>
      </c>
      <c r="CF231" s="58">
        <v>172.7</v>
      </c>
      <c r="CG231" s="58">
        <f t="shared" si="169"/>
        <v>136778.4</v>
      </c>
      <c r="CH231" s="101" t="s">
        <v>1096</v>
      </c>
      <c r="CI231" s="21">
        <v>0</v>
      </c>
      <c r="CJ231" s="58">
        <v>0</v>
      </c>
      <c r="CK231" s="21">
        <f>IF(Table1[[#This Row],[Check 3 Status]]="Continued", Table1[[#This Row],[Check 3 Students Fall]], 0)</f>
        <v>372</v>
      </c>
      <c r="CL231" s="58">
        <f>Table1[[#This Row],[Check 3 Per Student Savings]]*CK231</f>
        <v>64244.399999999994</v>
      </c>
      <c r="CM231" s="21">
        <f>IF(Table1[[#This Row],[Check 3 Status]]="Continued", Table1[[#This Row],[Check 3 Students Spring]], 0)</f>
        <v>372</v>
      </c>
      <c r="CN231" s="58">
        <f>Table1[[#This Row],[Check 3 Per Student Savings]]*CM231</f>
        <v>64244.399999999994</v>
      </c>
      <c r="CO231" s="21">
        <f t="shared" si="170"/>
        <v>744</v>
      </c>
      <c r="CP231" s="58">
        <f t="shared" si="171"/>
        <v>128488.79999999999</v>
      </c>
      <c r="CQ231" s="58" t="s">
        <v>130</v>
      </c>
      <c r="CR231" s="21">
        <v>48</v>
      </c>
      <c r="CS231" s="21">
        <v>372</v>
      </c>
      <c r="CT231" s="21">
        <v>372</v>
      </c>
      <c r="CU231" s="21">
        <f t="shared" si="172"/>
        <v>792</v>
      </c>
      <c r="CV231" s="58">
        <v>172.7</v>
      </c>
      <c r="CW231" s="58">
        <f t="shared" si="173"/>
        <v>136778.4</v>
      </c>
      <c r="CX231" s="58"/>
      <c r="CY231" s="21">
        <f>IF(Table1[[#This Row],[Check 4 Status]]="Continued", Table1[[#This Row],[Check 4 Students Summer]], 0)</f>
        <v>48</v>
      </c>
      <c r="CZ231" s="58">
        <f>Table1[[#This Row],[Check 4 Per Student Savings]]*CY231</f>
        <v>8289.5999999999985</v>
      </c>
      <c r="DA231" s="21">
        <f>IF(Table1[[#This Row],[Check 4 Status]]="Continued", Table1[[#This Row],[Check 4 Students Fall]], 0)</f>
        <v>372</v>
      </c>
      <c r="DB231" s="58">
        <f>Table1[[#This Row],[Check 4 Per Student Savings]]*DA231</f>
        <v>64244.399999999994</v>
      </c>
      <c r="DC231" s="21">
        <f>IF(Table1[[#This Row],[Check 4 Status]]="Continued", Table1[[#This Row],[Check 4 Students Spring]], 0)</f>
        <v>372</v>
      </c>
      <c r="DD231" s="58">
        <f>Table1[[#This Row],[Check 4 Per Student Savings]]*DC231</f>
        <v>64244.399999999994</v>
      </c>
      <c r="DE231" s="58">
        <f t="shared" si="174"/>
        <v>792</v>
      </c>
      <c r="DF231" s="58">
        <f t="shared" si="175"/>
        <v>136778.4</v>
      </c>
      <c r="DG23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1536</v>
      </c>
      <c r="DH23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265267.19999999995</v>
      </c>
      <c r="DI231" s="58">
        <f>Table1[[#This Row],[Grand Total Savings]]/Table1[[#This Row],[Total Award]]</f>
        <v>8.8422399999999985</v>
      </c>
      <c r="DJ231" s="17"/>
      <c r="DK231" s="17"/>
      <c r="DL231" s="17"/>
      <c r="DM231" s="17"/>
      <c r="EC231" s="17"/>
      <c r="ED231" s="17"/>
      <c r="EE231" s="17"/>
      <c r="EF231" s="17"/>
    </row>
    <row r="232" spans="1:136" s="104" customFormat="1" ht="16.5" thickTop="1" thickBot="1" x14ac:dyDescent="0.3">
      <c r="A232" s="174" t="s">
        <v>1103</v>
      </c>
      <c r="B232" s="17" t="s">
        <v>2011</v>
      </c>
      <c r="C232" s="17"/>
      <c r="D232" s="97">
        <v>514571</v>
      </c>
      <c r="E232" s="175">
        <v>43312</v>
      </c>
      <c r="G232" s="176" t="s">
        <v>1089</v>
      </c>
      <c r="H232" s="102" t="s">
        <v>7</v>
      </c>
      <c r="I232" s="227" t="s">
        <v>118</v>
      </c>
      <c r="J232" s="104" t="s">
        <v>324</v>
      </c>
      <c r="K232" s="105">
        <v>10800</v>
      </c>
      <c r="L232" s="105"/>
      <c r="M232" s="105" t="s">
        <v>1104</v>
      </c>
      <c r="N232" s="105" t="s">
        <v>1105</v>
      </c>
      <c r="O232" s="105" t="s">
        <v>1106</v>
      </c>
      <c r="P232" s="105" t="s">
        <v>1107</v>
      </c>
      <c r="Q232" s="105" t="s">
        <v>714</v>
      </c>
      <c r="R232" s="105" t="s">
        <v>1108</v>
      </c>
      <c r="S232" s="105" t="s">
        <v>953</v>
      </c>
      <c r="T232" s="105" t="s">
        <v>953</v>
      </c>
      <c r="U232" s="105" t="s">
        <v>953</v>
      </c>
      <c r="V232" s="104" t="s">
        <v>150</v>
      </c>
      <c r="W232" s="104" t="s">
        <v>127</v>
      </c>
      <c r="X232" s="104" t="s">
        <v>150</v>
      </c>
      <c r="Y232" s="103">
        <v>9000</v>
      </c>
      <c r="Z232" s="104">
        <v>90</v>
      </c>
      <c r="AA232" s="103">
        <v>60</v>
      </c>
      <c r="AB232" s="59">
        <v>20</v>
      </c>
      <c r="AC232" s="59">
        <v>35</v>
      </c>
      <c r="AD232" s="59">
        <v>35</v>
      </c>
      <c r="AE232" s="105" t="s">
        <v>595</v>
      </c>
      <c r="AF232" s="104" t="s">
        <v>129</v>
      </c>
      <c r="AI232" s="104" t="s">
        <v>130</v>
      </c>
      <c r="AJ232" s="59">
        <v>0</v>
      </c>
      <c r="AK232" s="103">
        <v>0</v>
      </c>
      <c r="AL232" s="59">
        <v>0</v>
      </c>
      <c r="AM232" s="103">
        <f t="shared" si="177"/>
        <v>0</v>
      </c>
      <c r="AN232" s="59">
        <v>0</v>
      </c>
      <c r="AO232" s="103">
        <f t="shared" si="178"/>
        <v>0</v>
      </c>
      <c r="AP232" s="59">
        <v>0</v>
      </c>
      <c r="AQ232" s="103">
        <f t="shared" si="179"/>
        <v>0</v>
      </c>
      <c r="AR232" s="59">
        <v>0</v>
      </c>
      <c r="AS232" s="103">
        <f t="shared" si="180"/>
        <v>0</v>
      </c>
      <c r="AT232" s="59">
        <v>0</v>
      </c>
      <c r="AU232" s="103">
        <f t="shared" si="181"/>
        <v>0</v>
      </c>
      <c r="AV232" s="59">
        <v>0</v>
      </c>
      <c r="AW232" s="103">
        <v>0</v>
      </c>
      <c r="AX232" s="57">
        <v>0</v>
      </c>
      <c r="AY232" s="103">
        <v>0</v>
      </c>
      <c r="AZ232" s="57">
        <v>0</v>
      </c>
      <c r="BA232" s="103">
        <v>0</v>
      </c>
      <c r="BB232" s="57">
        <v>0</v>
      </c>
      <c r="BC232" s="103">
        <v>0</v>
      </c>
      <c r="BD232" s="57">
        <v>0</v>
      </c>
      <c r="BE232" s="103">
        <v>0</v>
      </c>
      <c r="BF232" s="57">
        <v>0</v>
      </c>
      <c r="BG232" s="103">
        <v>0</v>
      </c>
      <c r="BH232" s="57">
        <v>0</v>
      </c>
      <c r="BI232" s="103">
        <v>0</v>
      </c>
      <c r="BJ232" s="57">
        <v>0</v>
      </c>
      <c r="BK232" s="103">
        <v>0</v>
      </c>
      <c r="BL232" s="104" t="s">
        <v>130</v>
      </c>
      <c r="BM232" s="57">
        <v>20</v>
      </c>
      <c r="BN232" s="57">
        <v>35</v>
      </c>
      <c r="BO232" s="57">
        <v>35</v>
      </c>
      <c r="BP232" s="57">
        <f t="shared" si="182"/>
        <v>90</v>
      </c>
      <c r="BQ232" s="103">
        <v>60</v>
      </c>
      <c r="BR232" s="103">
        <f>Table1[[#This Row],[Check 2 Students Total]]*Table1[[#This Row],[Summer 2018 Price Check]]</f>
        <v>5400</v>
      </c>
      <c r="BS232" s="57">
        <v>0</v>
      </c>
      <c r="BT232" s="103">
        <f>Table1[[#This Row],[Summer 2018 Price Check]]*BS232</f>
        <v>0</v>
      </c>
      <c r="BU232" s="57">
        <v>0</v>
      </c>
      <c r="BV232" s="103">
        <v>0</v>
      </c>
      <c r="BW232" s="59">
        <f>IF(Table1[[#This Row],[Sustainability Check 2 (2018-2019) Status]]="Continued", Table1[Check 2 Students Spring], 0)</f>
        <v>35</v>
      </c>
      <c r="BX232" s="103">
        <f>Table1[[#This Row],[Summer 2018 Price Check]]*Table1[[#This Row],[Spring 2019 Students]]</f>
        <v>2100</v>
      </c>
      <c r="BY232" s="57">
        <f t="shared" si="166"/>
        <v>35</v>
      </c>
      <c r="BZ232" s="103">
        <f t="shared" si="167"/>
        <v>2100</v>
      </c>
      <c r="CA232" s="104" t="s">
        <v>130</v>
      </c>
      <c r="CB232" s="57">
        <v>20</v>
      </c>
      <c r="CC232" s="57">
        <v>35</v>
      </c>
      <c r="CD232" s="57">
        <v>35</v>
      </c>
      <c r="CE232" s="57">
        <f t="shared" si="183"/>
        <v>90</v>
      </c>
      <c r="CF232" s="103">
        <v>60</v>
      </c>
      <c r="CG232" s="103">
        <f t="shared" si="169"/>
        <v>5400</v>
      </c>
      <c r="CH232" s="105" t="s">
        <v>595</v>
      </c>
      <c r="CI232" s="59">
        <f>IF(Table1[[#This Row],[Check 3 Status]]="Continued", Table1[[#This Row],[Check 3 Students Summer]], 0)</f>
        <v>20</v>
      </c>
      <c r="CJ232" s="103">
        <f>Table1[[#This Row],[Check 3 Per Student Savings]]*CI232</f>
        <v>1200</v>
      </c>
      <c r="CK232" s="59">
        <f>IF(Table1[[#This Row],[Check 3 Status]]="Continued", Table1[[#This Row],[Check 3 Students Fall]], 0)</f>
        <v>35</v>
      </c>
      <c r="CL232" s="103">
        <f>Table1[[#This Row],[Check 3 Per Student Savings]]*CK232</f>
        <v>2100</v>
      </c>
      <c r="CM232" s="59">
        <f>IF(Table1[[#This Row],[Check 3 Status]]="Continued", Table1[[#This Row],[Check 3 Students Spring]], 0)</f>
        <v>35</v>
      </c>
      <c r="CN232" s="103">
        <f>Table1[[#This Row],[Check 3 Per Student Savings]]*CM232</f>
        <v>2100</v>
      </c>
      <c r="CO232" s="59">
        <f t="shared" si="170"/>
        <v>90</v>
      </c>
      <c r="CP232" s="103">
        <f t="shared" si="171"/>
        <v>5400</v>
      </c>
      <c r="CQ232" s="103" t="s">
        <v>130</v>
      </c>
      <c r="CR232" s="59">
        <v>20</v>
      </c>
      <c r="CS232" s="59">
        <v>35</v>
      </c>
      <c r="CT232" s="59">
        <v>35</v>
      </c>
      <c r="CU232" s="59">
        <f t="shared" si="172"/>
        <v>90</v>
      </c>
      <c r="CV232" s="103">
        <v>60</v>
      </c>
      <c r="CW232" s="103">
        <f t="shared" si="173"/>
        <v>5400</v>
      </c>
      <c r="CX232" s="103"/>
      <c r="CY232" s="21">
        <f>IF(Table1[[#This Row],[Check 4 Status]]="Continued", Table1[[#This Row],[Check 4 Students Summer]], 0)</f>
        <v>20</v>
      </c>
      <c r="CZ232" s="58">
        <f>Table1[[#This Row],[Check 4 Per Student Savings]]*CY232</f>
        <v>1200</v>
      </c>
      <c r="DA232" s="59">
        <f>IF(Table1[[#This Row],[Check 4 Status]]="Continued", Table1[[#This Row],[Check 4 Students Fall]], 0)</f>
        <v>35</v>
      </c>
      <c r="DB232" s="103">
        <f>Table1[[#This Row],[Check 4 Per Student Savings]]*DA232</f>
        <v>2100</v>
      </c>
      <c r="DC232" s="21">
        <f>IF(Table1[[#This Row],[Check 4 Status]]="Continued", Table1[[#This Row],[Check 4 Students Spring]], 0)</f>
        <v>35</v>
      </c>
      <c r="DD232" s="58">
        <f>Table1[[#This Row],[Check 4 Per Student Savings]]*DC232</f>
        <v>2100</v>
      </c>
      <c r="DE232" s="58">
        <f t="shared" si="174"/>
        <v>90</v>
      </c>
      <c r="DF232" s="58">
        <f t="shared" si="175"/>
        <v>5400</v>
      </c>
      <c r="DG23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215</v>
      </c>
      <c r="DH23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12900</v>
      </c>
      <c r="DI232" s="103">
        <f>Table1[[#This Row],[Grand Total Savings]]/Table1[[#This Row],[Total Award]]</f>
        <v>1.1944444444444444</v>
      </c>
    </row>
    <row r="233" spans="1:136" ht="16.5" thickTop="1" thickBot="1" x14ac:dyDescent="0.3">
      <c r="A233" s="174" t="s">
        <v>594</v>
      </c>
      <c r="B233" s="17" t="s">
        <v>2011</v>
      </c>
      <c r="D233" s="97">
        <v>514512</v>
      </c>
      <c r="E233" s="175"/>
      <c r="F233" s="104"/>
      <c r="G233" s="176" t="s">
        <v>1089</v>
      </c>
      <c r="H233" s="102" t="s">
        <v>7</v>
      </c>
      <c r="I233" s="227" t="s">
        <v>118</v>
      </c>
      <c r="J233" s="104" t="s">
        <v>159</v>
      </c>
      <c r="K233" s="105">
        <v>30000</v>
      </c>
      <c r="L233" s="105"/>
      <c r="M233" s="105" t="s">
        <v>591</v>
      </c>
      <c r="N233" s="105" t="s">
        <v>592</v>
      </c>
      <c r="O233" s="105" t="s">
        <v>780</v>
      </c>
      <c r="P233" s="105" t="s">
        <v>593</v>
      </c>
      <c r="Q233" s="105" t="s">
        <v>192</v>
      </c>
      <c r="R233" s="105" t="s">
        <v>129</v>
      </c>
      <c r="S233" s="105" t="s">
        <v>953</v>
      </c>
      <c r="T233" s="105" t="s">
        <v>953</v>
      </c>
      <c r="U233" s="105" t="s">
        <v>953</v>
      </c>
      <c r="V233" s="104" t="s">
        <v>127</v>
      </c>
      <c r="W233" s="104" t="s">
        <v>127</v>
      </c>
      <c r="X233" s="104" t="s">
        <v>150</v>
      </c>
      <c r="Y233" s="103">
        <v>98537.04</v>
      </c>
      <c r="Z233" s="104">
        <v>2058</v>
      </c>
      <c r="AA233" s="103">
        <v>47.88</v>
      </c>
      <c r="AB233" s="59">
        <f>Z233/3</f>
        <v>686</v>
      </c>
      <c r="AC233" s="59">
        <f>Z233/3</f>
        <v>686</v>
      </c>
      <c r="AD233" s="59">
        <f>Z233/3</f>
        <v>686</v>
      </c>
      <c r="AE233" s="105" t="s">
        <v>595</v>
      </c>
      <c r="AF233" s="104" t="s">
        <v>129</v>
      </c>
      <c r="AG233" s="104"/>
      <c r="AH233" s="104"/>
      <c r="AI233" s="104" t="s">
        <v>130</v>
      </c>
      <c r="AJ233" s="59">
        <v>0</v>
      </c>
      <c r="AK233" s="103">
        <v>0</v>
      </c>
      <c r="AL233" s="59">
        <v>0</v>
      </c>
      <c r="AM233" s="103">
        <f t="shared" si="177"/>
        <v>0</v>
      </c>
      <c r="AN233" s="59">
        <v>0</v>
      </c>
      <c r="AO233" s="103">
        <f t="shared" si="178"/>
        <v>0</v>
      </c>
      <c r="AP233" s="59">
        <v>0</v>
      </c>
      <c r="AQ233" s="103">
        <f t="shared" si="179"/>
        <v>0</v>
      </c>
      <c r="AR233" s="59">
        <v>0</v>
      </c>
      <c r="AS233" s="103">
        <f t="shared" si="180"/>
        <v>0</v>
      </c>
      <c r="AT233" s="59">
        <v>0</v>
      </c>
      <c r="AU233" s="103">
        <f t="shared" si="181"/>
        <v>0</v>
      </c>
      <c r="AV233" s="59">
        <v>0</v>
      </c>
      <c r="AW233" s="103">
        <v>0</v>
      </c>
      <c r="AX233" s="57">
        <v>0</v>
      </c>
      <c r="AY233" s="103">
        <v>0</v>
      </c>
      <c r="AZ233" s="57">
        <v>0</v>
      </c>
      <c r="BA233" s="103">
        <v>0</v>
      </c>
      <c r="BB233" s="57">
        <v>0</v>
      </c>
      <c r="BC233" s="103">
        <v>0</v>
      </c>
      <c r="BD233" s="57">
        <v>0</v>
      </c>
      <c r="BE233" s="103">
        <v>0</v>
      </c>
      <c r="BF233" s="57">
        <v>0</v>
      </c>
      <c r="BG233" s="103">
        <v>0</v>
      </c>
      <c r="BH233" s="57">
        <v>0</v>
      </c>
      <c r="BI233" s="103">
        <v>0</v>
      </c>
      <c r="BJ233" s="57">
        <v>0</v>
      </c>
      <c r="BK233" s="103">
        <v>0</v>
      </c>
      <c r="BL233" s="104" t="s">
        <v>130</v>
      </c>
      <c r="BM233" s="57">
        <v>686</v>
      </c>
      <c r="BN233" s="57">
        <v>686</v>
      </c>
      <c r="BO233" s="57">
        <v>686</v>
      </c>
      <c r="BP233" s="57">
        <f t="shared" si="182"/>
        <v>2058</v>
      </c>
      <c r="BQ233" s="103">
        <v>47.88</v>
      </c>
      <c r="BR233" s="103">
        <f>Table1[[#This Row],[Check 2 Students Total]]*Table1[[#This Row],[Summer 2018 Price Check]]</f>
        <v>98537.040000000008</v>
      </c>
      <c r="BS233" s="57">
        <v>0</v>
      </c>
      <c r="BT233" s="103">
        <f>Table1[[#This Row],[Summer 2018 Price Check]]*BS233</f>
        <v>0</v>
      </c>
      <c r="BU233" s="57">
        <v>0</v>
      </c>
      <c r="BV233" s="103">
        <v>0</v>
      </c>
      <c r="BW233" s="59">
        <f>IF(Table1[[#This Row],[Sustainability Check 2 (2018-2019) Status]]="Continued", Table1[Check 2 Students Spring], 0)</f>
        <v>686</v>
      </c>
      <c r="BX233" s="103">
        <f>Table1[[#This Row],[Summer 2018 Price Check]]*Table1[[#This Row],[Spring 2019 Students]]</f>
        <v>32845.68</v>
      </c>
      <c r="BY233" s="57">
        <f t="shared" si="166"/>
        <v>686</v>
      </c>
      <c r="BZ233" s="103">
        <f t="shared" si="167"/>
        <v>32845.68</v>
      </c>
      <c r="CA233" s="104" t="s">
        <v>130</v>
      </c>
      <c r="CB233" s="57">
        <v>686</v>
      </c>
      <c r="CC233" s="57">
        <v>686</v>
      </c>
      <c r="CD233" s="57">
        <v>686</v>
      </c>
      <c r="CE233" s="57">
        <f t="shared" si="183"/>
        <v>2058</v>
      </c>
      <c r="CF233" s="103">
        <v>47.88</v>
      </c>
      <c r="CG233" s="103">
        <f t="shared" si="169"/>
        <v>98537.040000000008</v>
      </c>
      <c r="CH233" s="105" t="s">
        <v>595</v>
      </c>
      <c r="CI233" s="59">
        <f>IF(Table1[[#This Row],[Check 3 Status]]="Continued", Table1[[#This Row],[Check 3 Students Summer]], 0)</f>
        <v>686</v>
      </c>
      <c r="CJ233" s="103">
        <f>Table1[[#This Row],[Check 3 Per Student Savings]]*CI233</f>
        <v>32845.68</v>
      </c>
      <c r="CK233" s="59">
        <f>IF(Table1[[#This Row],[Check 3 Status]]="Continued", Table1[[#This Row],[Check 3 Students Fall]], 0)</f>
        <v>686</v>
      </c>
      <c r="CL233" s="103">
        <f>Table1[[#This Row],[Check 3 Per Student Savings]]*CK233</f>
        <v>32845.68</v>
      </c>
      <c r="CM233" s="59">
        <f>IF(Table1[[#This Row],[Check 3 Status]]="Continued", Table1[[#This Row],[Check 3 Students Spring]], 0)</f>
        <v>686</v>
      </c>
      <c r="CN233" s="103">
        <f>Table1[[#This Row],[Check 3 Per Student Savings]]*CM233</f>
        <v>32845.68</v>
      </c>
      <c r="CO233" s="59">
        <f t="shared" si="170"/>
        <v>2058</v>
      </c>
      <c r="CP233" s="103">
        <f t="shared" si="171"/>
        <v>98537.040000000008</v>
      </c>
      <c r="CQ233" s="103" t="s">
        <v>130</v>
      </c>
      <c r="CR233" s="59">
        <v>686</v>
      </c>
      <c r="CS233" s="59">
        <v>686</v>
      </c>
      <c r="CT233" s="59">
        <v>686</v>
      </c>
      <c r="CU233" s="59">
        <f t="shared" si="172"/>
        <v>2058</v>
      </c>
      <c r="CV233" s="103">
        <v>47.88</v>
      </c>
      <c r="CW233" s="103">
        <f t="shared" si="173"/>
        <v>98537.040000000008</v>
      </c>
      <c r="CX233" s="103"/>
      <c r="CY233" s="21">
        <f>IF(Table1[[#This Row],[Check 4 Status]]="Continued", Table1[[#This Row],[Check 4 Students Summer]], 0)</f>
        <v>686</v>
      </c>
      <c r="CZ233" s="58">
        <f>Table1[[#This Row],[Check 4 Per Student Savings]]*CY233</f>
        <v>32845.68</v>
      </c>
      <c r="DA233" s="59">
        <f>IF(Table1[[#This Row],[Check 4 Status]]="Continued", Table1[[#This Row],[Check 4 Students Fall]], 0)</f>
        <v>686</v>
      </c>
      <c r="DB233" s="103">
        <f>Table1[[#This Row],[Check 4 Per Student Savings]]*DA233</f>
        <v>32845.68</v>
      </c>
      <c r="DC233" s="21">
        <f>IF(Table1[[#This Row],[Check 4 Status]]="Continued", Table1[[#This Row],[Check 4 Students Spring]], 0)</f>
        <v>686</v>
      </c>
      <c r="DD233" s="58">
        <f>Table1[[#This Row],[Check 4 Per Student Savings]]*DC233</f>
        <v>32845.68</v>
      </c>
      <c r="DE233" s="58">
        <f t="shared" si="174"/>
        <v>2058</v>
      </c>
      <c r="DF233" s="58">
        <f t="shared" si="175"/>
        <v>98537.040000000008</v>
      </c>
      <c r="DG23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4802</v>
      </c>
      <c r="DH23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229919.76</v>
      </c>
      <c r="DI233" s="103">
        <f>Table1[[#This Row],[Grand Total Savings]]/Table1[[#This Row],[Total Award]]</f>
        <v>7.6639920000000004</v>
      </c>
      <c r="DJ233" s="17"/>
      <c r="DK233" s="17"/>
      <c r="DL233" s="17"/>
      <c r="DM233" s="17"/>
      <c r="EC233" s="17"/>
      <c r="ED233" s="17"/>
      <c r="EE233" s="17"/>
      <c r="EF233" s="17"/>
    </row>
    <row r="234" spans="1:136" s="104" customFormat="1" ht="16.5" thickTop="1" thickBot="1" x14ac:dyDescent="0.3">
      <c r="A234" s="177">
        <v>375</v>
      </c>
      <c r="B234" s="17" t="s">
        <v>2011</v>
      </c>
      <c r="C234" s="17"/>
      <c r="D234" s="97">
        <v>515305</v>
      </c>
      <c r="E234" s="178">
        <v>43472</v>
      </c>
      <c r="G234" s="179" t="s">
        <v>1109</v>
      </c>
      <c r="H234" s="102" t="s">
        <v>6</v>
      </c>
      <c r="I234" s="227" t="s">
        <v>118</v>
      </c>
      <c r="J234" s="104" t="s">
        <v>132</v>
      </c>
      <c r="K234" s="180">
        <v>30000</v>
      </c>
      <c r="L234" s="180"/>
      <c r="M234" s="105" t="s">
        <v>1110</v>
      </c>
      <c r="N234" s="105" t="s">
        <v>1111</v>
      </c>
      <c r="O234" s="104" t="s">
        <v>1112</v>
      </c>
      <c r="P234" s="105" t="s">
        <v>1113</v>
      </c>
      <c r="Q234" s="105" t="s">
        <v>177</v>
      </c>
      <c r="R234" s="105" t="s">
        <v>129</v>
      </c>
      <c r="S234" s="105" t="s">
        <v>953</v>
      </c>
      <c r="T234" s="105" t="s">
        <v>953</v>
      </c>
      <c r="U234" s="105" t="s">
        <v>953</v>
      </c>
      <c r="V234" s="104" t="s">
        <v>150</v>
      </c>
      <c r="W234" s="104" t="s">
        <v>150</v>
      </c>
      <c r="X234" s="104" t="s">
        <v>127</v>
      </c>
      <c r="Y234" s="103">
        <v>46041</v>
      </c>
      <c r="Z234" s="104">
        <v>780</v>
      </c>
      <c r="AA234" s="103">
        <v>133.66999999999999</v>
      </c>
      <c r="AB234" s="59">
        <v>94</v>
      </c>
      <c r="AC234" s="59">
        <v>422</v>
      </c>
      <c r="AD234" s="59">
        <v>264</v>
      </c>
      <c r="AE234" s="104" t="s">
        <v>595</v>
      </c>
      <c r="AF234" s="104" t="s">
        <v>129</v>
      </c>
      <c r="AI234" s="104" t="s">
        <v>130</v>
      </c>
      <c r="AJ234" s="59">
        <v>0</v>
      </c>
      <c r="AK234" s="103">
        <v>0</v>
      </c>
      <c r="AL234" s="59">
        <v>0</v>
      </c>
      <c r="AM234" s="103">
        <f t="shared" si="177"/>
        <v>0</v>
      </c>
      <c r="AN234" s="59">
        <v>0</v>
      </c>
      <c r="AO234" s="103">
        <f t="shared" si="178"/>
        <v>0</v>
      </c>
      <c r="AP234" s="59">
        <v>0</v>
      </c>
      <c r="AQ234" s="103">
        <f t="shared" si="179"/>
        <v>0</v>
      </c>
      <c r="AR234" s="59">
        <v>0</v>
      </c>
      <c r="AS234" s="103">
        <f t="shared" si="180"/>
        <v>0</v>
      </c>
      <c r="AT234" s="59">
        <v>0</v>
      </c>
      <c r="AU234" s="103">
        <f t="shared" si="181"/>
        <v>0</v>
      </c>
      <c r="AV234" s="59">
        <v>0</v>
      </c>
      <c r="AW234" s="103">
        <v>0</v>
      </c>
      <c r="AX234" s="57">
        <v>0</v>
      </c>
      <c r="AY234" s="103">
        <v>0</v>
      </c>
      <c r="AZ234" s="57">
        <v>0</v>
      </c>
      <c r="BA234" s="103">
        <v>0</v>
      </c>
      <c r="BB234" s="57">
        <v>0</v>
      </c>
      <c r="BC234" s="103">
        <v>0</v>
      </c>
      <c r="BD234" s="57">
        <v>0</v>
      </c>
      <c r="BE234" s="103">
        <v>0</v>
      </c>
      <c r="BF234" s="57">
        <v>0</v>
      </c>
      <c r="BG234" s="103">
        <v>0</v>
      </c>
      <c r="BH234" s="57">
        <v>0</v>
      </c>
      <c r="BI234" s="103">
        <v>0</v>
      </c>
      <c r="BJ234" s="57">
        <v>0</v>
      </c>
      <c r="BK234" s="103">
        <v>0</v>
      </c>
      <c r="BL234" s="104" t="s">
        <v>130</v>
      </c>
      <c r="BM234" s="57">
        <v>94</v>
      </c>
      <c r="BN234" s="57">
        <v>422</v>
      </c>
      <c r="BO234" s="57">
        <v>264</v>
      </c>
      <c r="BP234" s="57">
        <f t="shared" si="182"/>
        <v>780</v>
      </c>
      <c r="BQ234" s="103">
        <f t="shared" ref="BQ234:BQ252" si="184">$AA234</f>
        <v>133.66999999999999</v>
      </c>
      <c r="BR234" s="103">
        <f>Table1[[#This Row],[Check 2 Students Total]]*Table1[[#This Row],[Summer 2018 Price Check]]</f>
        <v>104262.59999999999</v>
      </c>
      <c r="BS234" s="57">
        <v>0</v>
      </c>
      <c r="BT234" s="103">
        <f>Table1[[#This Row],[Summer 2018 Price Check]]*BS234</f>
        <v>0</v>
      </c>
      <c r="BU234" s="57">
        <v>0</v>
      </c>
      <c r="BV234" s="103">
        <v>0</v>
      </c>
      <c r="BW234" s="59">
        <f>IF(Table1[[#This Row],[Sustainability Check 2 (2018-2019) Status]]="Continued", Table1[Check 2 Students Spring], 0)</f>
        <v>264</v>
      </c>
      <c r="BX234" s="103">
        <f>Table1[[#This Row],[Summer 2018 Price Check]]*Table1[[#This Row],[Spring 2019 Students]]</f>
        <v>35288.879999999997</v>
      </c>
      <c r="BY234" s="57">
        <f t="shared" si="166"/>
        <v>264</v>
      </c>
      <c r="BZ234" s="103">
        <f t="shared" si="167"/>
        <v>35288.879999999997</v>
      </c>
      <c r="CA234" s="104" t="s">
        <v>130</v>
      </c>
      <c r="CB234" s="57">
        <v>94</v>
      </c>
      <c r="CC234" s="57">
        <v>422</v>
      </c>
      <c r="CD234" s="57">
        <v>264</v>
      </c>
      <c r="CE234" s="57">
        <f t="shared" si="183"/>
        <v>780</v>
      </c>
      <c r="CF234" s="103">
        <f t="shared" ref="CF234:CF252" si="185">$AA234</f>
        <v>133.66999999999999</v>
      </c>
      <c r="CG234" s="103">
        <f t="shared" si="169"/>
        <v>104262.59999999999</v>
      </c>
      <c r="CH234" s="104" t="s">
        <v>595</v>
      </c>
      <c r="CI234" s="59">
        <f>IF(Table1[[#This Row],[Check 3 Status]]="Continued", Table1[[#This Row],[Check 3 Students Summer]], 0)</f>
        <v>94</v>
      </c>
      <c r="CJ234" s="103">
        <f>Table1[[#This Row],[Check 3 Per Student Savings]]*CI234</f>
        <v>12564.98</v>
      </c>
      <c r="CK234" s="59">
        <f>IF(Table1[[#This Row],[Check 3 Status]]="Continued", Table1[[#This Row],[Check 3 Students Fall]], 0)</f>
        <v>422</v>
      </c>
      <c r="CL234" s="103">
        <f>Table1[[#This Row],[Check 3 Per Student Savings]]*CK234</f>
        <v>56408.74</v>
      </c>
      <c r="CM234" s="59">
        <f>IF(Table1[[#This Row],[Check 3 Status]]="Continued", Table1[[#This Row],[Check 3 Students Spring]], 0)</f>
        <v>264</v>
      </c>
      <c r="CN234" s="103">
        <f>Table1[[#This Row],[Check 3 Per Student Savings]]*CM234</f>
        <v>35288.879999999997</v>
      </c>
      <c r="CO234" s="59">
        <f t="shared" si="170"/>
        <v>780</v>
      </c>
      <c r="CP234" s="103">
        <f t="shared" si="171"/>
        <v>104262.6</v>
      </c>
      <c r="CQ234" s="103" t="s">
        <v>130</v>
      </c>
      <c r="CR234" s="59">
        <v>94</v>
      </c>
      <c r="CS234" s="59">
        <v>422</v>
      </c>
      <c r="CT234" s="59">
        <v>264</v>
      </c>
      <c r="CU234" s="59">
        <f t="shared" si="172"/>
        <v>780</v>
      </c>
      <c r="CV234" s="103">
        <v>133.66999999999999</v>
      </c>
      <c r="CW234" s="103">
        <f t="shared" si="173"/>
        <v>104262.59999999999</v>
      </c>
      <c r="CX234" s="103"/>
      <c r="CY234" s="21">
        <f>IF(Table1[[#This Row],[Check 4 Status]]="Continued", Table1[[#This Row],[Check 4 Students Summer]], 0)</f>
        <v>94</v>
      </c>
      <c r="CZ234" s="58">
        <f>Table1[[#This Row],[Check 4 Per Student Savings]]*CY234</f>
        <v>12564.98</v>
      </c>
      <c r="DA234" s="59">
        <f>IF(Table1[[#This Row],[Check 4 Status]]="Continued", Table1[[#This Row],[Check 4 Students Fall]], 0)</f>
        <v>422</v>
      </c>
      <c r="DB234" s="103">
        <f>Table1[[#This Row],[Check 4 Per Student Savings]]*DA234</f>
        <v>56408.74</v>
      </c>
      <c r="DC234" s="21">
        <f>IF(Table1[[#This Row],[Check 4 Status]]="Continued", Table1[[#This Row],[Check 4 Students Spring]], 0)</f>
        <v>264</v>
      </c>
      <c r="DD234" s="58">
        <f>Table1[[#This Row],[Check 4 Per Student Savings]]*DC234</f>
        <v>35288.879999999997</v>
      </c>
      <c r="DE234" s="58">
        <f t="shared" si="174"/>
        <v>780</v>
      </c>
      <c r="DF234" s="58">
        <f t="shared" si="175"/>
        <v>104262.6</v>
      </c>
      <c r="DG23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1824</v>
      </c>
      <c r="DH23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243814.08000000002</v>
      </c>
      <c r="DI234" s="103">
        <f>Table1[[#This Row],[Grand Total Savings]]/Table1[[#This Row],[Total Award]]</f>
        <v>8.1271360000000001</v>
      </c>
    </row>
    <row r="235" spans="1:136" s="104" customFormat="1" ht="15.75" thickTop="1" x14ac:dyDescent="0.25">
      <c r="A235" s="181">
        <v>377</v>
      </c>
      <c r="B235" s="17" t="s">
        <v>2011</v>
      </c>
      <c r="C235" s="17"/>
      <c r="D235" s="97">
        <v>515304</v>
      </c>
      <c r="E235" s="158">
        <v>43559</v>
      </c>
      <c r="F235" s="106"/>
      <c r="G235" s="182" t="s">
        <v>1109</v>
      </c>
      <c r="H235" s="95" t="s">
        <v>6</v>
      </c>
      <c r="I235" s="226" t="s">
        <v>118</v>
      </c>
      <c r="J235" s="17" t="s">
        <v>132</v>
      </c>
      <c r="K235" s="107">
        <v>10800</v>
      </c>
      <c r="L235" s="107"/>
      <c r="M235" s="101" t="s">
        <v>1114</v>
      </c>
      <c r="N235" s="101" t="s">
        <v>1115</v>
      </c>
      <c r="O235" s="101" t="s">
        <v>1116</v>
      </c>
      <c r="P235" s="101" t="s">
        <v>1117</v>
      </c>
      <c r="Q235" s="101" t="s">
        <v>456</v>
      </c>
      <c r="R235" s="101" t="s">
        <v>129</v>
      </c>
      <c r="S235" s="101" t="s">
        <v>953</v>
      </c>
      <c r="T235" s="101" t="s">
        <v>953</v>
      </c>
      <c r="U235" s="101" t="s">
        <v>953</v>
      </c>
      <c r="V235" s="17" t="s">
        <v>127</v>
      </c>
      <c r="W235" s="17" t="s">
        <v>127</v>
      </c>
      <c r="X235" s="17" t="s">
        <v>127</v>
      </c>
      <c r="Y235" s="58">
        <v>6840</v>
      </c>
      <c r="Z235" s="17">
        <v>30</v>
      </c>
      <c r="AA235" s="58">
        <v>228</v>
      </c>
      <c r="AB235" s="21">
        <v>0</v>
      </c>
      <c r="AC235" s="21">
        <v>30</v>
      </c>
      <c r="AD235" s="21">
        <v>0</v>
      </c>
      <c r="AE235" s="17" t="s">
        <v>1096</v>
      </c>
      <c r="AF235" s="17" t="s">
        <v>129</v>
      </c>
      <c r="AG235" s="17"/>
      <c r="AH235" s="17"/>
      <c r="AI235" s="17" t="s">
        <v>130</v>
      </c>
      <c r="AJ235" s="21">
        <v>0</v>
      </c>
      <c r="AK235" s="58">
        <v>0</v>
      </c>
      <c r="AL235" s="21">
        <v>0</v>
      </c>
      <c r="AM235" s="58">
        <f t="shared" si="177"/>
        <v>0</v>
      </c>
      <c r="AN235" s="21">
        <v>0</v>
      </c>
      <c r="AO235" s="58">
        <f t="shared" si="178"/>
        <v>0</v>
      </c>
      <c r="AP235" s="21">
        <v>0</v>
      </c>
      <c r="AQ235" s="58">
        <f t="shared" si="179"/>
        <v>0</v>
      </c>
      <c r="AR235" s="21">
        <v>0</v>
      </c>
      <c r="AS235" s="58">
        <f t="shared" si="180"/>
        <v>0</v>
      </c>
      <c r="AT235" s="21">
        <v>0</v>
      </c>
      <c r="AU235" s="58">
        <f t="shared" si="181"/>
        <v>0</v>
      </c>
      <c r="AV235" s="21">
        <v>0</v>
      </c>
      <c r="AW235" s="58">
        <v>0</v>
      </c>
      <c r="AX235" s="31">
        <v>0</v>
      </c>
      <c r="AY235" s="58">
        <v>0</v>
      </c>
      <c r="AZ235" s="31">
        <v>0</v>
      </c>
      <c r="BA235" s="58">
        <v>0</v>
      </c>
      <c r="BB235" s="31">
        <v>0</v>
      </c>
      <c r="BC235" s="58">
        <v>0</v>
      </c>
      <c r="BD235" s="31">
        <v>0</v>
      </c>
      <c r="BE235" s="58">
        <v>0</v>
      </c>
      <c r="BF235" s="31">
        <v>0</v>
      </c>
      <c r="BG235" s="58">
        <v>0</v>
      </c>
      <c r="BH235" s="31">
        <v>0</v>
      </c>
      <c r="BI235" s="58">
        <v>0</v>
      </c>
      <c r="BJ235" s="31">
        <v>0</v>
      </c>
      <c r="BK235" s="58">
        <v>0</v>
      </c>
      <c r="BL235" s="17" t="s">
        <v>130</v>
      </c>
      <c r="BM235" s="31">
        <v>0</v>
      </c>
      <c r="BN235" s="31">
        <v>30</v>
      </c>
      <c r="BO235" s="31">
        <v>0</v>
      </c>
      <c r="BP235" s="31">
        <f t="shared" si="182"/>
        <v>30</v>
      </c>
      <c r="BQ235" s="58">
        <f t="shared" si="184"/>
        <v>228</v>
      </c>
      <c r="BR235" s="58">
        <f>Table1[[#This Row],[Check 2 Students Total]]*Table1[[#This Row],[Summer 2018 Price Check]]</f>
        <v>6840</v>
      </c>
      <c r="BS235" s="31">
        <v>0</v>
      </c>
      <c r="BT235" s="58">
        <f>Table1[[#This Row],[Summer 2018 Price Check]]*BS235</f>
        <v>0</v>
      </c>
      <c r="BU235" s="31">
        <v>0</v>
      </c>
      <c r="BV235" s="58">
        <v>0</v>
      </c>
      <c r="BW235" s="21">
        <v>0</v>
      </c>
      <c r="BX235" s="58">
        <f>Table1[[#This Row],[Summer 2018 Price Check]]*Table1[[#This Row],[Spring 2019 Students]]</f>
        <v>0</v>
      </c>
      <c r="BY235" s="31">
        <f t="shared" si="166"/>
        <v>0</v>
      </c>
      <c r="BZ235" s="58">
        <f t="shared" si="167"/>
        <v>0</v>
      </c>
      <c r="CA235" s="17" t="s">
        <v>130</v>
      </c>
      <c r="CB235" s="31">
        <v>0</v>
      </c>
      <c r="CC235" s="31">
        <v>30</v>
      </c>
      <c r="CD235" s="31">
        <v>0</v>
      </c>
      <c r="CE235" s="31">
        <f t="shared" si="183"/>
        <v>30</v>
      </c>
      <c r="CF235" s="58">
        <f t="shared" si="185"/>
        <v>228</v>
      </c>
      <c r="CG235" s="58">
        <f t="shared" si="169"/>
        <v>6840</v>
      </c>
      <c r="CH235" s="17" t="s">
        <v>1096</v>
      </c>
      <c r="CI235" s="21">
        <v>0</v>
      </c>
      <c r="CJ235" s="58">
        <v>0</v>
      </c>
      <c r="CK235" s="21">
        <f>IF(Table1[[#This Row],[Check 3 Status]]="Continued", Table1[[#This Row],[Check 3 Students Fall]], 0)</f>
        <v>30</v>
      </c>
      <c r="CL235" s="58">
        <f>Table1[[#This Row],[Check 3 Per Student Savings]]*CK235</f>
        <v>6840</v>
      </c>
      <c r="CM235" s="21">
        <f>IF(Table1[[#This Row],[Check 3 Status]]="Continued", Table1[[#This Row],[Check 3 Students Spring]], 0)</f>
        <v>0</v>
      </c>
      <c r="CN235" s="58">
        <f>Table1[[#This Row],[Check 3 Per Student Savings]]*CM235</f>
        <v>0</v>
      </c>
      <c r="CO235" s="21">
        <f t="shared" si="170"/>
        <v>30</v>
      </c>
      <c r="CP235" s="58">
        <f t="shared" si="171"/>
        <v>6840</v>
      </c>
      <c r="CQ235" s="58" t="s">
        <v>142</v>
      </c>
      <c r="CR235" s="21">
        <v>0</v>
      </c>
      <c r="CS235" s="21">
        <v>30</v>
      </c>
      <c r="CT235" s="21">
        <v>0</v>
      </c>
      <c r="CU235" s="21">
        <v>0</v>
      </c>
      <c r="CV235" s="58">
        <v>228</v>
      </c>
      <c r="CW235" s="58">
        <f t="shared" si="173"/>
        <v>0</v>
      </c>
      <c r="CX235" s="58"/>
      <c r="CY235" s="21">
        <f>IF(Table1[[#This Row],[Check 4 Status]]="Continued", Table1[[#This Row],[Check 4 Students Summer]], 0)</f>
        <v>0</v>
      </c>
      <c r="CZ235" s="58">
        <f>Table1[[#This Row],[Check 4 Per Student Savings]]*CY235</f>
        <v>0</v>
      </c>
      <c r="DA235" s="21">
        <f>IF(Table1[[#This Row],[Check 4 Status]]="Continued", Table1[[#This Row],[Check 4 Students Fall]], 0)</f>
        <v>0</v>
      </c>
      <c r="DB235" s="58">
        <f>Table1[[#This Row],[Check 4 Per Student Savings]]*DA235</f>
        <v>0</v>
      </c>
      <c r="DC235" s="21">
        <f>IF(Table1[[#This Row],[Check 4 Status]]="Continued", Table1[[#This Row],[Check 4 Students Spring]], 0)</f>
        <v>0</v>
      </c>
      <c r="DD235" s="58">
        <f>Table1[[#This Row],[Check 4 Per Student Savings]]*DC235</f>
        <v>0</v>
      </c>
      <c r="DE235" s="58">
        <f t="shared" si="174"/>
        <v>0</v>
      </c>
      <c r="DF235" s="58">
        <f t="shared" si="175"/>
        <v>0</v>
      </c>
      <c r="DG23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30</v>
      </c>
      <c r="DH23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6840</v>
      </c>
      <c r="DI235" s="58">
        <f>Table1[[#This Row],[Grand Total Savings]]/Table1[[#This Row],[Total Award]]</f>
        <v>0.6333333333333333</v>
      </c>
    </row>
    <row r="236" spans="1:136" s="104" customFormat="1" x14ac:dyDescent="0.25">
      <c r="A236" s="183">
        <v>378</v>
      </c>
      <c r="B236" s="17" t="s">
        <v>2011</v>
      </c>
      <c r="C236" s="17"/>
      <c r="D236" s="97">
        <v>515311</v>
      </c>
      <c r="E236" s="178">
        <v>43532</v>
      </c>
      <c r="G236" s="102" t="s">
        <v>1109</v>
      </c>
      <c r="H236" s="102" t="s">
        <v>6</v>
      </c>
      <c r="I236" s="227" t="s">
        <v>118</v>
      </c>
      <c r="J236" s="104" t="s">
        <v>210</v>
      </c>
      <c r="K236" s="180">
        <v>10800</v>
      </c>
      <c r="L236" s="180"/>
      <c r="M236" s="105" t="s">
        <v>1118</v>
      </c>
      <c r="N236" s="105" t="s">
        <v>1119</v>
      </c>
      <c r="O236" s="105" t="s">
        <v>1120</v>
      </c>
      <c r="P236" s="105" t="s">
        <v>1121</v>
      </c>
      <c r="Q236" s="105" t="s">
        <v>148</v>
      </c>
      <c r="R236" s="105" t="s">
        <v>129</v>
      </c>
      <c r="S236" s="105" t="s">
        <v>953</v>
      </c>
      <c r="T236" s="105" t="s">
        <v>953</v>
      </c>
      <c r="U236" s="105" t="s">
        <v>953</v>
      </c>
      <c r="V236" s="104" t="s">
        <v>150</v>
      </c>
      <c r="W236" s="104" t="s">
        <v>127</v>
      </c>
      <c r="X236" s="104" t="s">
        <v>139</v>
      </c>
      <c r="Y236" s="103">
        <v>52632.5</v>
      </c>
      <c r="Z236" s="104">
        <v>300</v>
      </c>
      <c r="AA236" s="103">
        <v>175.48</v>
      </c>
      <c r="AB236" s="59">
        <v>20</v>
      </c>
      <c r="AC236" s="59">
        <v>140</v>
      </c>
      <c r="AD236" s="59">
        <v>140</v>
      </c>
      <c r="AE236" s="104" t="s">
        <v>595</v>
      </c>
      <c r="AF236" s="104" t="s">
        <v>129</v>
      </c>
      <c r="AI236" s="104" t="s">
        <v>130</v>
      </c>
      <c r="AJ236" s="59">
        <v>0</v>
      </c>
      <c r="AK236" s="103">
        <v>0</v>
      </c>
      <c r="AL236" s="59">
        <v>0</v>
      </c>
      <c r="AM236" s="103">
        <f t="shared" si="177"/>
        <v>0</v>
      </c>
      <c r="AN236" s="59">
        <v>0</v>
      </c>
      <c r="AO236" s="103">
        <f t="shared" si="178"/>
        <v>0</v>
      </c>
      <c r="AP236" s="59">
        <v>0</v>
      </c>
      <c r="AQ236" s="103">
        <f t="shared" si="179"/>
        <v>0</v>
      </c>
      <c r="AR236" s="59">
        <v>0</v>
      </c>
      <c r="AS236" s="103">
        <f t="shared" si="180"/>
        <v>0</v>
      </c>
      <c r="AT236" s="59">
        <v>0</v>
      </c>
      <c r="AU236" s="103">
        <f t="shared" si="181"/>
        <v>0</v>
      </c>
      <c r="AV236" s="59">
        <v>0</v>
      </c>
      <c r="AW236" s="103">
        <v>0</v>
      </c>
      <c r="AX236" s="57">
        <v>0</v>
      </c>
      <c r="AY236" s="103">
        <v>0</v>
      </c>
      <c r="AZ236" s="57">
        <v>0</v>
      </c>
      <c r="BA236" s="103">
        <v>0</v>
      </c>
      <c r="BB236" s="57">
        <v>0</v>
      </c>
      <c r="BC236" s="103">
        <v>0</v>
      </c>
      <c r="BD236" s="57">
        <v>0</v>
      </c>
      <c r="BE236" s="103">
        <v>0</v>
      </c>
      <c r="BF236" s="57">
        <v>0</v>
      </c>
      <c r="BG236" s="103">
        <v>0</v>
      </c>
      <c r="BH236" s="57">
        <v>0</v>
      </c>
      <c r="BI236" s="103">
        <v>0</v>
      </c>
      <c r="BJ236" s="57">
        <v>0</v>
      </c>
      <c r="BK236" s="103">
        <v>0</v>
      </c>
      <c r="BL236" s="104" t="s">
        <v>130</v>
      </c>
      <c r="BM236" s="57">
        <v>20</v>
      </c>
      <c r="BN236" s="57">
        <v>140</v>
      </c>
      <c r="BO236" s="57">
        <v>140</v>
      </c>
      <c r="BP236" s="57">
        <f t="shared" si="182"/>
        <v>300</v>
      </c>
      <c r="BQ236" s="103">
        <f t="shared" si="184"/>
        <v>175.48</v>
      </c>
      <c r="BR236" s="103">
        <f>Table1[[#This Row],[Check 2 Students Total]]*Table1[[#This Row],[Summer 2018 Price Check]]</f>
        <v>52644</v>
      </c>
      <c r="BS236" s="57">
        <v>0</v>
      </c>
      <c r="BT236" s="103">
        <f>Table1[[#This Row],[Summer 2018 Price Check]]*BS236</f>
        <v>0</v>
      </c>
      <c r="BU236" s="57">
        <v>0</v>
      </c>
      <c r="BV236" s="103">
        <v>0</v>
      </c>
      <c r="BW236" s="59">
        <f>IF(Table1[[#This Row],[Sustainability Check 2 (2018-2019) Status]]="Continued", Table1[Check 2 Students Spring], 0)</f>
        <v>140</v>
      </c>
      <c r="BX236" s="103">
        <f>Table1[[#This Row],[Summer 2018 Price Check]]*Table1[[#This Row],[Spring 2019 Students]]</f>
        <v>24567.199999999997</v>
      </c>
      <c r="BY236" s="57">
        <f t="shared" si="166"/>
        <v>140</v>
      </c>
      <c r="BZ236" s="103">
        <f t="shared" si="167"/>
        <v>24567.199999999997</v>
      </c>
      <c r="CA236" s="104" t="s">
        <v>130</v>
      </c>
      <c r="CB236" s="57">
        <v>20</v>
      </c>
      <c r="CC236" s="57">
        <v>140</v>
      </c>
      <c r="CD236" s="57">
        <v>140</v>
      </c>
      <c r="CE236" s="57">
        <f t="shared" si="183"/>
        <v>300</v>
      </c>
      <c r="CF236" s="103">
        <f t="shared" si="185"/>
        <v>175.48</v>
      </c>
      <c r="CG236" s="103">
        <f t="shared" si="169"/>
        <v>52644</v>
      </c>
      <c r="CH236" s="104" t="s">
        <v>595</v>
      </c>
      <c r="CI236" s="59">
        <f>IF(Table1[[#This Row],[Check 3 Status]]="Continued", Table1[[#This Row],[Check 3 Students Summer]], 0)</f>
        <v>20</v>
      </c>
      <c r="CJ236" s="103">
        <f>Table1[[#This Row],[Check 3 Per Student Savings]]*CI236</f>
        <v>3509.6</v>
      </c>
      <c r="CK236" s="59">
        <f>IF(Table1[[#This Row],[Check 3 Status]]="Continued", Table1[[#This Row],[Check 3 Students Fall]], 0)</f>
        <v>140</v>
      </c>
      <c r="CL236" s="103">
        <f>Table1[[#This Row],[Check 3 Per Student Savings]]*CK236</f>
        <v>24567.199999999997</v>
      </c>
      <c r="CM236" s="59">
        <f>IF(Table1[[#This Row],[Check 3 Status]]="Continued", Table1[[#This Row],[Check 3 Students Spring]], 0)</f>
        <v>140</v>
      </c>
      <c r="CN236" s="103">
        <f>Table1[[#This Row],[Check 3 Per Student Savings]]*CM236</f>
        <v>24567.199999999997</v>
      </c>
      <c r="CO236" s="59">
        <f t="shared" si="170"/>
        <v>300</v>
      </c>
      <c r="CP236" s="103">
        <f t="shared" si="171"/>
        <v>52643.999999999993</v>
      </c>
      <c r="CQ236" s="103" t="s">
        <v>130</v>
      </c>
      <c r="CR236" s="59">
        <v>20</v>
      </c>
      <c r="CS236" s="59">
        <v>140</v>
      </c>
      <c r="CT236" s="59">
        <v>140</v>
      </c>
      <c r="CU236" s="59">
        <f t="shared" si="172"/>
        <v>300</v>
      </c>
      <c r="CV236" s="103">
        <v>175.48</v>
      </c>
      <c r="CW236" s="103">
        <f t="shared" si="173"/>
        <v>52644</v>
      </c>
      <c r="CX236" s="103"/>
      <c r="CY236" s="21">
        <f>IF(Table1[[#This Row],[Check 4 Status]]="Continued", Table1[[#This Row],[Check 4 Students Summer]], 0)</f>
        <v>20</v>
      </c>
      <c r="CZ236" s="58">
        <f>Table1[[#This Row],[Check 4 Per Student Savings]]*CY236</f>
        <v>3509.6</v>
      </c>
      <c r="DA236" s="59">
        <f>IF(Table1[[#This Row],[Check 4 Status]]="Continued", Table1[[#This Row],[Check 4 Students Fall]], 0)</f>
        <v>140</v>
      </c>
      <c r="DB236" s="103">
        <f>Table1[[#This Row],[Check 4 Per Student Savings]]*DA236</f>
        <v>24567.199999999997</v>
      </c>
      <c r="DC236" s="21">
        <f>IF(Table1[[#This Row],[Check 4 Status]]="Continued", Table1[[#This Row],[Check 4 Students Spring]], 0)</f>
        <v>140</v>
      </c>
      <c r="DD236" s="58">
        <f>Table1[[#This Row],[Check 4 Per Student Savings]]*DC236</f>
        <v>24567.199999999997</v>
      </c>
      <c r="DE236" s="58">
        <f t="shared" si="174"/>
        <v>300</v>
      </c>
      <c r="DF236" s="58">
        <f t="shared" si="175"/>
        <v>52643.999999999993</v>
      </c>
      <c r="DG23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740</v>
      </c>
      <c r="DH23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129855.19999999998</v>
      </c>
      <c r="DI236" s="103">
        <f>Table1[[#This Row],[Grand Total Savings]]/Table1[[#This Row],[Total Award]]</f>
        <v>12.023629629629628</v>
      </c>
    </row>
    <row r="237" spans="1:136" x14ac:dyDescent="0.25">
      <c r="A237" s="184">
        <v>379</v>
      </c>
      <c r="B237" s="17" t="s">
        <v>2011</v>
      </c>
      <c r="D237" s="97">
        <v>515284</v>
      </c>
      <c r="E237" s="158">
        <v>43437</v>
      </c>
      <c r="G237" s="95" t="s">
        <v>1109</v>
      </c>
      <c r="H237" s="95" t="s">
        <v>6</v>
      </c>
      <c r="I237" s="226" t="s">
        <v>118</v>
      </c>
      <c r="J237" s="17" t="s">
        <v>585</v>
      </c>
      <c r="K237" s="107">
        <v>20800</v>
      </c>
      <c r="L237" s="107"/>
      <c r="M237" s="101" t="s">
        <v>1122</v>
      </c>
      <c r="N237" s="101" t="s">
        <v>1123</v>
      </c>
      <c r="O237" s="101" t="s">
        <v>1124</v>
      </c>
      <c r="P237" s="101" t="s">
        <v>1125</v>
      </c>
      <c r="Q237" s="101" t="s">
        <v>304</v>
      </c>
      <c r="R237" s="101" t="s">
        <v>1126</v>
      </c>
      <c r="S237" s="101" t="s">
        <v>953</v>
      </c>
      <c r="T237" s="101" t="s">
        <v>953</v>
      </c>
      <c r="U237" s="101" t="s">
        <v>953</v>
      </c>
      <c r="V237" s="17" t="s">
        <v>150</v>
      </c>
      <c r="W237" s="17" t="s">
        <v>150</v>
      </c>
      <c r="X237" s="17" t="s">
        <v>150</v>
      </c>
      <c r="Y237" s="58">
        <v>44000</v>
      </c>
      <c r="Z237" s="17">
        <v>220</v>
      </c>
      <c r="AA237" s="58">
        <v>200.01</v>
      </c>
      <c r="AB237" s="21">
        <v>0</v>
      </c>
      <c r="AC237" s="21">
        <v>140</v>
      </c>
      <c r="AD237" s="21">
        <v>80</v>
      </c>
      <c r="AE237" s="17" t="s">
        <v>1096</v>
      </c>
      <c r="AF237" s="17" t="s">
        <v>129</v>
      </c>
      <c r="AG237" s="17"/>
      <c r="AI237" s="17" t="s">
        <v>130</v>
      </c>
      <c r="AJ237" s="21">
        <v>0</v>
      </c>
      <c r="AK237" s="58">
        <v>0</v>
      </c>
      <c r="AL237" s="21">
        <v>0</v>
      </c>
      <c r="AM237" s="58">
        <f t="shared" si="177"/>
        <v>0</v>
      </c>
      <c r="AN237" s="21">
        <v>0</v>
      </c>
      <c r="AO237" s="58">
        <f t="shared" si="178"/>
        <v>0</v>
      </c>
      <c r="AP237" s="21">
        <v>0</v>
      </c>
      <c r="AQ237" s="58">
        <f t="shared" si="179"/>
        <v>0</v>
      </c>
      <c r="AR237" s="21">
        <v>0</v>
      </c>
      <c r="AS237" s="58">
        <f t="shared" si="180"/>
        <v>0</v>
      </c>
      <c r="AT237" s="21">
        <v>0</v>
      </c>
      <c r="AU237" s="58">
        <f t="shared" si="181"/>
        <v>0</v>
      </c>
      <c r="AV237" s="21">
        <v>0</v>
      </c>
      <c r="AW237" s="58">
        <v>0</v>
      </c>
      <c r="AX237" s="31">
        <v>0</v>
      </c>
      <c r="AY237" s="58">
        <v>0</v>
      </c>
      <c r="AZ237" s="31">
        <v>0</v>
      </c>
      <c r="BA237" s="58">
        <v>0</v>
      </c>
      <c r="BB237" s="31">
        <v>0</v>
      </c>
      <c r="BC237" s="58">
        <v>0</v>
      </c>
      <c r="BD237" s="31">
        <v>0</v>
      </c>
      <c r="BE237" s="58">
        <v>0</v>
      </c>
      <c r="BF237" s="31">
        <v>0</v>
      </c>
      <c r="BG237" s="58">
        <v>0</v>
      </c>
      <c r="BH237" s="31">
        <v>0</v>
      </c>
      <c r="BI237" s="58">
        <v>0</v>
      </c>
      <c r="BJ237" s="31">
        <v>0</v>
      </c>
      <c r="BK237" s="58">
        <v>0</v>
      </c>
      <c r="BL237" s="17" t="s">
        <v>130</v>
      </c>
      <c r="BM237" s="31">
        <v>0</v>
      </c>
      <c r="BN237" s="31">
        <v>140</v>
      </c>
      <c r="BO237" s="31">
        <v>80</v>
      </c>
      <c r="BP237" s="31">
        <f t="shared" si="182"/>
        <v>220</v>
      </c>
      <c r="BQ237" s="58">
        <f t="shared" si="184"/>
        <v>200.01</v>
      </c>
      <c r="BR237" s="58">
        <f>Table1[[#This Row],[Check 2 Students Total]]*Table1[[#This Row],[Summer 2018 Price Check]]</f>
        <v>44002.2</v>
      </c>
      <c r="BS237" s="31">
        <v>0</v>
      </c>
      <c r="BT237" s="58">
        <f>Table1[[#This Row],[Summer 2018 Price Check]]*BS237</f>
        <v>0</v>
      </c>
      <c r="BU237" s="31">
        <v>0</v>
      </c>
      <c r="BV237" s="58">
        <v>0</v>
      </c>
      <c r="BW237" s="21">
        <v>0</v>
      </c>
      <c r="BX237" s="58">
        <f>Table1[[#This Row],[Summer 2018 Price Check]]*Table1[[#This Row],[Spring 2019 Students]]</f>
        <v>0</v>
      </c>
      <c r="BY237" s="31">
        <f t="shared" si="166"/>
        <v>0</v>
      </c>
      <c r="BZ237" s="58">
        <f t="shared" si="167"/>
        <v>0</v>
      </c>
      <c r="CA237" s="17" t="s">
        <v>130</v>
      </c>
      <c r="CB237" s="31">
        <v>0</v>
      </c>
      <c r="CC237" s="31">
        <v>140</v>
      </c>
      <c r="CD237" s="31">
        <v>80</v>
      </c>
      <c r="CE237" s="31">
        <f t="shared" si="183"/>
        <v>220</v>
      </c>
      <c r="CF237" s="58">
        <f t="shared" si="185"/>
        <v>200.01</v>
      </c>
      <c r="CG237" s="58">
        <f t="shared" si="169"/>
        <v>44002.2</v>
      </c>
      <c r="CH237" s="17" t="s">
        <v>1096</v>
      </c>
      <c r="CI237" s="21">
        <v>0</v>
      </c>
      <c r="CJ237" s="58">
        <f>Table1[[#This Row],[Check 3 Per Student Savings]]*CI237</f>
        <v>0</v>
      </c>
      <c r="CK237" s="21">
        <f>IF(Table1[[#This Row],[Check 3 Status]]="Continued", Table1[[#This Row],[Check 3 Students Fall]], 0)</f>
        <v>140</v>
      </c>
      <c r="CL237" s="58">
        <f>Table1[[#This Row],[Check 3 Per Student Savings]]*CK237</f>
        <v>28001.399999999998</v>
      </c>
      <c r="CM237" s="21">
        <f>IF(Table1[[#This Row],[Check 3 Status]]="Continued", Table1[[#This Row],[Check 3 Students Spring]], 0)</f>
        <v>80</v>
      </c>
      <c r="CN237" s="58">
        <f>Table1[[#This Row],[Check 3 Per Student Savings]]*CM237</f>
        <v>16000.8</v>
      </c>
      <c r="CO237" s="21">
        <f t="shared" si="170"/>
        <v>220</v>
      </c>
      <c r="CP237" s="58">
        <f t="shared" si="171"/>
        <v>44002.2</v>
      </c>
      <c r="CQ237" s="58" t="s">
        <v>130</v>
      </c>
      <c r="CR237" s="21">
        <v>0</v>
      </c>
      <c r="CS237" s="21">
        <v>140</v>
      </c>
      <c r="CT237" s="21">
        <v>80</v>
      </c>
      <c r="CU237" s="21">
        <f t="shared" si="172"/>
        <v>220</v>
      </c>
      <c r="CV237" s="58">
        <v>200.01</v>
      </c>
      <c r="CW237" s="58">
        <f t="shared" si="173"/>
        <v>44002.2</v>
      </c>
      <c r="CX237" s="58"/>
      <c r="CY237" s="21">
        <f>IF(Table1[[#This Row],[Check 4 Status]]="Continued", Table1[[#This Row],[Check 4 Students Summer]], 0)</f>
        <v>0</v>
      </c>
      <c r="CZ237" s="58">
        <f>Table1[[#This Row],[Check 4 Per Student Savings]]*CY237</f>
        <v>0</v>
      </c>
      <c r="DA237" s="21">
        <f>IF(Table1[[#This Row],[Check 4 Status]]="Continued", Table1[[#This Row],[Check 4 Students Fall]], 0)</f>
        <v>140</v>
      </c>
      <c r="DB237" s="58">
        <f>Table1[[#This Row],[Check 4 Per Student Savings]]*DA237</f>
        <v>28001.399999999998</v>
      </c>
      <c r="DC237" s="21">
        <f>IF(Table1[[#This Row],[Check 4 Status]]="Continued", Table1[[#This Row],[Check 4 Students Spring]], 0)</f>
        <v>80</v>
      </c>
      <c r="DD237" s="58">
        <f>Table1[[#This Row],[Check 4 Per Student Savings]]*DC237</f>
        <v>16000.8</v>
      </c>
      <c r="DE237" s="58">
        <f t="shared" si="174"/>
        <v>220</v>
      </c>
      <c r="DF237" s="58">
        <f t="shared" si="175"/>
        <v>44002.2</v>
      </c>
      <c r="DG23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440</v>
      </c>
      <c r="DH23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88004.4</v>
      </c>
      <c r="DI237" s="58">
        <f>Table1[[#This Row],[Grand Total Savings]]/Table1[[#This Row],[Total Award]]</f>
        <v>4.2309807692307686</v>
      </c>
      <c r="DJ237" s="17"/>
      <c r="DK237" s="17"/>
      <c r="DL237" s="17"/>
      <c r="DM237" s="17"/>
      <c r="EC237" s="17"/>
      <c r="ED237" s="17"/>
      <c r="EE237" s="17"/>
      <c r="EF237" s="17"/>
    </row>
    <row r="238" spans="1:136" s="104" customFormat="1" x14ac:dyDescent="0.25">
      <c r="A238" s="184">
        <v>380</v>
      </c>
      <c r="B238" s="17" t="s">
        <v>2011</v>
      </c>
      <c r="C238" s="17"/>
      <c r="D238" s="97">
        <v>515281</v>
      </c>
      <c r="E238" s="158">
        <v>43437</v>
      </c>
      <c r="F238" s="17"/>
      <c r="G238" s="95" t="s">
        <v>1109</v>
      </c>
      <c r="H238" s="95" t="s">
        <v>6</v>
      </c>
      <c r="I238" s="226" t="s">
        <v>118</v>
      </c>
      <c r="J238" s="17" t="s">
        <v>585</v>
      </c>
      <c r="K238" s="107">
        <v>10730</v>
      </c>
      <c r="L238" s="107"/>
      <c r="M238" s="101" t="s">
        <v>1127</v>
      </c>
      <c r="N238" s="101" t="s">
        <v>1128</v>
      </c>
      <c r="O238" s="101" t="s">
        <v>1129</v>
      </c>
      <c r="P238" s="101" t="s">
        <v>1130</v>
      </c>
      <c r="Q238" s="101" t="s">
        <v>156</v>
      </c>
      <c r="R238" s="101" t="s">
        <v>129</v>
      </c>
      <c r="S238" s="101" t="s">
        <v>953</v>
      </c>
      <c r="T238" s="101" t="s">
        <v>953</v>
      </c>
      <c r="U238" s="101" t="s">
        <v>953</v>
      </c>
      <c r="V238" s="17" t="s">
        <v>150</v>
      </c>
      <c r="W238" s="17" t="s">
        <v>127</v>
      </c>
      <c r="X238" s="17" t="s">
        <v>150</v>
      </c>
      <c r="Y238" s="58">
        <v>45150</v>
      </c>
      <c r="Z238" s="17">
        <v>175</v>
      </c>
      <c r="AA238" s="58">
        <v>306</v>
      </c>
      <c r="AB238" s="21">
        <v>35</v>
      </c>
      <c r="AC238" s="21">
        <v>70</v>
      </c>
      <c r="AD238" s="21">
        <v>70</v>
      </c>
      <c r="AE238" s="17" t="s">
        <v>1096</v>
      </c>
      <c r="AF238" s="17" t="s">
        <v>129</v>
      </c>
      <c r="AG238" s="17"/>
      <c r="AH238" s="17"/>
      <c r="AI238" s="17" t="s">
        <v>130</v>
      </c>
      <c r="AJ238" s="21">
        <v>0</v>
      </c>
      <c r="AK238" s="58">
        <v>0</v>
      </c>
      <c r="AL238" s="21">
        <v>0</v>
      </c>
      <c r="AM238" s="58">
        <f t="shared" si="177"/>
        <v>0</v>
      </c>
      <c r="AN238" s="21">
        <v>0</v>
      </c>
      <c r="AO238" s="58">
        <f t="shared" si="178"/>
        <v>0</v>
      </c>
      <c r="AP238" s="21">
        <v>0</v>
      </c>
      <c r="AQ238" s="58">
        <f t="shared" si="179"/>
        <v>0</v>
      </c>
      <c r="AR238" s="21">
        <v>0</v>
      </c>
      <c r="AS238" s="58">
        <f t="shared" si="180"/>
        <v>0</v>
      </c>
      <c r="AT238" s="21">
        <v>0</v>
      </c>
      <c r="AU238" s="58">
        <f t="shared" si="181"/>
        <v>0</v>
      </c>
      <c r="AV238" s="21">
        <v>0</v>
      </c>
      <c r="AW238" s="58">
        <v>0</v>
      </c>
      <c r="AX238" s="31">
        <v>0</v>
      </c>
      <c r="AY238" s="58">
        <v>0</v>
      </c>
      <c r="AZ238" s="31">
        <v>0</v>
      </c>
      <c r="BA238" s="58">
        <v>0</v>
      </c>
      <c r="BB238" s="31">
        <v>0</v>
      </c>
      <c r="BC238" s="58">
        <v>0</v>
      </c>
      <c r="BD238" s="31">
        <v>0</v>
      </c>
      <c r="BE238" s="58">
        <v>0</v>
      </c>
      <c r="BF238" s="31">
        <v>0</v>
      </c>
      <c r="BG238" s="58">
        <v>0</v>
      </c>
      <c r="BH238" s="31">
        <v>0</v>
      </c>
      <c r="BI238" s="58">
        <v>0</v>
      </c>
      <c r="BJ238" s="31">
        <v>0</v>
      </c>
      <c r="BK238" s="58">
        <v>0</v>
      </c>
      <c r="BL238" s="17" t="s">
        <v>130</v>
      </c>
      <c r="BM238" s="31">
        <v>35</v>
      </c>
      <c r="BN238" s="31">
        <v>70</v>
      </c>
      <c r="BO238" s="31">
        <v>70</v>
      </c>
      <c r="BP238" s="31">
        <f t="shared" si="182"/>
        <v>175</v>
      </c>
      <c r="BQ238" s="58">
        <f t="shared" si="184"/>
        <v>306</v>
      </c>
      <c r="BR238" s="58">
        <f>Table1[[#This Row],[Check 2 Students Total]]*Table1[[#This Row],[Summer 2018 Price Check]]</f>
        <v>53550</v>
      </c>
      <c r="BS238" s="31">
        <v>0</v>
      </c>
      <c r="BT238" s="58">
        <f>Table1[[#This Row],[Summer 2018 Price Check]]*BS238</f>
        <v>0</v>
      </c>
      <c r="BU238" s="31">
        <v>0</v>
      </c>
      <c r="BV238" s="58">
        <v>0</v>
      </c>
      <c r="BW238" s="21">
        <v>0</v>
      </c>
      <c r="BX238" s="58">
        <f>Table1[[#This Row],[Summer 2018 Price Check]]*Table1[[#This Row],[Spring 2019 Students]]</f>
        <v>0</v>
      </c>
      <c r="BY238" s="31">
        <f t="shared" si="166"/>
        <v>0</v>
      </c>
      <c r="BZ238" s="58">
        <f t="shared" si="167"/>
        <v>0</v>
      </c>
      <c r="CA238" s="17" t="s">
        <v>130</v>
      </c>
      <c r="CB238" s="31">
        <v>35</v>
      </c>
      <c r="CC238" s="31">
        <v>70</v>
      </c>
      <c r="CD238" s="31">
        <v>70</v>
      </c>
      <c r="CE238" s="31">
        <f t="shared" si="183"/>
        <v>175</v>
      </c>
      <c r="CF238" s="58">
        <f t="shared" si="185"/>
        <v>306</v>
      </c>
      <c r="CG238" s="58">
        <f t="shared" si="169"/>
        <v>53550</v>
      </c>
      <c r="CH238" s="17" t="s">
        <v>1096</v>
      </c>
      <c r="CI238" s="21">
        <v>0</v>
      </c>
      <c r="CJ238" s="58">
        <v>0</v>
      </c>
      <c r="CK238" s="21">
        <f>IF(Table1[[#This Row],[Check 3 Status]]="Continued", Table1[[#This Row],[Check 3 Students Fall]], 0)</f>
        <v>70</v>
      </c>
      <c r="CL238" s="58">
        <f>Table1[[#This Row],[Check 3 Per Student Savings]]*CK238</f>
        <v>21420</v>
      </c>
      <c r="CM238" s="21">
        <f>IF(Table1[[#This Row],[Check 3 Status]]="Continued", Table1[[#This Row],[Check 3 Students Spring]], 0)</f>
        <v>70</v>
      </c>
      <c r="CN238" s="58">
        <f>Table1[[#This Row],[Check 3 Per Student Savings]]*CM238</f>
        <v>21420</v>
      </c>
      <c r="CO238" s="21">
        <f t="shared" si="170"/>
        <v>140</v>
      </c>
      <c r="CP238" s="58">
        <f t="shared" si="171"/>
        <v>42840</v>
      </c>
      <c r="CQ238" s="58" t="s">
        <v>130</v>
      </c>
      <c r="CR238" s="21">
        <v>35</v>
      </c>
      <c r="CS238" s="21">
        <v>70</v>
      </c>
      <c r="CT238" s="21">
        <v>70</v>
      </c>
      <c r="CU238" s="21">
        <f t="shared" si="172"/>
        <v>175</v>
      </c>
      <c r="CV238" s="58">
        <v>306</v>
      </c>
      <c r="CW238" s="58">
        <f t="shared" si="173"/>
        <v>53550</v>
      </c>
      <c r="CX238" s="58"/>
      <c r="CY238" s="21">
        <f>IF(Table1[[#This Row],[Check 4 Status]]="Continued", Table1[[#This Row],[Check 4 Students Summer]], 0)</f>
        <v>35</v>
      </c>
      <c r="CZ238" s="58">
        <f>Table1[[#This Row],[Check 4 Per Student Savings]]*CY238</f>
        <v>10710</v>
      </c>
      <c r="DA238" s="21">
        <f>IF(Table1[[#This Row],[Check 4 Status]]="Continued", Table1[[#This Row],[Check 4 Students Fall]], 0)</f>
        <v>70</v>
      </c>
      <c r="DB238" s="58">
        <f>Table1[[#This Row],[Check 4 Per Student Savings]]*DA238</f>
        <v>21420</v>
      </c>
      <c r="DC238" s="21">
        <f>IF(Table1[[#This Row],[Check 4 Status]]="Continued", Table1[[#This Row],[Check 4 Students Spring]], 0)</f>
        <v>70</v>
      </c>
      <c r="DD238" s="58">
        <f>Table1[[#This Row],[Check 4 Per Student Savings]]*DC238</f>
        <v>21420</v>
      </c>
      <c r="DE238" s="58">
        <f t="shared" si="174"/>
        <v>175</v>
      </c>
      <c r="DF238" s="58">
        <f t="shared" si="175"/>
        <v>53550</v>
      </c>
      <c r="DG23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315</v>
      </c>
      <c r="DH23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96390</v>
      </c>
      <c r="DI238" s="58">
        <f>Table1[[#This Row],[Grand Total Savings]]/Table1[[#This Row],[Total Award]]</f>
        <v>8.9832246039142589</v>
      </c>
    </row>
    <row r="239" spans="1:136" x14ac:dyDescent="0.25">
      <c r="A239" s="184">
        <v>381</v>
      </c>
      <c r="B239" s="17" t="s">
        <v>2011</v>
      </c>
      <c r="D239" s="97">
        <v>515282</v>
      </c>
      <c r="E239" s="158">
        <v>43437</v>
      </c>
      <c r="G239" s="95" t="s">
        <v>1109</v>
      </c>
      <c r="H239" s="95" t="s">
        <v>6</v>
      </c>
      <c r="I239" s="226" t="s">
        <v>118</v>
      </c>
      <c r="J239" s="17" t="s">
        <v>225</v>
      </c>
      <c r="K239" s="107">
        <v>10800</v>
      </c>
      <c r="L239" s="107"/>
      <c r="M239" s="101" t="s">
        <v>1131</v>
      </c>
      <c r="N239" s="101" t="s">
        <v>1132</v>
      </c>
      <c r="O239" s="101" t="s">
        <v>122</v>
      </c>
      <c r="P239" s="101" t="s">
        <v>123</v>
      </c>
      <c r="Q239" s="101" t="s">
        <v>124</v>
      </c>
      <c r="R239" s="101" t="s">
        <v>122</v>
      </c>
      <c r="S239" s="101" t="s">
        <v>953</v>
      </c>
      <c r="T239" s="101" t="s">
        <v>953</v>
      </c>
      <c r="U239" s="101" t="s">
        <v>953</v>
      </c>
      <c r="V239" s="17" t="s">
        <v>150</v>
      </c>
      <c r="W239" s="17" t="s">
        <v>139</v>
      </c>
      <c r="X239" s="17" t="s">
        <v>139</v>
      </c>
      <c r="Y239" s="58">
        <v>173547</v>
      </c>
      <c r="Z239" s="17">
        <v>660</v>
      </c>
      <c r="AA239" s="58">
        <v>262.95</v>
      </c>
      <c r="AB239" s="21">
        <v>60</v>
      </c>
      <c r="AC239" s="21">
        <v>300</v>
      </c>
      <c r="AD239" s="21">
        <v>300</v>
      </c>
      <c r="AE239" s="17" t="s">
        <v>1133</v>
      </c>
      <c r="AF239" s="17" t="s">
        <v>125</v>
      </c>
      <c r="AG239" s="17">
        <v>481</v>
      </c>
      <c r="AH239" s="17" t="s">
        <v>498</v>
      </c>
      <c r="AI239" s="17" t="s">
        <v>130</v>
      </c>
      <c r="AJ239" s="21">
        <v>0</v>
      </c>
      <c r="AK239" s="58">
        <v>0</v>
      </c>
      <c r="AL239" s="21">
        <v>0</v>
      </c>
      <c r="AM239" s="58">
        <f t="shared" si="177"/>
        <v>0</v>
      </c>
      <c r="AN239" s="21">
        <v>0</v>
      </c>
      <c r="AO239" s="58">
        <f t="shared" si="178"/>
        <v>0</v>
      </c>
      <c r="AP239" s="21">
        <v>0</v>
      </c>
      <c r="AQ239" s="58">
        <f t="shared" si="179"/>
        <v>0</v>
      </c>
      <c r="AR239" s="21">
        <v>0</v>
      </c>
      <c r="AS239" s="58">
        <f t="shared" si="180"/>
        <v>0</v>
      </c>
      <c r="AT239" s="21">
        <v>0</v>
      </c>
      <c r="AU239" s="58">
        <f t="shared" si="181"/>
        <v>0</v>
      </c>
      <c r="AV239" s="21">
        <v>0</v>
      </c>
      <c r="AW239" s="58">
        <v>0</v>
      </c>
      <c r="AX239" s="31">
        <v>0</v>
      </c>
      <c r="AY239" s="58">
        <v>0</v>
      </c>
      <c r="AZ239" s="31">
        <v>0</v>
      </c>
      <c r="BA239" s="58">
        <v>0</v>
      </c>
      <c r="BB239" s="31">
        <v>0</v>
      </c>
      <c r="BC239" s="58">
        <v>0</v>
      </c>
      <c r="BD239" s="31">
        <v>0</v>
      </c>
      <c r="BE239" s="58">
        <v>0</v>
      </c>
      <c r="BF239" s="31">
        <v>0</v>
      </c>
      <c r="BG239" s="58">
        <v>0</v>
      </c>
      <c r="BH239" s="31">
        <v>0</v>
      </c>
      <c r="BI239" s="58">
        <v>0</v>
      </c>
      <c r="BJ239" s="31">
        <v>0</v>
      </c>
      <c r="BK239" s="58">
        <v>0</v>
      </c>
      <c r="BL239" s="17" t="s">
        <v>130</v>
      </c>
      <c r="BM239" s="31">
        <v>60</v>
      </c>
      <c r="BN239" s="31">
        <v>300</v>
      </c>
      <c r="BO239" s="31">
        <v>300</v>
      </c>
      <c r="BP239" s="31">
        <f t="shared" si="182"/>
        <v>660</v>
      </c>
      <c r="BQ239" s="58">
        <f t="shared" si="184"/>
        <v>262.95</v>
      </c>
      <c r="BR239" s="58">
        <f>Table1[[#This Row],[Check 2 Students Total]]*Table1[[#This Row],[Summer 2018 Price Check]]</f>
        <v>173547</v>
      </c>
      <c r="BS239" s="31">
        <v>0</v>
      </c>
      <c r="BT239" s="58">
        <f>Table1[[#This Row],[Summer 2018 Price Check]]*BS239</f>
        <v>0</v>
      </c>
      <c r="BU239" s="31">
        <v>0</v>
      </c>
      <c r="BV239" s="58">
        <v>0</v>
      </c>
      <c r="BW239" s="21">
        <v>0</v>
      </c>
      <c r="BX239" s="58">
        <f>Table1[[#This Row],[Summer 2018 Price Check]]*Table1[[#This Row],[Spring 2019 Students]]</f>
        <v>0</v>
      </c>
      <c r="BY239" s="31">
        <f t="shared" si="166"/>
        <v>0</v>
      </c>
      <c r="BZ239" s="58">
        <f t="shared" si="167"/>
        <v>0</v>
      </c>
      <c r="CA239" s="17" t="s">
        <v>130</v>
      </c>
      <c r="CB239" s="31">
        <v>60</v>
      </c>
      <c r="CC239" s="31">
        <v>300</v>
      </c>
      <c r="CD239" s="31">
        <v>300</v>
      </c>
      <c r="CE239" s="31">
        <f t="shared" si="183"/>
        <v>660</v>
      </c>
      <c r="CF239" s="58">
        <f t="shared" si="185"/>
        <v>262.95</v>
      </c>
      <c r="CG239" s="58">
        <f t="shared" si="169"/>
        <v>173547</v>
      </c>
      <c r="CH239" s="17" t="s">
        <v>1133</v>
      </c>
      <c r="CI239" s="21">
        <f>IF(Table1[[#This Row],[Check 3 Status]]="Continued", Table1[[#This Row],[Check 3 Students Summer]], 0)</f>
        <v>60</v>
      </c>
      <c r="CJ239" s="58">
        <f>Table1[[#This Row],[Check 3 Per Student Savings]]*CI239</f>
        <v>15777</v>
      </c>
      <c r="CK239" s="21">
        <f>IF(Table1[[#This Row],[Check 3 Status]]="Continued", Table1[[#This Row],[Check 3 Students Fall]], 0)</f>
        <v>300</v>
      </c>
      <c r="CL239" s="58">
        <f>Table1[[#This Row],[Check 3 Per Student Savings]]*CK239</f>
        <v>78885</v>
      </c>
      <c r="CM239" s="21">
        <f>IF(Table1[[#This Row],[Check 3 Status]]="Continued", Table1[[#This Row],[Check 3 Students Spring]], 0)</f>
        <v>300</v>
      </c>
      <c r="CN239" s="58">
        <f>Table1[[#This Row],[Check 3 Per Student Savings]]*CM239</f>
        <v>78885</v>
      </c>
      <c r="CO239" s="21">
        <f t="shared" si="170"/>
        <v>660</v>
      </c>
      <c r="CP239" s="58">
        <f t="shared" si="171"/>
        <v>173547</v>
      </c>
      <c r="CQ239" s="58" t="s">
        <v>141</v>
      </c>
      <c r="CR239" s="21">
        <v>60</v>
      </c>
      <c r="CS239" s="21">
        <v>300</v>
      </c>
      <c r="CT239" s="21">
        <v>300</v>
      </c>
      <c r="CU239" s="21">
        <v>0</v>
      </c>
      <c r="CV239" s="58">
        <v>262.95</v>
      </c>
      <c r="CW239" s="58">
        <f t="shared" si="173"/>
        <v>0</v>
      </c>
      <c r="CX239" s="58"/>
      <c r="CY239" s="21">
        <f>IF(Table1[[#This Row],[Check 4 Status]]="Continued", Table1[[#This Row],[Check 4 Students Summer]], 0)</f>
        <v>0</v>
      </c>
      <c r="CZ239" s="58">
        <f>Table1[[#This Row],[Check 4 Per Student Savings]]*CY239</f>
        <v>0</v>
      </c>
      <c r="DA239" s="21">
        <f>IF(Table1[[#This Row],[Check 4 Status]]="Continued", Table1[[#This Row],[Check 4 Students Fall]], 0)</f>
        <v>0</v>
      </c>
      <c r="DB239" s="58">
        <f>Table1[[#This Row],[Check 4 Per Student Savings]]*DA239</f>
        <v>0</v>
      </c>
      <c r="DC239" s="21">
        <f>IF(Table1[[#This Row],[Check 4 Status]]="Continued", Table1[[#This Row],[Check 4 Students Spring]], 0)</f>
        <v>0</v>
      </c>
      <c r="DD239" s="58">
        <f>Table1[[#This Row],[Check 4 Per Student Savings]]*DC239</f>
        <v>0</v>
      </c>
      <c r="DE239" s="58">
        <f t="shared" si="174"/>
        <v>0</v>
      </c>
      <c r="DF239" s="58">
        <f t="shared" si="175"/>
        <v>0</v>
      </c>
      <c r="DG23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660</v>
      </c>
      <c r="DH23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173547</v>
      </c>
      <c r="DI239" s="58">
        <f>Table1[[#This Row],[Grand Total Savings]]/Table1[[#This Row],[Total Award]]</f>
        <v>16.069166666666668</v>
      </c>
      <c r="DJ239" s="17"/>
      <c r="DK239" s="17"/>
      <c r="DL239" s="17"/>
      <c r="DM239" s="17"/>
      <c r="EC239" s="17"/>
      <c r="ED239" s="17"/>
      <c r="EE239" s="17"/>
      <c r="EF239" s="17"/>
    </row>
    <row r="240" spans="1:136" x14ac:dyDescent="0.25">
      <c r="A240" s="183">
        <v>382</v>
      </c>
      <c r="B240" s="183"/>
      <c r="C240" s="183"/>
      <c r="D240" s="97">
        <v>515283</v>
      </c>
      <c r="E240" s="178">
        <v>43437</v>
      </c>
      <c r="F240" s="104"/>
      <c r="G240" s="102" t="s">
        <v>1109</v>
      </c>
      <c r="H240" s="102" t="s">
        <v>6</v>
      </c>
      <c r="I240" s="227" t="s">
        <v>118</v>
      </c>
      <c r="J240" s="104" t="s">
        <v>210</v>
      </c>
      <c r="K240" s="180">
        <v>10800</v>
      </c>
      <c r="L240" s="180"/>
      <c r="M240" s="105" t="s">
        <v>927</v>
      </c>
      <c r="N240" s="105" t="s">
        <v>1134</v>
      </c>
      <c r="O240" s="105" t="s">
        <v>1135</v>
      </c>
      <c r="P240" s="105" t="s">
        <v>1136</v>
      </c>
      <c r="Q240" s="105" t="s">
        <v>272</v>
      </c>
      <c r="R240" s="105" t="s">
        <v>1135</v>
      </c>
      <c r="S240" s="105" t="s">
        <v>953</v>
      </c>
      <c r="T240" s="105" t="s">
        <v>953</v>
      </c>
      <c r="U240" s="105" t="s">
        <v>953</v>
      </c>
      <c r="V240" s="104" t="s">
        <v>1095</v>
      </c>
      <c r="W240" s="104" t="s">
        <v>1095</v>
      </c>
      <c r="X240" s="104" t="s">
        <v>1095</v>
      </c>
      <c r="Y240" s="103">
        <v>19510</v>
      </c>
      <c r="Z240" s="104">
        <v>96</v>
      </c>
      <c r="AA240" s="103">
        <v>203.25</v>
      </c>
      <c r="AB240" s="59">
        <v>0</v>
      </c>
      <c r="AC240" s="59">
        <v>48</v>
      </c>
      <c r="AD240" s="59">
        <v>48</v>
      </c>
      <c r="AE240" s="104" t="s">
        <v>595</v>
      </c>
      <c r="AF240" s="104" t="s">
        <v>129</v>
      </c>
      <c r="AG240" s="104"/>
      <c r="AH240" s="104"/>
      <c r="AI240" s="104" t="s">
        <v>130</v>
      </c>
      <c r="AJ240" s="59">
        <v>0</v>
      </c>
      <c r="AK240" s="103">
        <v>0</v>
      </c>
      <c r="AL240" s="59">
        <v>0</v>
      </c>
      <c r="AM240" s="103">
        <f t="shared" si="177"/>
        <v>0</v>
      </c>
      <c r="AN240" s="59">
        <v>0</v>
      </c>
      <c r="AO240" s="103">
        <f t="shared" si="178"/>
        <v>0</v>
      </c>
      <c r="AP240" s="59">
        <v>0</v>
      </c>
      <c r="AQ240" s="103">
        <f t="shared" si="179"/>
        <v>0</v>
      </c>
      <c r="AR240" s="59">
        <v>0</v>
      </c>
      <c r="AS240" s="103">
        <f t="shared" si="180"/>
        <v>0</v>
      </c>
      <c r="AT240" s="59">
        <v>0</v>
      </c>
      <c r="AU240" s="103">
        <f t="shared" si="181"/>
        <v>0</v>
      </c>
      <c r="AV240" s="59">
        <v>0</v>
      </c>
      <c r="AW240" s="103">
        <v>0</v>
      </c>
      <c r="AX240" s="57">
        <v>0</v>
      </c>
      <c r="AY240" s="103">
        <v>0</v>
      </c>
      <c r="AZ240" s="57">
        <v>0</v>
      </c>
      <c r="BA240" s="103">
        <v>0</v>
      </c>
      <c r="BB240" s="57">
        <v>0</v>
      </c>
      <c r="BC240" s="103">
        <v>0</v>
      </c>
      <c r="BD240" s="57">
        <v>0</v>
      </c>
      <c r="BE240" s="103">
        <v>0</v>
      </c>
      <c r="BF240" s="57">
        <v>0</v>
      </c>
      <c r="BG240" s="103">
        <v>0</v>
      </c>
      <c r="BH240" s="57">
        <v>0</v>
      </c>
      <c r="BI240" s="103">
        <v>0</v>
      </c>
      <c r="BJ240" s="57">
        <v>0</v>
      </c>
      <c r="BK240" s="103">
        <v>0</v>
      </c>
      <c r="BL240" s="104" t="s">
        <v>130</v>
      </c>
      <c r="BM240" s="57">
        <v>0</v>
      </c>
      <c r="BN240" s="57">
        <v>48</v>
      </c>
      <c r="BO240" s="57">
        <v>48</v>
      </c>
      <c r="BP240" s="57">
        <f t="shared" si="182"/>
        <v>96</v>
      </c>
      <c r="BQ240" s="103">
        <f t="shared" si="184"/>
        <v>203.25</v>
      </c>
      <c r="BR240" s="103">
        <f>Table1[[#This Row],[Check 2 Students Total]]*Table1[[#This Row],[Summer 2018 Price Check]]</f>
        <v>19512</v>
      </c>
      <c r="BS240" s="57">
        <v>0</v>
      </c>
      <c r="BT240" s="103">
        <f>Table1[[#This Row],[Summer 2018 Price Check]]*BS240</f>
        <v>0</v>
      </c>
      <c r="BU240" s="57">
        <v>0</v>
      </c>
      <c r="BV240" s="103">
        <v>0</v>
      </c>
      <c r="BW240" s="59">
        <f>IF(Table1[[#This Row],[Sustainability Check 2 (2018-2019) Status]]="Continued", Table1[Check 2 Students Spring], 0)</f>
        <v>48</v>
      </c>
      <c r="BX240" s="103">
        <f>Table1[[#This Row],[Summer 2018 Price Check]]*Table1[[#This Row],[Spring 2019 Students]]</f>
        <v>9756</v>
      </c>
      <c r="BY240" s="57">
        <f t="shared" si="166"/>
        <v>48</v>
      </c>
      <c r="BZ240" s="103">
        <f t="shared" si="167"/>
        <v>9756</v>
      </c>
      <c r="CA240" s="104" t="s">
        <v>130</v>
      </c>
      <c r="CB240" s="57">
        <v>0</v>
      </c>
      <c r="CC240" s="57">
        <v>48</v>
      </c>
      <c r="CD240" s="57">
        <v>48</v>
      </c>
      <c r="CE240" s="57">
        <f t="shared" si="183"/>
        <v>96</v>
      </c>
      <c r="CF240" s="103">
        <f t="shared" si="185"/>
        <v>203.25</v>
      </c>
      <c r="CG240" s="103">
        <f t="shared" si="169"/>
        <v>19512</v>
      </c>
      <c r="CH240" s="104" t="s">
        <v>595</v>
      </c>
      <c r="CI240" s="59">
        <f>IF(Table1[[#This Row],[Check 3 Status]]="Continued", Table1[[#This Row],[Check 3 Students Summer]], 0)</f>
        <v>0</v>
      </c>
      <c r="CJ240" s="103">
        <f>Table1[[#This Row],[Check 3 Per Student Savings]]*CI240</f>
        <v>0</v>
      </c>
      <c r="CK240" s="59">
        <f>IF(Table1[[#This Row],[Check 3 Status]]="Continued", Table1[[#This Row],[Check 3 Students Fall]], 0)</f>
        <v>48</v>
      </c>
      <c r="CL240" s="103">
        <f>Table1[[#This Row],[Check 3 Per Student Savings]]*CK240</f>
        <v>9756</v>
      </c>
      <c r="CM240" s="59">
        <f>IF(Table1[[#This Row],[Check 3 Status]]="Continued", Table1[[#This Row],[Check 3 Students Spring]], 0)</f>
        <v>48</v>
      </c>
      <c r="CN240" s="103">
        <f>Table1[[#This Row],[Check 3 Per Student Savings]]*CM240</f>
        <v>9756</v>
      </c>
      <c r="CO240" s="59">
        <f t="shared" si="170"/>
        <v>96</v>
      </c>
      <c r="CP240" s="103">
        <f t="shared" si="171"/>
        <v>19512</v>
      </c>
      <c r="CQ240" s="103" t="s">
        <v>130</v>
      </c>
      <c r="CR240" s="59">
        <v>0</v>
      </c>
      <c r="CS240" s="59">
        <v>48</v>
      </c>
      <c r="CT240" s="59">
        <v>48</v>
      </c>
      <c r="CU240" s="59">
        <f t="shared" si="172"/>
        <v>96</v>
      </c>
      <c r="CV240" s="103">
        <v>203.25</v>
      </c>
      <c r="CW240" s="103">
        <f t="shared" si="173"/>
        <v>19512</v>
      </c>
      <c r="CX240" s="103"/>
      <c r="CY240" s="21">
        <f>IF(Table1[[#This Row],[Check 4 Status]]="Continued", Table1[[#This Row],[Check 4 Students Summer]], 0)</f>
        <v>0</v>
      </c>
      <c r="CZ240" s="58">
        <f>Table1[[#This Row],[Check 4 Per Student Savings]]*CY240</f>
        <v>0</v>
      </c>
      <c r="DA240" s="59">
        <f>IF(Table1[[#This Row],[Check 4 Status]]="Continued", Table1[[#This Row],[Check 4 Students Fall]], 0)</f>
        <v>48</v>
      </c>
      <c r="DB240" s="103">
        <f>Table1[[#This Row],[Check 4 Per Student Savings]]*DA240</f>
        <v>9756</v>
      </c>
      <c r="DC240" s="21">
        <f>IF(Table1[[#This Row],[Check 4 Status]]="Continued", Table1[[#This Row],[Check 4 Students Spring]], 0)</f>
        <v>48</v>
      </c>
      <c r="DD240" s="58">
        <f>Table1[[#This Row],[Check 4 Per Student Savings]]*DC240</f>
        <v>9756</v>
      </c>
      <c r="DE240" s="58">
        <f t="shared" si="174"/>
        <v>96</v>
      </c>
      <c r="DF240" s="58">
        <f t="shared" si="175"/>
        <v>19512</v>
      </c>
      <c r="DG24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240</v>
      </c>
      <c r="DH24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48780</v>
      </c>
      <c r="DI240" s="103">
        <f>Table1[[#This Row],[Grand Total Savings]]/Table1[[#This Row],[Total Award]]</f>
        <v>4.5166666666666666</v>
      </c>
      <c r="DJ240" s="17"/>
      <c r="DK240" s="17"/>
      <c r="DL240" s="17"/>
      <c r="DM240" s="17"/>
      <c r="EC240" s="17"/>
      <c r="ED240" s="17"/>
      <c r="EE240" s="17"/>
      <c r="EF240" s="17"/>
    </row>
    <row r="241" spans="1:136" x14ac:dyDescent="0.25">
      <c r="A241" s="184">
        <v>383</v>
      </c>
      <c r="B241" s="17" t="s">
        <v>2011</v>
      </c>
      <c r="D241" s="97">
        <v>515320</v>
      </c>
      <c r="E241" s="158">
        <v>43560</v>
      </c>
      <c r="G241" s="95" t="s">
        <v>1109</v>
      </c>
      <c r="H241" s="95" t="s">
        <v>6</v>
      </c>
      <c r="I241" s="226" t="s">
        <v>118</v>
      </c>
      <c r="J241" s="17" t="s">
        <v>172</v>
      </c>
      <c r="K241" s="107">
        <v>10800</v>
      </c>
      <c r="L241" s="107"/>
      <c r="M241" s="101" t="s">
        <v>1137</v>
      </c>
      <c r="N241" s="101" t="s">
        <v>1138</v>
      </c>
      <c r="O241" s="101" t="s">
        <v>1124</v>
      </c>
      <c r="P241" s="101" t="s">
        <v>1125</v>
      </c>
      <c r="Q241" s="101" t="s">
        <v>304</v>
      </c>
      <c r="R241" s="101" t="s">
        <v>1124</v>
      </c>
      <c r="S241" s="101" t="s">
        <v>953</v>
      </c>
      <c r="T241" s="101" t="s">
        <v>953</v>
      </c>
      <c r="U241" s="101" t="s">
        <v>953</v>
      </c>
      <c r="V241" s="17" t="s">
        <v>150</v>
      </c>
      <c r="W241" s="17" t="s">
        <v>150</v>
      </c>
      <c r="X241" s="17" t="s">
        <v>150</v>
      </c>
      <c r="Y241" s="58">
        <v>104414</v>
      </c>
      <c r="Z241" s="17">
        <v>1156</v>
      </c>
      <c r="AA241" s="58">
        <v>166</v>
      </c>
      <c r="AB241" s="21">
        <v>262</v>
      </c>
      <c r="AC241" s="21">
        <v>629</v>
      </c>
      <c r="AD241" s="21">
        <v>527</v>
      </c>
      <c r="AE241" s="17" t="s">
        <v>1096</v>
      </c>
      <c r="AF241" s="17" t="s">
        <v>129</v>
      </c>
      <c r="AG241" s="17"/>
      <c r="AI241" s="17" t="s">
        <v>130</v>
      </c>
      <c r="AJ241" s="21">
        <v>0</v>
      </c>
      <c r="AK241" s="58">
        <v>0</v>
      </c>
      <c r="AL241" s="21">
        <v>0</v>
      </c>
      <c r="AM241" s="58">
        <f t="shared" si="177"/>
        <v>0</v>
      </c>
      <c r="AN241" s="21">
        <v>0</v>
      </c>
      <c r="AO241" s="58">
        <f t="shared" si="178"/>
        <v>0</v>
      </c>
      <c r="AP241" s="21">
        <v>0</v>
      </c>
      <c r="AQ241" s="58">
        <f t="shared" si="179"/>
        <v>0</v>
      </c>
      <c r="AR241" s="21">
        <v>0</v>
      </c>
      <c r="AS241" s="58">
        <f t="shared" si="180"/>
        <v>0</v>
      </c>
      <c r="AT241" s="21">
        <v>0</v>
      </c>
      <c r="AU241" s="58">
        <f t="shared" si="181"/>
        <v>0</v>
      </c>
      <c r="AV241" s="21">
        <v>0</v>
      </c>
      <c r="AW241" s="58">
        <v>0</v>
      </c>
      <c r="AX241" s="31">
        <v>0</v>
      </c>
      <c r="AY241" s="58">
        <v>0</v>
      </c>
      <c r="AZ241" s="31">
        <v>0</v>
      </c>
      <c r="BA241" s="58">
        <v>0</v>
      </c>
      <c r="BB241" s="31">
        <v>0</v>
      </c>
      <c r="BC241" s="58">
        <v>0</v>
      </c>
      <c r="BD241" s="31">
        <v>0</v>
      </c>
      <c r="BE241" s="58">
        <v>0</v>
      </c>
      <c r="BF241" s="31">
        <v>0</v>
      </c>
      <c r="BG241" s="58">
        <v>0</v>
      </c>
      <c r="BH241" s="31">
        <v>0</v>
      </c>
      <c r="BI241" s="58">
        <v>0</v>
      </c>
      <c r="BJ241" s="31">
        <v>0</v>
      </c>
      <c r="BK241" s="58">
        <v>0</v>
      </c>
      <c r="BL241" s="17" t="s">
        <v>130</v>
      </c>
      <c r="BM241" s="31">
        <v>262</v>
      </c>
      <c r="BN241" s="31">
        <v>629</v>
      </c>
      <c r="BO241" s="31">
        <v>527</v>
      </c>
      <c r="BP241" s="31">
        <f t="shared" si="182"/>
        <v>1418</v>
      </c>
      <c r="BQ241" s="58">
        <f t="shared" si="184"/>
        <v>166</v>
      </c>
      <c r="BR241" s="58">
        <f>Table1[[#This Row],[Check 2 Students Total]]*Table1[[#This Row],[Summer 2018 Price Check]]</f>
        <v>235388</v>
      </c>
      <c r="BS241" s="31">
        <v>0</v>
      </c>
      <c r="BT241" s="58">
        <f>Table1[[#This Row],[Summer 2018 Price Check]]*BS241</f>
        <v>0</v>
      </c>
      <c r="BU241" s="31">
        <v>0</v>
      </c>
      <c r="BV241" s="58">
        <v>0</v>
      </c>
      <c r="BW241" s="21">
        <v>0</v>
      </c>
      <c r="BX241" s="58">
        <f>Table1[[#This Row],[Summer 2018 Price Check]]*Table1[[#This Row],[Spring 2019 Students]]</f>
        <v>0</v>
      </c>
      <c r="BY241" s="31">
        <f t="shared" si="166"/>
        <v>0</v>
      </c>
      <c r="BZ241" s="58">
        <f t="shared" si="167"/>
        <v>0</v>
      </c>
      <c r="CA241" s="17" t="s">
        <v>130</v>
      </c>
      <c r="CB241" s="31">
        <v>262</v>
      </c>
      <c r="CC241" s="31">
        <v>629</v>
      </c>
      <c r="CD241" s="31">
        <v>527</v>
      </c>
      <c r="CE241" s="31">
        <f t="shared" si="183"/>
        <v>1418</v>
      </c>
      <c r="CF241" s="58">
        <f t="shared" si="185"/>
        <v>166</v>
      </c>
      <c r="CG241" s="58">
        <f t="shared" si="169"/>
        <v>235388</v>
      </c>
      <c r="CH241" s="17" t="s">
        <v>1096</v>
      </c>
      <c r="CI241" s="21">
        <v>0</v>
      </c>
      <c r="CJ241" s="58">
        <v>0</v>
      </c>
      <c r="CK241" s="21">
        <f>IF(Table1[[#This Row],[Check 3 Status]]="Continued", Table1[[#This Row],[Check 3 Students Fall]], 0)</f>
        <v>629</v>
      </c>
      <c r="CL241" s="58">
        <f>Table1[[#This Row],[Check 3 Per Student Savings]]*CK241</f>
        <v>104414</v>
      </c>
      <c r="CM241" s="21">
        <f>IF(Table1[[#This Row],[Check 3 Status]]="Continued", Table1[[#This Row],[Check 3 Students Spring]], 0)</f>
        <v>527</v>
      </c>
      <c r="CN241" s="58">
        <f>Table1[[#This Row],[Check 3 Per Student Savings]]*CM241</f>
        <v>87482</v>
      </c>
      <c r="CO241" s="21">
        <f t="shared" si="170"/>
        <v>1156</v>
      </c>
      <c r="CP241" s="58">
        <f t="shared" si="171"/>
        <v>191896</v>
      </c>
      <c r="CQ241" s="58" t="s">
        <v>130</v>
      </c>
      <c r="CR241" s="21">
        <v>262</v>
      </c>
      <c r="CS241" s="21">
        <v>629</v>
      </c>
      <c r="CT241" s="21">
        <v>527</v>
      </c>
      <c r="CU241" s="21">
        <f t="shared" si="172"/>
        <v>1418</v>
      </c>
      <c r="CV241" s="58">
        <v>166</v>
      </c>
      <c r="CW241" s="58">
        <f t="shared" si="173"/>
        <v>235388</v>
      </c>
      <c r="CX241" s="58"/>
      <c r="CY241" s="21">
        <f>IF(Table1[[#This Row],[Check 4 Status]]="Continued", Table1[[#This Row],[Check 4 Students Summer]], 0)</f>
        <v>262</v>
      </c>
      <c r="CZ241" s="58">
        <f>Table1[[#This Row],[Check 4 Per Student Savings]]*CY241</f>
        <v>43492</v>
      </c>
      <c r="DA241" s="21">
        <f>IF(Table1[[#This Row],[Check 4 Status]]="Continued", Table1[[#This Row],[Check 4 Students Fall]], 0)</f>
        <v>629</v>
      </c>
      <c r="DB241" s="58">
        <f>Table1[[#This Row],[Check 4 Per Student Savings]]*DA241</f>
        <v>104414</v>
      </c>
      <c r="DC241" s="21">
        <f>IF(Table1[[#This Row],[Check 4 Status]]="Continued", Table1[[#This Row],[Check 4 Students Spring]], 0)</f>
        <v>527</v>
      </c>
      <c r="DD241" s="58">
        <f>Table1[[#This Row],[Check 4 Per Student Savings]]*DC241</f>
        <v>87482</v>
      </c>
      <c r="DE241" s="58">
        <f t="shared" si="174"/>
        <v>1418</v>
      </c>
      <c r="DF241" s="58">
        <f t="shared" si="175"/>
        <v>235388</v>
      </c>
      <c r="DG24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2574</v>
      </c>
      <c r="DH24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427284</v>
      </c>
      <c r="DI241" s="58">
        <f>Table1[[#This Row],[Grand Total Savings]]/Table1[[#This Row],[Total Award]]</f>
        <v>39.563333333333333</v>
      </c>
      <c r="DJ241" s="17"/>
      <c r="DK241" s="17"/>
      <c r="DL241" s="17"/>
      <c r="DM241" s="17"/>
      <c r="EC241" s="17"/>
      <c r="ED241" s="17"/>
      <c r="EE241" s="17"/>
      <c r="EF241" s="17"/>
    </row>
    <row r="242" spans="1:136" s="104" customFormat="1" x14ac:dyDescent="0.25">
      <c r="A242" s="184">
        <v>385</v>
      </c>
      <c r="B242" s="17" t="s">
        <v>2011</v>
      </c>
      <c r="C242" s="17"/>
      <c r="D242" s="97">
        <v>515288</v>
      </c>
      <c r="E242" s="158">
        <v>43437</v>
      </c>
      <c r="F242" s="17"/>
      <c r="G242" s="95" t="s">
        <v>1109</v>
      </c>
      <c r="H242" s="95" t="s">
        <v>6</v>
      </c>
      <c r="I242" s="226" t="s">
        <v>118</v>
      </c>
      <c r="J242" s="17" t="s">
        <v>324</v>
      </c>
      <c r="K242" s="107">
        <v>10800</v>
      </c>
      <c r="L242" s="107"/>
      <c r="M242" s="101" t="s">
        <v>1139</v>
      </c>
      <c r="N242" s="101" t="s">
        <v>1140</v>
      </c>
      <c r="O242" s="101" t="s">
        <v>1141</v>
      </c>
      <c r="P242" s="101" t="s">
        <v>1142</v>
      </c>
      <c r="Q242" s="101" t="s">
        <v>234</v>
      </c>
      <c r="R242" s="101" t="s">
        <v>129</v>
      </c>
      <c r="S242" s="101" t="s">
        <v>953</v>
      </c>
      <c r="T242" s="101" t="s">
        <v>953</v>
      </c>
      <c r="U242" s="101" t="s">
        <v>953</v>
      </c>
      <c r="V242" s="17" t="s">
        <v>150</v>
      </c>
      <c r="W242" s="17" t="s">
        <v>150</v>
      </c>
      <c r="X242" s="17" t="s">
        <v>150</v>
      </c>
      <c r="Y242" s="58">
        <v>104482</v>
      </c>
      <c r="Z242" s="17">
        <v>350</v>
      </c>
      <c r="AA242" s="58">
        <v>298.52</v>
      </c>
      <c r="AB242" s="21">
        <v>35</v>
      </c>
      <c r="AC242" s="21">
        <v>175</v>
      </c>
      <c r="AD242" s="21">
        <v>140</v>
      </c>
      <c r="AE242" s="17" t="s">
        <v>1096</v>
      </c>
      <c r="AF242" s="17" t="s">
        <v>129</v>
      </c>
      <c r="AG242" s="17"/>
      <c r="AH242" s="17"/>
      <c r="AI242" s="17" t="s">
        <v>130</v>
      </c>
      <c r="AJ242" s="21">
        <v>0</v>
      </c>
      <c r="AK242" s="58">
        <v>0</v>
      </c>
      <c r="AL242" s="21">
        <v>0</v>
      </c>
      <c r="AM242" s="58">
        <f t="shared" si="177"/>
        <v>0</v>
      </c>
      <c r="AN242" s="21">
        <v>0</v>
      </c>
      <c r="AO242" s="58">
        <f t="shared" si="178"/>
        <v>0</v>
      </c>
      <c r="AP242" s="21">
        <v>0</v>
      </c>
      <c r="AQ242" s="58">
        <f t="shared" si="179"/>
        <v>0</v>
      </c>
      <c r="AR242" s="21">
        <v>0</v>
      </c>
      <c r="AS242" s="58">
        <f t="shared" si="180"/>
        <v>0</v>
      </c>
      <c r="AT242" s="21">
        <v>0</v>
      </c>
      <c r="AU242" s="58">
        <f t="shared" si="181"/>
        <v>0</v>
      </c>
      <c r="AV242" s="21">
        <v>0</v>
      </c>
      <c r="AW242" s="58">
        <v>0</v>
      </c>
      <c r="AX242" s="31">
        <v>0</v>
      </c>
      <c r="AY242" s="58">
        <v>0</v>
      </c>
      <c r="AZ242" s="31">
        <v>0</v>
      </c>
      <c r="BA242" s="58">
        <v>0</v>
      </c>
      <c r="BB242" s="31">
        <v>0</v>
      </c>
      <c r="BC242" s="58">
        <v>0</v>
      </c>
      <c r="BD242" s="31">
        <v>0</v>
      </c>
      <c r="BE242" s="58">
        <v>0</v>
      </c>
      <c r="BF242" s="31">
        <v>0</v>
      </c>
      <c r="BG242" s="58">
        <v>0</v>
      </c>
      <c r="BH242" s="31">
        <v>0</v>
      </c>
      <c r="BI242" s="58">
        <v>0</v>
      </c>
      <c r="BJ242" s="31">
        <v>0</v>
      </c>
      <c r="BK242" s="58">
        <v>0</v>
      </c>
      <c r="BL242" s="17" t="s">
        <v>130</v>
      </c>
      <c r="BM242" s="31">
        <v>35</v>
      </c>
      <c r="BN242" s="31">
        <v>175</v>
      </c>
      <c r="BO242" s="31">
        <v>140</v>
      </c>
      <c r="BP242" s="31">
        <f t="shared" si="182"/>
        <v>350</v>
      </c>
      <c r="BQ242" s="58">
        <f t="shared" si="184"/>
        <v>298.52</v>
      </c>
      <c r="BR242" s="58">
        <f>Table1[[#This Row],[Check 2 Students Total]]*Table1[[#This Row],[Summer 2018 Price Check]]</f>
        <v>104482</v>
      </c>
      <c r="BS242" s="31">
        <v>0</v>
      </c>
      <c r="BT242" s="58">
        <f>Table1[[#This Row],[Summer 2018 Price Check]]*BS242</f>
        <v>0</v>
      </c>
      <c r="BU242" s="31">
        <v>0</v>
      </c>
      <c r="BV242" s="58">
        <v>0</v>
      </c>
      <c r="BW242" s="21">
        <v>0</v>
      </c>
      <c r="BX242" s="58">
        <f>Table1[[#This Row],[Summer 2018 Price Check]]*Table1[[#This Row],[Spring 2019 Students]]</f>
        <v>0</v>
      </c>
      <c r="BY242" s="31">
        <f t="shared" si="166"/>
        <v>0</v>
      </c>
      <c r="BZ242" s="58">
        <f t="shared" si="167"/>
        <v>0</v>
      </c>
      <c r="CA242" s="17" t="s">
        <v>130</v>
      </c>
      <c r="CB242" s="31">
        <v>35</v>
      </c>
      <c r="CC242" s="31">
        <v>175</v>
      </c>
      <c r="CD242" s="31">
        <v>140</v>
      </c>
      <c r="CE242" s="31">
        <f t="shared" si="183"/>
        <v>350</v>
      </c>
      <c r="CF242" s="58">
        <f t="shared" si="185"/>
        <v>298.52</v>
      </c>
      <c r="CG242" s="58">
        <f t="shared" si="169"/>
        <v>104482</v>
      </c>
      <c r="CH242" s="17" t="s">
        <v>1096</v>
      </c>
      <c r="CI242" s="21">
        <v>0</v>
      </c>
      <c r="CJ242" s="58">
        <v>0</v>
      </c>
      <c r="CK242" s="21">
        <f>IF(Table1[[#This Row],[Check 3 Status]]="Continued", Table1[[#This Row],[Check 3 Students Fall]], 0)</f>
        <v>175</v>
      </c>
      <c r="CL242" s="58">
        <f>Table1[[#This Row],[Check 3 Per Student Savings]]*CK242</f>
        <v>52241</v>
      </c>
      <c r="CM242" s="21">
        <f>IF(Table1[[#This Row],[Check 3 Status]]="Continued", Table1[[#This Row],[Check 3 Students Spring]], 0)</f>
        <v>140</v>
      </c>
      <c r="CN242" s="58">
        <f>Table1[[#This Row],[Check 3 Per Student Savings]]*CM242</f>
        <v>41792.799999999996</v>
      </c>
      <c r="CO242" s="21">
        <f t="shared" si="170"/>
        <v>315</v>
      </c>
      <c r="CP242" s="58">
        <f t="shared" si="171"/>
        <v>94033.799999999988</v>
      </c>
      <c r="CQ242" s="58" t="s">
        <v>141</v>
      </c>
      <c r="CR242" s="21">
        <v>35</v>
      </c>
      <c r="CS242" s="21">
        <v>175</v>
      </c>
      <c r="CT242" s="21">
        <v>140</v>
      </c>
      <c r="CU242" s="21">
        <v>0</v>
      </c>
      <c r="CV242" s="58">
        <v>298.52</v>
      </c>
      <c r="CW242" s="58">
        <f t="shared" si="173"/>
        <v>0</v>
      </c>
      <c r="CX242" s="58"/>
      <c r="CY242" s="21">
        <f>IF(Table1[[#This Row],[Check 4 Status]]="Continued", Table1[[#This Row],[Check 4 Students Summer]], 0)</f>
        <v>0</v>
      </c>
      <c r="CZ242" s="58">
        <f>Table1[[#This Row],[Check 4 Per Student Savings]]*CY242</f>
        <v>0</v>
      </c>
      <c r="DA242" s="21">
        <f>IF(Table1[[#This Row],[Check 4 Status]]="Continued", Table1[[#This Row],[Check 4 Students Fall]], 0)</f>
        <v>0</v>
      </c>
      <c r="DB242" s="58">
        <f>Table1[[#This Row],[Check 4 Per Student Savings]]*DA242</f>
        <v>0</v>
      </c>
      <c r="DC242" s="21">
        <f>IF(Table1[[#This Row],[Check 4 Status]]="Continued", Table1[[#This Row],[Check 4 Students Spring]], 0)</f>
        <v>0</v>
      </c>
      <c r="DD242" s="58">
        <f>Table1[[#This Row],[Check 4 Per Student Savings]]*DC242</f>
        <v>0</v>
      </c>
      <c r="DE242" s="58">
        <f t="shared" si="174"/>
        <v>0</v>
      </c>
      <c r="DF242" s="58">
        <f t="shared" si="175"/>
        <v>0</v>
      </c>
      <c r="DG24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315</v>
      </c>
      <c r="DH24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94033.799999999988</v>
      </c>
      <c r="DI242" s="58">
        <f>Table1[[#This Row],[Grand Total Savings]]/Table1[[#This Row],[Total Award]]</f>
        <v>8.7068333333333321</v>
      </c>
    </row>
    <row r="243" spans="1:136" x14ac:dyDescent="0.25">
      <c r="A243" s="177">
        <v>386</v>
      </c>
      <c r="B243" s="17" t="s">
        <v>2011</v>
      </c>
      <c r="D243" s="97">
        <v>515303</v>
      </c>
      <c r="E243" s="178">
        <v>43472</v>
      </c>
      <c r="F243" s="104"/>
      <c r="G243" s="102" t="s">
        <v>1109</v>
      </c>
      <c r="H243" s="102" t="s">
        <v>6</v>
      </c>
      <c r="I243" s="227" t="s">
        <v>118</v>
      </c>
      <c r="J243" s="104" t="s">
        <v>132</v>
      </c>
      <c r="K243" s="180">
        <v>10800</v>
      </c>
      <c r="L243" s="180"/>
      <c r="M243" s="105" t="s">
        <v>919</v>
      </c>
      <c r="N243" s="105" t="s">
        <v>920</v>
      </c>
      <c r="O243" s="105" t="s">
        <v>1143</v>
      </c>
      <c r="P243" s="105" t="s">
        <v>1144</v>
      </c>
      <c r="Q243" s="105" t="s">
        <v>177</v>
      </c>
      <c r="R243" s="105" t="s">
        <v>129</v>
      </c>
      <c r="S243" s="105" t="s">
        <v>953</v>
      </c>
      <c r="T243" s="105" t="s">
        <v>953</v>
      </c>
      <c r="U243" s="105" t="s">
        <v>953</v>
      </c>
      <c r="V243" s="104" t="s">
        <v>150</v>
      </c>
      <c r="W243" s="104" t="s">
        <v>150</v>
      </c>
      <c r="X243" s="104" t="s">
        <v>150</v>
      </c>
      <c r="Y243" s="103">
        <v>45980</v>
      </c>
      <c r="Z243" s="104">
        <v>280</v>
      </c>
      <c r="AA243" s="103">
        <v>143.49</v>
      </c>
      <c r="AB243" s="59">
        <v>30</v>
      </c>
      <c r="AC243" s="59">
        <v>160</v>
      </c>
      <c r="AD243" s="59">
        <v>90</v>
      </c>
      <c r="AE243" s="104" t="s">
        <v>595</v>
      </c>
      <c r="AF243" s="104" t="s">
        <v>129</v>
      </c>
      <c r="AG243" s="104"/>
      <c r="AH243" s="104"/>
      <c r="AI243" s="104" t="s">
        <v>130</v>
      </c>
      <c r="AJ243" s="59">
        <v>0</v>
      </c>
      <c r="AK243" s="103">
        <v>0</v>
      </c>
      <c r="AL243" s="59">
        <v>0</v>
      </c>
      <c r="AM243" s="103">
        <f t="shared" si="177"/>
        <v>0</v>
      </c>
      <c r="AN243" s="59">
        <v>0</v>
      </c>
      <c r="AO243" s="103">
        <f t="shared" si="178"/>
        <v>0</v>
      </c>
      <c r="AP243" s="59">
        <v>0</v>
      </c>
      <c r="AQ243" s="103">
        <f t="shared" si="179"/>
        <v>0</v>
      </c>
      <c r="AR243" s="59">
        <v>0</v>
      </c>
      <c r="AS243" s="103">
        <f t="shared" si="180"/>
        <v>0</v>
      </c>
      <c r="AT243" s="59">
        <v>0</v>
      </c>
      <c r="AU243" s="103">
        <f t="shared" si="181"/>
        <v>0</v>
      </c>
      <c r="AV243" s="59">
        <v>0</v>
      </c>
      <c r="AW243" s="103">
        <v>0</v>
      </c>
      <c r="AX243" s="57">
        <v>0</v>
      </c>
      <c r="AY243" s="103">
        <v>0</v>
      </c>
      <c r="AZ243" s="57">
        <v>0</v>
      </c>
      <c r="BA243" s="103">
        <v>0</v>
      </c>
      <c r="BB243" s="57">
        <v>0</v>
      </c>
      <c r="BC243" s="103">
        <v>0</v>
      </c>
      <c r="BD243" s="57">
        <v>0</v>
      </c>
      <c r="BE243" s="103">
        <v>0</v>
      </c>
      <c r="BF243" s="57">
        <v>0</v>
      </c>
      <c r="BG243" s="103">
        <v>0</v>
      </c>
      <c r="BH243" s="57">
        <v>0</v>
      </c>
      <c r="BI243" s="103">
        <v>0</v>
      </c>
      <c r="BJ243" s="57">
        <v>0</v>
      </c>
      <c r="BK243" s="103">
        <v>0</v>
      </c>
      <c r="BL243" s="104" t="s">
        <v>130</v>
      </c>
      <c r="BM243" s="57">
        <v>30</v>
      </c>
      <c r="BN243" s="57">
        <v>160</v>
      </c>
      <c r="BO243" s="57">
        <v>90</v>
      </c>
      <c r="BP243" s="57">
        <f t="shared" si="182"/>
        <v>280</v>
      </c>
      <c r="BQ243" s="103">
        <f t="shared" si="184"/>
        <v>143.49</v>
      </c>
      <c r="BR243" s="103">
        <f>Table1[[#This Row],[Check 2 Students Total]]*Table1[[#This Row],[Summer 2018 Price Check]]</f>
        <v>40177.200000000004</v>
      </c>
      <c r="BS243" s="57">
        <v>0</v>
      </c>
      <c r="BT243" s="103">
        <f>Table1[[#This Row],[Summer 2018 Price Check]]*BS243</f>
        <v>0</v>
      </c>
      <c r="BU243" s="57">
        <v>0</v>
      </c>
      <c r="BV243" s="103">
        <v>0</v>
      </c>
      <c r="BW243" s="59">
        <f>IF(Table1[[#This Row],[Sustainability Check 2 (2018-2019) Status]]="Continued", Table1[Check 2 Students Spring], 0)</f>
        <v>90</v>
      </c>
      <c r="BX243" s="103">
        <f>Table1[[#This Row],[Summer 2018 Price Check]]*Table1[[#This Row],[Spring 2019 Students]]</f>
        <v>12914.1</v>
      </c>
      <c r="BY243" s="57">
        <f t="shared" si="166"/>
        <v>90</v>
      </c>
      <c r="BZ243" s="103">
        <f t="shared" si="167"/>
        <v>12914.1</v>
      </c>
      <c r="CA243" s="104" t="s">
        <v>130</v>
      </c>
      <c r="CB243" s="57">
        <v>30</v>
      </c>
      <c r="CC243" s="57">
        <v>160</v>
      </c>
      <c r="CD243" s="57">
        <v>90</v>
      </c>
      <c r="CE243" s="57">
        <f t="shared" si="183"/>
        <v>280</v>
      </c>
      <c r="CF243" s="103">
        <f t="shared" si="185"/>
        <v>143.49</v>
      </c>
      <c r="CG243" s="103">
        <f t="shared" si="169"/>
        <v>40177.200000000004</v>
      </c>
      <c r="CH243" s="104" t="s">
        <v>595</v>
      </c>
      <c r="CI243" s="59">
        <f>IF(Table1[[#This Row],[Check 3 Status]]="Continued", Table1[[#This Row],[Check 3 Students Summer]], 0)</f>
        <v>30</v>
      </c>
      <c r="CJ243" s="103">
        <f>Table1[[#This Row],[Check 3 Per Student Savings]]*CI243</f>
        <v>4304.7000000000007</v>
      </c>
      <c r="CK243" s="59">
        <f>IF(Table1[[#This Row],[Check 3 Status]]="Continued", Table1[[#This Row],[Check 3 Students Fall]], 0)</f>
        <v>160</v>
      </c>
      <c r="CL243" s="103">
        <f>Table1[[#This Row],[Check 3 Per Student Savings]]*CK243</f>
        <v>22958.400000000001</v>
      </c>
      <c r="CM243" s="59">
        <f>IF(Table1[[#This Row],[Check 3 Status]]="Continued", Table1[[#This Row],[Check 3 Students Spring]], 0)</f>
        <v>90</v>
      </c>
      <c r="CN243" s="103">
        <f>Table1[[#This Row],[Check 3 Per Student Savings]]*CM243</f>
        <v>12914.1</v>
      </c>
      <c r="CO243" s="59">
        <f t="shared" si="170"/>
        <v>280</v>
      </c>
      <c r="CP243" s="103">
        <f t="shared" si="171"/>
        <v>40177.200000000004</v>
      </c>
      <c r="CQ243" s="103" t="s">
        <v>130</v>
      </c>
      <c r="CR243" s="59">
        <v>30</v>
      </c>
      <c r="CS243" s="59">
        <v>160</v>
      </c>
      <c r="CT243" s="59">
        <v>90</v>
      </c>
      <c r="CU243" s="59">
        <f t="shared" si="172"/>
        <v>280</v>
      </c>
      <c r="CV243" s="103">
        <v>143.49</v>
      </c>
      <c r="CW243" s="103">
        <f t="shared" si="173"/>
        <v>40177.200000000004</v>
      </c>
      <c r="CX243" s="103"/>
      <c r="CY243" s="21">
        <f>IF(Table1[[#This Row],[Check 4 Status]]="Continued", Table1[[#This Row],[Check 4 Students Summer]], 0)</f>
        <v>30</v>
      </c>
      <c r="CZ243" s="58">
        <f>Table1[[#This Row],[Check 4 Per Student Savings]]*CY243</f>
        <v>4304.7000000000007</v>
      </c>
      <c r="DA243" s="59">
        <f>IF(Table1[[#This Row],[Check 4 Status]]="Continued", Table1[[#This Row],[Check 4 Students Fall]], 0)</f>
        <v>160</v>
      </c>
      <c r="DB243" s="103">
        <f>Table1[[#This Row],[Check 4 Per Student Savings]]*DA243</f>
        <v>22958.400000000001</v>
      </c>
      <c r="DC243" s="21">
        <f>IF(Table1[[#This Row],[Check 4 Status]]="Continued", Table1[[#This Row],[Check 4 Students Spring]], 0)</f>
        <v>90</v>
      </c>
      <c r="DD243" s="58">
        <f>Table1[[#This Row],[Check 4 Per Student Savings]]*DC243</f>
        <v>12914.1</v>
      </c>
      <c r="DE243" s="58">
        <f t="shared" si="174"/>
        <v>280</v>
      </c>
      <c r="DF243" s="58">
        <f t="shared" si="175"/>
        <v>40177.200000000004</v>
      </c>
      <c r="DG24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650</v>
      </c>
      <c r="DH24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93268.5</v>
      </c>
      <c r="DI243" s="103">
        <f>Table1[[#This Row],[Grand Total Savings]]/Table1[[#This Row],[Total Award]]</f>
        <v>8.6359722222222217</v>
      </c>
      <c r="DJ243" s="17"/>
      <c r="DK243" s="17"/>
      <c r="DL243" s="17"/>
      <c r="DM243" s="17"/>
      <c r="EC243" s="17"/>
      <c r="ED243" s="17"/>
      <c r="EE243" s="17"/>
      <c r="EF243" s="17"/>
    </row>
    <row r="244" spans="1:136" x14ac:dyDescent="0.25">
      <c r="A244" s="183">
        <v>387</v>
      </c>
      <c r="B244" s="183"/>
      <c r="C244" s="183"/>
      <c r="D244" s="97">
        <v>515289</v>
      </c>
      <c r="E244" s="178">
        <v>43437</v>
      </c>
      <c r="F244" s="104"/>
      <c r="G244" s="102" t="s">
        <v>1109</v>
      </c>
      <c r="H244" s="102" t="s">
        <v>6</v>
      </c>
      <c r="I244" s="227" t="s">
        <v>118</v>
      </c>
      <c r="J244" s="104" t="s">
        <v>324</v>
      </c>
      <c r="K244" s="180">
        <v>10700</v>
      </c>
      <c r="L244" s="180"/>
      <c r="M244" s="105" t="s">
        <v>1145</v>
      </c>
      <c r="N244" s="105" t="s">
        <v>1146</v>
      </c>
      <c r="O244" s="105" t="s">
        <v>1147</v>
      </c>
      <c r="P244" s="105" t="s">
        <v>1148</v>
      </c>
      <c r="Q244" s="105" t="s">
        <v>1149</v>
      </c>
      <c r="R244" s="105" t="s">
        <v>129</v>
      </c>
      <c r="S244" s="105" t="s">
        <v>953</v>
      </c>
      <c r="T244" s="105" t="s">
        <v>953</v>
      </c>
      <c r="U244" s="105" t="s">
        <v>953</v>
      </c>
      <c r="V244" s="104" t="s">
        <v>1095</v>
      </c>
      <c r="W244" s="104" t="s">
        <v>1095</v>
      </c>
      <c r="X244" s="104" t="s">
        <v>1095</v>
      </c>
      <c r="Y244" s="103">
        <v>19358.64</v>
      </c>
      <c r="Z244" s="104">
        <v>161</v>
      </c>
      <c r="AA244" s="103">
        <v>120.24</v>
      </c>
      <c r="AB244" s="59">
        <v>17</v>
      </c>
      <c r="AC244" s="59">
        <v>81</v>
      </c>
      <c r="AD244" s="59">
        <v>41</v>
      </c>
      <c r="AE244" s="104" t="s">
        <v>595</v>
      </c>
      <c r="AF244" s="104" t="s">
        <v>129</v>
      </c>
      <c r="AG244" s="104"/>
      <c r="AH244" s="104"/>
      <c r="AI244" s="104" t="s">
        <v>130</v>
      </c>
      <c r="AJ244" s="59">
        <v>0</v>
      </c>
      <c r="AK244" s="103">
        <v>0</v>
      </c>
      <c r="AL244" s="59">
        <v>0</v>
      </c>
      <c r="AM244" s="103">
        <f t="shared" si="177"/>
        <v>0</v>
      </c>
      <c r="AN244" s="59">
        <v>0</v>
      </c>
      <c r="AO244" s="103">
        <f t="shared" si="178"/>
        <v>0</v>
      </c>
      <c r="AP244" s="59">
        <v>0</v>
      </c>
      <c r="AQ244" s="103">
        <f t="shared" si="179"/>
        <v>0</v>
      </c>
      <c r="AR244" s="59">
        <v>0</v>
      </c>
      <c r="AS244" s="103">
        <f t="shared" si="180"/>
        <v>0</v>
      </c>
      <c r="AT244" s="59">
        <v>0</v>
      </c>
      <c r="AU244" s="103">
        <f t="shared" si="181"/>
        <v>0</v>
      </c>
      <c r="AV244" s="59">
        <v>0</v>
      </c>
      <c r="AW244" s="103">
        <v>0</v>
      </c>
      <c r="AX244" s="57">
        <v>0</v>
      </c>
      <c r="AY244" s="103">
        <v>0</v>
      </c>
      <c r="AZ244" s="57">
        <v>0</v>
      </c>
      <c r="BA244" s="103">
        <v>0</v>
      </c>
      <c r="BB244" s="57">
        <v>0</v>
      </c>
      <c r="BC244" s="103">
        <v>0</v>
      </c>
      <c r="BD244" s="57">
        <v>0</v>
      </c>
      <c r="BE244" s="103">
        <v>0</v>
      </c>
      <c r="BF244" s="57">
        <v>0</v>
      </c>
      <c r="BG244" s="103">
        <v>0</v>
      </c>
      <c r="BH244" s="57">
        <v>0</v>
      </c>
      <c r="BI244" s="103">
        <v>0</v>
      </c>
      <c r="BJ244" s="57">
        <v>0</v>
      </c>
      <c r="BK244" s="103">
        <v>0</v>
      </c>
      <c r="BL244" s="104" t="s">
        <v>130</v>
      </c>
      <c r="BM244" s="57">
        <v>17</v>
      </c>
      <c r="BN244" s="57">
        <v>81</v>
      </c>
      <c r="BO244" s="57">
        <v>41</v>
      </c>
      <c r="BP244" s="57">
        <f t="shared" si="182"/>
        <v>139</v>
      </c>
      <c r="BQ244" s="103">
        <f t="shared" si="184"/>
        <v>120.24</v>
      </c>
      <c r="BR244" s="103">
        <f>Table1[[#This Row],[Check 2 Students Total]]*Table1[[#This Row],[Summer 2018 Price Check]]</f>
        <v>16713.36</v>
      </c>
      <c r="BS244" s="57">
        <v>0</v>
      </c>
      <c r="BT244" s="103">
        <f>Table1[[#This Row],[Summer 2018 Price Check]]*BS244</f>
        <v>0</v>
      </c>
      <c r="BU244" s="57">
        <v>0</v>
      </c>
      <c r="BV244" s="103">
        <v>0</v>
      </c>
      <c r="BW244" s="59">
        <f>IF(Table1[[#This Row],[Sustainability Check 2 (2018-2019) Status]]="Continued", Table1[Check 2 Students Spring], 0)</f>
        <v>41</v>
      </c>
      <c r="BX244" s="103">
        <f>Table1[[#This Row],[Summer 2018 Price Check]]*Table1[[#This Row],[Spring 2019 Students]]</f>
        <v>4929.84</v>
      </c>
      <c r="BY244" s="57">
        <f t="shared" si="166"/>
        <v>41</v>
      </c>
      <c r="BZ244" s="103">
        <f t="shared" si="167"/>
        <v>4929.84</v>
      </c>
      <c r="CA244" s="104" t="s">
        <v>130</v>
      </c>
      <c r="CB244" s="57">
        <v>17</v>
      </c>
      <c r="CC244" s="57">
        <v>81</v>
      </c>
      <c r="CD244" s="57">
        <v>41</v>
      </c>
      <c r="CE244" s="57">
        <f t="shared" si="183"/>
        <v>139</v>
      </c>
      <c r="CF244" s="103">
        <f t="shared" si="185"/>
        <v>120.24</v>
      </c>
      <c r="CG244" s="103">
        <f t="shared" si="169"/>
        <v>16713.36</v>
      </c>
      <c r="CH244" s="104" t="s">
        <v>595</v>
      </c>
      <c r="CI244" s="59">
        <f>IF(Table1[[#This Row],[Check 3 Status]]="Continued", Table1[[#This Row],[Check 3 Students Summer]], 0)</f>
        <v>17</v>
      </c>
      <c r="CJ244" s="103">
        <f>Table1[[#This Row],[Check 3 Per Student Savings]]*CI244</f>
        <v>2044.08</v>
      </c>
      <c r="CK244" s="59">
        <f>IF(Table1[[#This Row],[Check 3 Status]]="Continued", Table1[[#This Row],[Check 3 Students Fall]], 0)</f>
        <v>81</v>
      </c>
      <c r="CL244" s="103">
        <f>Table1[[#This Row],[Check 3 Per Student Savings]]*CK244</f>
        <v>9739.4399999999987</v>
      </c>
      <c r="CM244" s="59">
        <f>IF(Table1[[#This Row],[Check 3 Status]]="Continued", Table1[[#This Row],[Check 3 Students Spring]], 0)</f>
        <v>41</v>
      </c>
      <c r="CN244" s="103">
        <f>Table1[[#This Row],[Check 3 Per Student Savings]]*CM244</f>
        <v>4929.84</v>
      </c>
      <c r="CO244" s="59">
        <f t="shared" si="170"/>
        <v>139</v>
      </c>
      <c r="CP244" s="103">
        <f t="shared" si="171"/>
        <v>16713.36</v>
      </c>
      <c r="CQ244" s="103" t="s">
        <v>141</v>
      </c>
      <c r="CR244" s="59">
        <v>17</v>
      </c>
      <c r="CS244" s="59">
        <v>81</v>
      </c>
      <c r="CT244" s="59">
        <v>41</v>
      </c>
      <c r="CU244" s="59">
        <v>0</v>
      </c>
      <c r="CV244" s="103">
        <v>120.24</v>
      </c>
      <c r="CW244" s="103">
        <f t="shared" si="173"/>
        <v>0</v>
      </c>
      <c r="CX244" s="103"/>
      <c r="CY244" s="21">
        <f>IF(Table1[[#This Row],[Check 4 Status]]="Continued", Table1[[#This Row],[Check 4 Students Summer]], 0)</f>
        <v>0</v>
      </c>
      <c r="CZ244" s="58">
        <f>Table1[[#This Row],[Check 4 Per Student Savings]]*CY244</f>
        <v>0</v>
      </c>
      <c r="DA244" s="59">
        <f>IF(Table1[[#This Row],[Check 4 Status]]="Continued", Table1[[#This Row],[Check 4 Students Fall]], 0)</f>
        <v>0</v>
      </c>
      <c r="DB244" s="103">
        <f>Table1[[#This Row],[Check 4 Per Student Savings]]*DA244</f>
        <v>0</v>
      </c>
      <c r="DC244" s="21">
        <f>IF(Table1[[#This Row],[Check 4 Status]]="Continued", Table1[[#This Row],[Check 4 Students Spring]], 0)</f>
        <v>0</v>
      </c>
      <c r="DD244" s="58">
        <f>Table1[[#This Row],[Check 4 Per Student Savings]]*DC244</f>
        <v>0</v>
      </c>
      <c r="DE244" s="58">
        <f t="shared" si="174"/>
        <v>0</v>
      </c>
      <c r="DF244" s="58">
        <f t="shared" si="175"/>
        <v>0</v>
      </c>
      <c r="DG24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180</v>
      </c>
      <c r="DH24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21643.200000000001</v>
      </c>
      <c r="DI244" s="103">
        <f>Table1[[#This Row],[Grand Total Savings]]/Table1[[#This Row],[Total Award]]</f>
        <v>2.0227289719626169</v>
      </c>
      <c r="DJ244" s="17"/>
      <c r="DK244" s="17"/>
      <c r="DL244" s="17"/>
      <c r="DM244" s="17"/>
      <c r="EC244" s="17"/>
      <c r="ED244" s="17"/>
      <c r="EE244" s="17"/>
      <c r="EF244" s="17"/>
    </row>
    <row r="245" spans="1:136" s="104" customFormat="1" x14ac:dyDescent="0.25">
      <c r="A245" s="181">
        <v>389</v>
      </c>
      <c r="B245" s="17" t="s">
        <v>2011</v>
      </c>
      <c r="C245" s="17"/>
      <c r="D245" s="97">
        <v>515381</v>
      </c>
      <c r="E245" s="158">
        <v>43497</v>
      </c>
      <c r="F245" s="17"/>
      <c r="G245" s="95" t="s">
        <v>1109</v>
      </c>
      <c r="H245" s="95" t="s">
        <v>6</v>
      </c>
      <c r="I245" s="226" t="s">
        <v>118</v>
      </c>
      <c r="J245" s="17" t="s">
        <v>282</v>
      </c>
      <c r="K245" s="107">
        <v>10799</v>
      </c>
      <c r="L245" s="107"/>
      <c r="M245" s="101" t="s">
        <v>1150</v>
      </c>
      <c r="N245" s="101" t="s">
        <v>1151</v>
      </c>
      <c r="O245" s="101" t="s">
        <v>1152</v>
      </c>
      <c r="P245" s="101" t="s">
        <v>1153</v>
      </c>
      <c r="Q245" s="101" t="s">
        <v>192</v>
      </c>
      <c r="R245" s="101" t="s">
        <v>129</v>
      </c>
      <c r="S245" s="101" t="s">
        <v>953</v>
      </c>
      <c r="T245" s="101" t="s">
        <v>953</v>
      </c>
      <c r="U245" s="101" t="s">
        <v>953</v>
      </c>
      <c r="V245" s="17" t="s">
        <v>140</v>
      </c>
      <c r="W245" s="17" t="s">
        <v>140</v>
      </c>
      <c r="X245" s="17" t="s">
        <v>140</v>
      </c>
      <c r="Y245" s="58">
        <v>37680</v>
      </c>
      <c r="Z245" s="17">
        <v>830</v>
      </c>
      <c r="AA245" s="58">
        <v>40</v>
      </c>
      <c r="AB245" s="21">
        <v>112</v>
      </c>
      <c r="AC245" s="21">
        <v>420</v>
      </c>
      <c r="AD245" s="21">
        <v>416</v>
      </c>
      <c r="AE245" s="17" t="s">
        <v>1096</v>
      </c>
      <c r="AF245" s="17" t="s">
        <v>129</v>
      </c>
      <c r="AG245" s="17"/>
      <c r="AH245" s="17"/>
      <c r="AI245" s="17" t="s">
        <v>130</v>
      </c>
      <c r="AJ245" s="21">
        <v>0</v>
      </c>
      <c r="AK245" s="58">
        <v>0</v>
      </c>
      <c r="AL245" s="21">
        <v>0</v>
      </c>
      <c r="AM245" s="58">
        <f t="shared" si="177"/>
        <v>0</v>
      </c>
      <c r="AN245" s="21">
        <v>0</v>
      </c>
      <c r="AO245" s="58">
        <f t="shared" si="178"/>
        <v>0</v>
      </c>
      <c r="AP245" s="21">
        <v>0</v>
      </c>
      <c r="AQ245" s="58">
        <f t="shared" si="179"/>
        <v>0</v>
      </c>
      <c r="AR245" s="21">
        <v>0</v>
      </c>
      <c r="AS245" s="58">
        <f t="shared" si="180"/>
        <v>0</v>
      </c>
      <c r="AT245" s="21">
        <v>0</v>
      </c>
      <c r="AU245" s="58">
        <f t="shared" si="181"/>
        <v>0</v>
      </c>
      <c r="AV245" s="21">
        <v>0</v>
      </c>
      <c r="AW245" s="58">
        <v>0</v>
      </c>
      <c r="AX245" s="31">
        <v>0</v>
      </c>
      <c r="AY245" s="58">
        <v>0</v>
      </c>
      <c r="AZ245" s="31">
        <v>0</v>
      </c>
      <c r="BA245" s="58">
        <v>0</v>
      </c>
      <c r="BB245" s="31">
        <v>0</v>
      </c>
      <c r="BC245" s="58">
        <v>0</v>
      </c>
      <c r="BD245" s="31">
        <v>0</v>
      </c>
      <c r="BE245" s="58">
        <v>0</v>
      </c>
      <c r="BF245" s="31">
        <v>0</v>
      </c>
      <c r="BG245" s="58">
        <v>0</v>
      </c>
      <c r="BH245" s="31">
        <v>0</v>
      </c>
      <c r="BI245" s="58">
        <v>0</v>
      </c>
      <c r="BJ245" s="31">
        <v>0</v>
      </c>
      <c r="BK245" s="58">
        <v>0</v>
      </c>
      <c r="BL245" s="17" t="s">
        <v>130</v>
      </c>
      <c r="BM245" s="31">
        <v>112</v>
      </c>
      <c r="BN245" s="31">
        <v>420</v>
      </c>
      <c r="BO245" s="31">
        <v>416</v>
      </c>
      <c r="BP245" s="31">
        <f t="shared" si="182"/>
        <v>948</v>
      </c>
      <c r="BQ245" s="58">
        <f t="shared" si="184"/>
        <v>40</v>
      </c>
      <c r="BR245" s="58">
        <f>Table1[[#This Row],[Check 2 Students Total]]*Table1[[#This Row],[Summer 2018 Price Check]]</f>
        <v>37920</v>
      </c>
      <c r="BS245" s="31">
        <v>0</v>
      </c>
      <c r="BT245" s="58">
        <f>Table1[[#This Row],[Summer 2018 Price Check]]*BS245</f>
        <v>0</v>
      </c>
      <c r="BU245" s="31">
        <v>0</v>
      </c>
      <c r="BV245" s="58">
        <v>0</v>
      </c>
      <c r="BW245" s="21">
        <v>0</v>
      </c>
      <c r="BX245" s="58">
        <f>Table1[[#This Row],[Summer 2018 Price Check]]*Table1[[#This Row],[Spring 2019 Students]]</f>
        <v>0</v>
      </c>
      <c r="BY245" s="31">
        <f t="shared" si="166"/>
        <v>0</v>
      </c>
      <c r="BZ245" s="58">
        <f t="shared" si="167"/>
        <v>0</v>
      </c>
      <c r="CA245" s="17" t="s">
        <v>130</v>
      </c>
      <c r="CB245" s="31">
        <v>112</v>
      </c>
      <c r="CC245" s="31">
        <v>420</v>
      </c>
      <c r="CD245" s="31">
        <v>416</v>
      </c>
      <c r="CE245" s="31">
        <f t="shared" si="183"/>
        <v>948</v>
      </c>
      <c r="CF245" s="58">
        <f t="shared" si="185"/>
        <v>40</v>
      </c>
      <c r="CG245" s="58">
        <f t="shared" si="169"/>
        <v>37920</v>
      </c>
      <c r="CH245" s="17" t="s">
        <v>1096</v>
      </c>
      <c r="CI245" s="21">
        <v>0</v>
      </c>
      <c r="CJ245" s="58">
        <v>0</v>
      </c>
      <c r="CK245" s="21">
        <f>IF(Table1[[#This Row],[Check 3 Status]]="Continued", Table1[[#This Row],[Check 3 Students Fall]], 0)</f>
        <v>420</v>
      </c>
      <c r="CL245" s="58">
        <f>Table1[[#This Row],[Check 3 Per Student Savings]]*CK245</f>
        <v>16800</v>
      </c>
      <c r="CM245" s="21">
        <f>IF(Table1[[#This Row],[Check 3 Status]]="Continued", Table1[[#This Row],[Check 3 Students Spring]], 0)</f>
        <v>416</v>
      </c>
      <c r="CN245" s="58">
        <f>Table1[[#This Row],[Check 3 Per Student Savings]]*CM245</f>
        <v>16640</v>
      </c>
      <c r="CO245" s="21">
        <f t="shared" si="170"/>
        <v>836</v>
      </c>
      <c r="CP245" s="58">
        <f t="shared" si="171"/>
        <v>33440</v>
      </c>
      <c r="CQ245" s="58" t="s">
        <v>130</v>
      </c>
      <c r="CR245" s="21">
        <v>112</v>
      </c>
      <c r="CS245" s="21">
        <v>420</v>
      </c>
      <c r="CT245" s="21">
        <v>416</v>
      </c>
      <c r="CU245" s="21">
        <f t="shared" si="172"/>
        <v>948</v>
      </c>
      <c r="CV245" s="58">
        <v>40</v>
      </c>
      <c r="CW245" s="58">
        <f t="shared" si="173"/>
        <v>37920</v>
      </c>
      <c r="CX245" s="58"/>
      <c r="CY245" s="21">
        <f>IF(Table1[[#This Row],[Check 4 Status]]="Continued", Table1[[#This Row],[Check 4 Students Summer]], 0)</f>
        <v>112</v>
      </c>
      <c r="CZ245" s="58">
        <f>Table1[[#This Row],[Check 4 Per Student Savings]]*CY245</f>
        <v>4480</v>
      </c>
      <c r="DA245" s="21">
        <f>IF(Table1[[#This Row],[Check 4 Status]]="Continued", Table1[[#This Row],[Check 4 Students Fall]], 0)</f>
        <v>420</v>
      </c>
      <c r="DB245" s="58">
        <f>Table1[[#This Row],[Check 4 Per Student Savings]]*DA245</f>
        <v>16800</v>
      </c>
      <c r="DC245" s="21">
        <f>IF(Table1[[#This Row],[Check 4 Status]]="Continued", Table1[[#This Row],[Check 4 Students Spring]], 0)</f>
        <v>416</v>
      </c>
      <c r="DD245" s="58">
        <f>Table1[[#This Row],[Check 4 Per Student Savings]]*DC245</f>
        <v>16640</v>
      </c>
      <c r="DE245" s="58">
        <f t="shared" si="174"/>
        <v>948</v>
      </c>
      <c r="DF245" s="58">
        <f t="shared" si="175"/>
        <v>37920</v>
      </c>
      <c r="DG24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1784</v>
      </c>
      <c r="DH24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71360</v>
      </c>
      <c r="DI245" s="58">
        <f>Table1[[#This Row],[Grand Total Savings]]/Table1[[#This Row],[Total Award]]</f>
        <v>6.6080192610426893</v>
      </c>
    </row>
    <row r="246" spans="1:136" s="104" customFormat="1" ht="15.75" thickBot="1" x14ac:dyDescent="0.3">
      <c r="A246" s="181">
        <v>391</v>
      </c>
      <c r="B246" s="17" t="s">
        <v>2011</v>
      </c>
      <c r="C246" s="17"/>
      <c r="D246" s="97">
        <v>515286</v>
      </c>
      <c r="E246" s="158">
        <v>43437</v>
      </c>
      <c r="F246" s="17"/>
      <c r="G246" s="95" t="s">
        <v>1109</v>
      </c>
      <c r="H246" s="95" t="s">
        <v>6</v>
      </c>
      <c r="I246" s="226" t="s">
        <v>118</v>
      </c>
      <c r="J246" s="17" t="s">
        <v>677</v>
      </c>
      <c r="K246" s="107">
        <v>10800</v>
      </c>
      <c r="L246" s="107"/>
      <c r="M246" s="101" t="s">
        <v>1154</v>
      </c>
      <c r="N246" s="101" t="s">
        <v>1155</v>
      </c>
      <c r="O246" s="101" t="s">
        <v>1156</v>
      </c>
      <c r="P246" s="101" t="s">
        <v>1157</v>
      </c>
      <c r="Q246" s="101" t="s">
        <v>192</v>
      </c>
      <c r="R246" s="101" t="s">
        <v>298</v>
      </c>
      <c r="S246" s="101" t="s">
        <v>953</v>
      </c>
      <c r="T246" s="101" t="s">
        <v>953</v>
      </c>
      <c r="U246" s="101" t="s">
        <v>953</v>
      </c>
      <c r="V246" s="17" t="s">
        <v>150</v>
      </c>
      <c r="W246" s="17" t="s">
        <v>127</v>
      </c>
      <c r="X246" s="17" t="s">
        <v>150</v>
      </c>
      <c r="Y246" s="58">
        <v>220896</v>
      </c>
      <c r="Z246" s="17">
        <v>624</v>
      </c>
      <c r="AA246" s="58">
        <v>354</v>
      </c>
      <c r="AB246" s="21">
        <v>50</v>
      </c>
      <c r="AC246" s="21">
        <v>303</v>
      </c>
      <c r="AD246" s="21">
        <v>321</v>
      </c>
      <c r="AE246" s="17" t="s">
        <v>1096</v>
      </c>
      <c r="AF246" s="17" t="s">
        <v>129</v>
      </c>
      <c r="AG246" s="17"/>
      <c r="AH246" s="17"/>
      <c r="AI246" s="17" t="s">
        <v>130</v>
      </c>
      <c r="AJ246" s="21">
        <v>0</v>
      </c>
      <c r="AK246" s="58">
        <v>0</v>
      </c>
      <c r="AL246" s="21">
        <v>0</v>
      </c>
      <c r="AM246" s="58">
        <f t="shared" si="177"/>
        <v>0</v>
      </c>
      <c r="AN246" s="21">
        <v>0</v>
      </c>
      <c r="AO246" s="58">
        <f t="shared" si="178"/>
        <v>0</v>
      </c>
      <c r="AP246" s="21">
        <v>0</v>
      </c>
      <c r="AQ246" s="58">
        <f t="shared" si="179"/>
        <v>0</v>
      </c>
      <c r="AR246" s="21">
        <v>0</v>
      </c>
      <c r="AS246" s="58">
        <f t="shared" si="180"/>
        <v>0</v>
      </c>
      <c r="AT246" s="21">
        <v>0</v>
      </c>
      <c r="AU246" s="58">
        <f t="shared" si="181"/>
        <v>0</v>
      </c>
      <c r="AV246" s="21">
        <v>0</v>
      </c>
      <c r="AW246" s="58">
        <v>0</v>
      </c>
      <c r="AX246" s="31">
        <v>0</v>
      </c>
      <c r="AY246" s="58">
        <v>0</v>
      </c>
      <c r="AZ246" s="31">
        <v>0</v>
      </c>
      <c r="BA246" s="58">
        <v>0</v>
      </c>
      <c r="BB246" s="31">
        <v>0</v>
      </c>
      <c r="BC246" s="58">
        <v>0</v>
      </c>
      <c r="BD246" s="31">
        <v>0</v>
      </c>
      <c r="BE246" s="58">
        <v>0</v>
      </c>
      <c r="BF246" s="31">
        <v>0</v>
      </c>
      <c r="BG246" s="58">
        <v>0</v>
      </c>
      <c r="BH246" s="31">
        <v>0</v>
      </c>
      <c r="BI246" s="58">
        <v>0</v>
      </c>
      <c r="BJ246" s="31">
        <v>0</v>
      </c>
      <c r="BK246" s="58">
        <v>0</v>
      </c>
      <c r="BL246" s="17" t="s">
        <v>130</v>
      </c>
      <c r="BM246" s="31">
        <v>50</v>
      </c>
      <c r="BN246" s="31">
        <v>303</v>
      </c>
      <c r="BO246" s="31">
        <v>321</v>
      </c>
      <c r="BP246" s="31">
        <f t="shared" si="182"/>
        <v>674</v>
      </c>
      <c r="BQ246" s="58">
        <f t="shared" si="184"/>
        <v>354</v>
      </c>
      <c r="BR246" s="58">
        <f>Table1[[#This Row],[Check 2 Students Total]]*Table1[[#This Row],[Summer 2018 Price Check]]</f>
        <v>238596</v>
      </c>
      <c r="BS246" s="31">
        <v>0</v>
      </c>
      <c r="BT246" s="58">
        <f>Table1[[#This Row],[Summer 2018 Price Check]]*BS246</f>
        <v>0</v>
      </c>
      <c r="BU246" s="31">
        <v>0</v>
      </c>
      <c r="BV246" s="58">
        <v>0</v>
      </c>
      <c r="BW246" s="21">
        <v>0</v>
      </c>
      <c r="BX246" s="58">
        <f>Table1[[#This Row],[Summer 2018 Price Check]]*Table1[[#This Row],[Spring 2019 Students]]</f>
        <v>0</v>
      </c>
      <c r="BY246" s="31">
        <f t="shared" si="166"/>
        <v>0</v>
      </c>
      <c r="BZ246" s="58">
        <f t="shared" si="167"/>
        <v>0</v>
      </c>
      <c r="CA246" s="17" t="s">
        <v>130</v>
      </c>
      <c r="CB246" s="31">
        <v>50</v>
      </c>
      <c r="CC246" s="31">
        <v>303</v>
      </c>
      <c r="CD246" s="31">
        <v>321</v>
      </c>
      <c r="CE246" s="31">
        <f t="shared" si="183"/>
        <v>674</v>
      </c>
      <c r="CF246" s="58">
        <f t="shared" si="185"/>
        <v>354</v>
      </c>
      <c r="CG246" s="58">
        <f t="shared" si="169"/>
        <v>238596</v>
      </c>
      <c r="CH246" s="17" t="s">
        <v>1096</v>
      </c>
      <c r="CI246" s="21">
        <v>0</v>
      </c>
      <c r="CJ246" s="58">
        <v>0</v>
      </c>
      <c r="CK246" s="21">
        <f>IF(Table1[[#This Row],[Check 3 Status]]="Continued", Table1[[#This Row],[Check 3 Students Fall]], 0)</f>
        <v>303</v>
      </c>
      <c r="CL246" s="58">
        <f>Table1[[#This Row],[Check 3 Per Student Savings]]*CK246</f>
        <v>107262</v>
      </c>
      <c r="CM246" s="21">
        <f>IF(Table1[[#This Row],[Check 3 Status]]="Continued", Table1[[#This Row],[Check 3 Students Spring]], 0)</f>
        <v>321</v>
      </c>
      <c r="CN246" s="58">
        <f>Table1[[#This Row],[Check 3 Per Student Savings]]*CM246</f>
        <v>113634</v>
      </c>
      <c r="CO246" s="21">
        <f t="shared" si="170"/>
        <v>624</v>
      </c>
      <c r="CP246" s="58">
        <f t="shared" si="171"/>
        <v>220896</v>
      </c>
      <c r="CQ246" s="58" t="s">
        <v>141</v>
      </c>
      <c r="CR246" s="21">
        <v>50</v>
      </c>
      <c r="CS246" s="21">
        <v>303</v>
      </c>
      <c r="CT246" s="21">
        <v>321</v>
      </c>
      <c r="CU246" s="21">
        <v>0</v>
      </c>
      <c r="CV246" s="58">
        <v>354</v>
      </c>
      <c r="CW246" s="58">
        <f t="shared" si="173"/>
        <v>0</v>
      </c>
      <c r="CX246" s="58"/>
      <c r="CY246" s="21">
        <f>IF(Table1[[#This Row],[Check 4 Status]]="Continued", Table1[[#This Row],[Check 4 Students Summer]], 0)</f>
        <v>0</v>
      </c>
      <c r="CZ246" s="58">
        <f>Table1[[#This Row],[Check 4 Per Student Savings]]*CY246</f>
        <v>0</v>
      </c>
      <c r="DA246" s="21">
        <f>IF(Table1[[#This Row],[Check 4 Status]]="Continued", Table1[[#This Row],[Check 4 Students Fall]], 0)</f>
        <v>0</v>
      </c>
      <c r="DB246" s="58">
        <f>Table1[[#This Row],[Check 4 Per Student Savings]]*DA246</f>
        <v>0</v>
      </c>
      <c r="DC246" s="21">
        <f>IF(Table1[[#This Row],[Check 4 Status]]="Continued", Table1[[#This Row],[Check 4 Students Spring]], 0)</f>
        <v>0</v>
      </c>
      <c r="DD246" s="58">
        <f>Table1[[#This Row],[Check 4 Per Student Savings]]*DC246</f>
        <v>0</v>
      </c>
      <c r="DE246" s="58">
        <f t="shared" si="174"/>
        <v>0</v>
      </c>
      <c r="DF246" s="58">
        <f t="shared" si="175"/>
        <v>0</v>
      </c>
      <c r="DG24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624</v>
      </c>
      <c r="DH24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220896</v>
      </c>
      <c r="DI246" s="58">
        <f>Table1[[#This Row],[Grand Total Savings]]/Table1[[#This Row],[Total Award]]</f>
        <v>20.453333333333333</v>
      </c>
    </row>
    <row r="247" spans="1:136" ht="15.75" thickBot="1" x14ac:dyDescent="0.3">
      <c r="A247" s="185">
        <v>392</v>
      </c>
      <c r="B247" s="17" t="s">
        <v>2011</v>
      </c>
      <c r="D247" s="97">
        <v>516264</v>
      </c>
      <c r="E247" s="158"/>
      <c r="G247" s="95" t="s">
        <v>1109</v>
      </c>
      <c r="H247" s="95" t="s">
        <v>6</v>
      </c>
      <c r="I247" s="226" t="s">
        <v>118</v>
      </c>
      <c r="J247" s="17" t="s">
        <v>132</v>
      </c>
      <c r="K247" s="107">
        <v>10800</v>
      </c>
      <c r="L247" s="107"/>
      <c r="M247" s="101" t="s">
        <v>1158</v>
      </c>
      <c r="N247" s="101" t="s">
        <v>1159</v>
      </c>
      <c r="O247" s="101" t="s">
        <v>1160</v>
      </c>
      <c r="P247" s="101" t="s">
        <v>1161</v>
      </c>
      <c r="Q247" s="101" t="s">
        <v>177</v>
      </c>
      <c r="R247" s="101" t="s">
        <v>129</v>
      </c>
      <c r="S247" s="101" t="s">
        <v>953</v>
      </c>
      <c r="T247" s="101" t="s">
        <v>953</v>
      </c>
      <c r="U247" s="101" t="s">
        <v>953</v>
      </c>
      <c r="V247" s="17" t="s">
        <v>150</v>
      </c>
      <c r="W247" s="17" t="s">
        <v>150</v>
      </c>
      <c r="X247" s="17" t="s">
        <v>150</v>
      </c>
      <c r="Y247" s="58">
        <v>94800</v>
      </c>
      <c r="Z247" s="17">
        <v>640</v>
      </c>
      <c r="AA247" s="58">
        <v>202.5</v>
      </c>
      <c r="AB247" s="21">
        <v>80</v>
      </c>
      <c r="AC247" s="21">
        <v>280</v>
      </c>
      <c r="AD247" s="21">
        <v>280</v>
      </c>
      <c r="AE247" s="17" t="s">
        <v>1096</v>
      </c>
      <c r="AF247" s="17" t="s">
        <v>129</v>
      </c>
      <c r="AG247" s="17"/>
      <c r="AI247" s="17" t="s">
        <v>130</v>
      </c>
      <c r="AJ247" s="21">
        <v>0</v>
      </c>
      <c r="AK247" s="58">
        <v>0</v>
      </c>
      <c r="AL247" s="21">
        <v>0</v>
      </c>
      <c r="AM247" s="58">
        <f t="shared" si="177"/>
        <v>0</v>
      </c>
      <c r="AN247" s="21">
        <v>0</v>
      </c>
      <c r="AO247" s="58">
        <f t="shared" si="178"/>
        <v>0</v>
      </c>
      <c r="AP247" s="21">
        <v>0</v>
      </c>
      <c r="AQ247" s="58">
        <f t="shared" si="179"/>
        <v>0</v>
      </c>
      <c r="AR247" s="21">
        <v>0</v>
      </c>
      <c r="AS247" s="58">
        <f t="shared" si="180"/>
        <v>0</v>
      </c>
      <c r="AT247" s="21">
        <v>0</v>
      </c>
      <c r="AU247" s="58">
        <f t="shared" si="181"/>
        <v>0</v>
      </c>
      <c r="AV247" s="21">
        <v>0</v>
      </c>
      <c r="AW247" s="58">
        <v>0</v>
      </c>
      <c r="AX247" s="31">
        <v>0</v>
      </c>
      <c r="AY247" s="58">
        <v>0</v>
      </c>
      <c r="AZ247" s="31">
        <v>0</v>
      </c>
      <c r="BA247" s="58">
        <v>0</v>
      </c>
      <c r="BB247" s="31">
        <v>0</v>
      </c>
      <c r="BC247" s="58">
        <v>0</v>
      </c>
      <c r="BD247" s="31">
        <v>0</v>
      </c>
      <c r="BE247" s="58">
        <v>0</v>
      </c>
      <c r="BF247" s="31">
        <v>0</v>
      </c>
      <c r="BG247" s="58">
        <v>0</v>
      </c>
      <c r="BH247" s="31">
        <v>0</v>
      </c>
      <c r="BI247" s="58">
        <v>0</v>
      </c>
      <c r="BJ247" s="31">
        <v>0</v>
      </c>
      <c r="BK247" s="58">
        <v>0</v>
      </c>
      <c r="BL247" s="17" t="s">
        <v>130</v>
      </c>
      <c r="BM247" s="31">
        <v>80</v>
      </c>
      <c r="BN247" s="31">
        <v>280</v>
      </c>
      <c r="BO247" s="31">
        <v>280</v>
      </c>
      <c r="BP247" s="31">
        <f t="shared" si="182"/>
        <v>640</v>
      </c>
      <c r="BQ247" s="58">
        <f t="shared" si="184"/>
        <v>202.5</v>
      </c>
      <c r="BR247" s="58">
        <f>Table1[[#This Row],[Check 2 Students Total]]*Table1[[#This Row],[Summer 2018 Price Check]]</f>
        <v>129600</v>
      </c>
      <c r="BS247" s="31">
        <v>0</v>
      </c>
      <c r="BT247" s="58">
        <f>Table1[[#This Row],[Summer 2018 Price Check]]*BS247</f>
        <v>0</v>
      </c>
      <c r="BU247" s="31">
        <v>0</v>
      </c>
      <c r="BV247" s="58">
        <v>0</v>
      </c>
      <c r="BW247" s="21">
        <v>0</v>
      </c>
      <c r="BX247" s="58">
        <f>Table1[[#This Row],[Summer 2018 Price Check]]*Table1[[#This Row],[Spring 2019 Students]]</f>
        <v>0</v>
      </c>
      <c r="BY247" s="31">
        <f t="shared" si="166"/>
        <v>0</v>
      </c>
      <c r="BZ247" s="58">
        <f t="shared" si="167"/>
        <v>0</v>
      </c>
      <c r="CA247" s="17" t="s">
        <v>130</v>
      </c>
      <c r="CB247" s="31">
        <v>80</v>
      </c>
      <c r="CC247" s="31">
        <v>280</v>
      </c>
      <c r="CD247" s="31">
        <v>280</v>
      </c>
      <c r="CE247" s="31">
        <f t="shared" si="183"/>
        <v>640</v>
      </c>
      <c r="CF247" s="58">
        <f t="shared" si="185"/>
        <v>202.5</v>
      </c>
      <c r="CG247" s="58">
        <f t="shared" si="169"/>
        <v>129600</v>
      </c>
      <c r="CH247" s="17" t="s">
        <v>1096</v>
      </c>
      <c r="CI247" s="21">
        <v>0</v>
      </c>
      <c r="CJ247" s="58">
        <v>0</v>
      </c>
      <c r="CK247" s="21">
        <f>IF(Table1[[#This Row],[Check 3 Status]]="Continued", Table1[[#This Row],[Check 3 Students Fall]], 0)</f>
        <v>280</v>
      </c>
      <c r="CL247" s="58">
        <f>Table1[[#This Row],[Check 3 Per Student Savings]]*CK247</f>
        <v>56700</v>
      </c>
      <c r="CM247" s="21">
        <f>IF(Table1[[#This Row],[Check 3 Status]]="Continued", Table1[[#This Row],[Check 3 Students Spring]], 0)</f>
        <v>280</v>
      </c>
      <c r="CN247" s="58">
        <f>Table1[[#This Row],[Check 3 Per Student Savings]]*CM247</f>
        <v>56700</v>
      </c>
      <c r="CO247" s="21">
        <f t="shared" si="170"/>
        <v>560</v>
      </c>
      <c r="CP247" s="58">
        <f t="shared" si="171"/>
        <v>113400</v>
      </c>
      <c r="CQ247" s="58" t="s">
        <v>130</v>
      </c>
      <c r="CR247" s="21">
        <v>80</v>
      </c>
      <c r="CS247" s="21">
        <v>280</v>
      </c>
      <c r="CT247" s="21">
        <v>280</v>
      </c>
      <c r="CU247" s="21">
        <f t="shared" si="172"/>
        <v>640</v>
      </c>
      <c r="CV247" s="58">
        <v>202.5</v>
      </c>
      <c r="CW247" s="58">
        <f t="shared" si="173"/>
        <v>129600</v>
      </c>
      <c r="CX247" s="58"/>
      <c r="CY247" s="21">
        <f>IF(Table1[[#This Row],[Check 4 Status]]="Continued", Table1[[#This Row],[Check 4 Students Summer]], 0)</f>
        <v>80</v>
      </c>
      <c r="CZ247" s="58">
        <f>Table1[[#This Row],[Check 4 Per Student Savings]]*CY247</f>
        <v>16200</v>
      </c>
      <c r="DA247" s="21">
        <f>IF(Table1[[#This Row],[Check 4 Status]]="Continued", Table1[[#This Row],[Check 4 Students Fall]], 0)</f>
        <v>280</v>
      </c>
      <c r="DB247" s="58">
        <f>Table1[[#This Row],[Check 4 Per Student Savings]]*DA247</f>
        <v>56700</v>
      </c>
      <c r="DC247" s="21">
        <f>IF(Table1[[#This Row],[Check 4 Status]]="Continued", Table1[[#This Row],[Check 4 Students Spring]], 0)</f>
        <v>280</v>
      </c>
      <c r="DD247" s="58">
        <f>Table1[[#This Row],[Check 4 Per Student Savings]]*DC247</f>
        <v>56700</v>
      </c>
      <c r="DE247" s="58">
        <f t="shared" si="174"/>
        <v>640</v>
      </c>
      <c r="DF247" s="58">
        <f t="shared" si="175"/>
        <v>129600</v>
      </c>
      <c r="DG24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1200</v>
      </c>
      <c r="DH24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243000</v>
      </c>
      <c r="DI247" s="58">
        <f>Table1[[#This Row],[Grand Total Savings]]/Table1[[#This Row],[Total Award]]</f>
        <v>22.5</v>
      </c>
      <c r="DJ247" s="17"/>
      <c r="DK247" s="17"/>
      <c r="DL247" s="17"/>
      <c r="DM247" s="17"/>
      <c r="EC247" s="17"/>
      <c r="ED247" s="17"/>
      <c r="EE247" s="17"/>
      <c r="EF247" s="17"/>
    </row>
    <row r="248" spans="1:136" ht="15.75" thickBot="1" x14ac:dyDescent="0.3">
      <c r="A248" s="186">
        <v>394</v>
      </c>
      <c r="B248" s="17" t="s">
        <v>2011</v>
      </c>
      <c r="D248" s="97">
        <v>515521</v>
      </c>
      <c r="E248" s="178">
        <v>43503</v>
      </c>
      <c r="F248" s="104"/>
      <c r="G248" s="102" t="s">
        <v>1109</v>
      </c>
      <c r="H248" s="102" t="s">
        <v>6</v>
      </c>
      <c r="I248" s="227" t="s">
        <v>118</v>
      </c>
      <c r="J248" s="104" t="s">
        <v>179</v>
      </c>
      <c r="K248" s="180">
        <v>10800</v>
      </c>
      <c r="L248" s="180"/>
      <c r="M248" s="105" t="s">
        <v>905</v>
      </c>
      <c r="N248" s="105" t="s">
        <v>906</v>
      </c>
      <c r="O248" s="105" t="s">
        <v>806</v>
      </c>
      <c r="P248" s="105" t="s">
        <v>1162</v>
      </c>
      <c r="Q248" s="105" t="s">
        <v>776</v>
      </c>
      <c r="R248" s="105" t="s">
        <v>129</v>
      </c>
      <c r="S248" s="105" t="s">
        <v>953</v>
      </c>
      <c r="T248" s="105" t="s">
        <v>953</v>
      </c>
      <c r="U248" s="105" t="s">
        <v>953</v>
      </c>
      <c r="V248" s="104" t="s">
        <v>150</v>
      </c>
      <c r="W248" s="104" t="s">
        <v>150</v>
      </c>
      <c r="X248" s="104" t="s">
        <v>150</v>
      </c>
      <c r="Y248" s="103">
        <v>27714</v>
      </c>
      <c r="Z248" s="104">
        <v>120</v>
      </c>
      <c r="AA248" s="103">
        <v>230.95</v>
      </c>
      <c r="AB248" s="59">
        <v>0</v>
      </c>
      <c r="AC248" s="59">
        <v>60</v>
      </c>
      <c r="AD248" s="59">
        <v>60</v>
      </c>
      <c r="AE248" s="104" t="s">
        <v>595</v>
      </c>
      <c r="AF248" s="104" t="s">
        <v>129</v>
      </c>
      <c r="AG248" s="104"/>
      <c r="AH248" s="104"/>
      <c r="AI248" s="104" t="s">
        <v>130</v>
      </c>
      <c r="AJ248" s="59">
        <v>0</v>
      </c>
      <c r="AK248" s="103">
        <v>0</v>
      </c>
      <c r="AL248" s="59">
        <v>0</v>
      </c>
      <c r="AM248" s="103">
        <f t="shared" si="177"/>
        <v>0</v>
      </c>
      <c r="AN248" s="59">
        <v>0</v>
      </c>
      <c r="AO248" s="103">
        <f t="shared" si="178"/>
        <v>0</v>
      </c>
      <c r="AP248" s="59">
        <v>0</v>
      </c>
      <c r="AQ248" s="103">
        <f t="shared" si="179"/>
        <v>0</v>
      </c>
      <c r="AR248" s="59">
        <v>0</v>
      </c>
      <c r="AS248" s="103">
        <f t="shared" si="180"/>
        <v>0</v>
      </c>
      <c r="AT248" s="59">
        <v>0</v>
      </c>
      <c r="AU248" s="103">
        <f t="shared" si="181"/>
        <v>0</v>
      </c>
      <c r="AV248" s="59">
        <v>0</v>
      </c>
      <c r="AW248" s="103">
        <v>0</v>
      </c>
      <c r="AX248" s="57">
        <v>0</v>
      </c>
      <c r="AY248" s="103">
        <v>0</v>
      </c>
      <c r="AZ248" s="57">
        <v>0</v>
      </c>
      <c r="BA248" s="103">
        <v>0</v>
      </c>
      <c r="BB248" s="57">
        <v>0</v>
      </c>
      <c r="BC248" s="103">
        <v>0</v>
      </c>
      <c r="BD248" s="57">
        <v>0</v>
      </c>
      <c r="BE248" s="103">
        <v>0</v>
      </c>
      <c r="BF248" s="57">
        <v>0</v>
      </c>
      <c r="BG248" s="103">
        <v>0</v>
      </c>
      <c r="BH248" s="57">
        <v>0</v>
      </c>
      <c r="BI248" s="103">
        <v>0</v>
      </c>
      <c r="BJ248" s="57">
        <v>0</v>
      </c>
      <c r="BK248" s="103">
        <v>0</v>
      </c>
      <c r="BL248" s="104" t="s">
        <v>130</v>
      </c>
      <c r="BM248" s="57">
        <v>0</v>
      </c>
      <c r="BN248" s="57">
        <v>60</v>
      </c>
      <c r="BO248" s="57">
        <v>60</v>
      </c>
      <c r="BP248" s="57">
        <f t="shared" si="182"/>
        <v>120</v>
      </c>
      <c r="BQ248" s="103">
        <f t="shared" si="184"/>
        <v>230.95</v>
      </c>
      <c r="BR248" s="103">
        <f>Table1[[#This Row],[Check 2 Students Total]]*Table1[[#This Row],[Summer 2018 Price Check]]</f>
        <v>27714</v>
      </c>
      <c r="BS248" s="57">
        <v>0</v>
      </c>
      <c r="BT248" s="103">
        <f>Table1[[#This Row],[Summer 2018 Price Check]]*BS248</f>
        <v>0</v>
      </c>
      <c r="BU248" s="57">
        <v>0</v>
      </c>
      <c r="BV248" s="103">
        <v>0</v>
      </c>
      <c r="BW248" s="59">
        <f>IF(Table1[[#This Row],[Sustainability Check 2 (2018-2019) Status]]="Continued", Table1[Check 2 Students Spring], 0)</f>
        <v>60</v>
      </c>
      <c r="BX248" s="103">
        <f>Table1[[#This Row],[Summer 2018 Price Check]]*Table1[[#This Row],[Spring 2019 Students]]</f>
        <v>13857</v>
      </c>
      <c r="BY248" s="57">
        <f t="shared" si="166"/>
        <v>60</v>
      </c>
      <c r="BZ248" s="103">
        <f t="shared" si="167"/>
        <v>13857</v>
      </c>
      <c r="CA248" s="104" t="s">
        <v>130</v>
      </c>
      <c r="CB248" s="57">
        <v>0</v>
      </c>
      <c r="CC248" s="57">
        <v>60</v>
      </c>
      <c r="CD248" s="57">
        <v>60</v>
      </c>
      <c r="CE248" s="57">
        <f t="shared" si="183"/>
        <v>120</v>
      </c>
      <c r="CF248" s="103">
        <f t="shared" si="185"/>
        <v>230.95</v>
      </c>
      <c r="CG248" s="103">
        <f t="shared" si="169"/>
        <v>27714</v>
      </c>
      <c r="CH248" s="104" t="s">
        <v>595</v>
      </c>
      <c r="CI248" s="59">
        <f>IF(Table1[[#This Row],[Check 3 Status]]="Continued", Table1[[#This Row],[Check 3 Students Summer]], 0)</f>
        <v>0</v>
      </c>
      <c r="CJ248" s="103">
        <f>Table1[[#This Row],[Check 3 Per Student Savings]]*CI248</f>
        <v>0</v>
      </c>
      <c r="CK248" s="59">
        <f>IF(Table1[[#This Row],[Check 3 Status]]="Continued", Table1[[#This Row],[Check 3 Students Fall]], 0)</f>
        <v>60</v>
      </c>
      <c r="CL248" s="103">
        <f>Table1[[#This Row],[Check 3 Per Student Savings]]*CK248</f>
        <v>13857</v>
      </c>
      <c r="CM248" s="59">
        <f>IF(Table1[[#This Row],[Check 3 Status]]="Continued", Table1[[#This Row],[Check 3 Students Spring]], 0)</f>
        <v>60</v>
      </c>
      <c r="CN248" s="103">
        <f>Table1[[#This Row],[Check 3 Per Student Savings]]*CM248</f>
        <v>13857</v>
      </c>
      <c r="CO248" s="59">
        <f t="shared" si="170"/>
        <v>120</v>
      </c>
      <c r="CP248" s="103">
        <f t="shared" si="171"/>
        <v>27714</v>
      </c>
      <c r="CQ248" s="103" t="s">
        <v>130</v>
      </c>
      <c r="CR248" s="59">
        <v>0</v>
      </c>
      <c r="CS248" s="59">
        <v>60</v>
      </c>
      <c r="CT248" s="59">
        <v>60</v>
      </c>
      <c r="CU248" s="59">
        <f t="shared" si="172"/>
        <v>120</v>
      </c>
      <c r="CV248" s="103">
        <v>230.95</v>
      </c>
      <c r="CW248" s="103">
        <f t="shared" si="173"/>
        <v>27714</v>
      </c>
      <c r="CX248" s="103"/>
      <c r="CY248" s="21">
        <f>IF(Table1[[#This Row],[Check 4 Status]]="Continued", Table1[[#This Row],[Check 4 Students Summer]], 0)</f>
        <v>0</v>
      </c>
      <c r="CZ248" s="58">
        <f>Table1[[#This Row],[Check 4 Per Student Savings]]*CY248</f>
        <v>0</v>
      </c>
      <c r="DA248" s="59">
        <f>IF(Table1[[#This Row],[Check 4 Status]]="Continued", Table1[[#This Row],[Check 4 Students Fall]], 0)</f>
        <v>60</v>
      </c>
      <c r="DB248" s="103">
        <f>Table1[[#This Row],[Check 4 Per Student Savings]]*DA248</f>
        <v>13857</v>
      </c>
      <c r="DC248" s="21">
        <f>IF(Table1[[#This Row],[Check 4 Status]]="Continued", Table1[[#This Row],[Check 4 Students Spring]], 0)</f>
        <v>60</v>
      </c>
      <c r="DD248" s="58">
        <f>Table1[[#This Row],[Check 4 Per Student Savings]]*DC248</f>
        <v>13857</v>
      </c>
      <c r="DE248" s="58">
        <f t="shared" si="174"/>
        <v>120</v>
      </c>
      <c r="DF248" s="58">
        <f t="shared" si="175"/>
        <v>27714</v>
      </c>
      <c r="DG24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300</v>
      </c>
      <c r="DH24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69285</v>
      </c>
      <c r="DI248" s="103">
        <f>Table1[[#This Row],[Grand Total Savings]]/Table1[[#This Row],[Total Award]]</f>
        <v>6.4152777777777779</v>
      </c>
      <c r="DJ248" s="17"/>
      <c r="DK248" s="17"/>
      <c r="DL248" s="17"/>
      <c r="DM248" s="17"/>
      <c r="EC248" s="17"/>
      <c r="ED248" s="17"/>
      <c r="EE248" s="17"/>
      <c r="EF248" s="17"/>
    </row>
    <row r="249" spans="1:136" ht="15.75" thickBot="1" x14ac:dyDescent="0.3">
      <c r="A249" s="185">
        <v>396</v>
      </c>
      <c r="B249" s="17" t="s">
        <v>2011</v>
      </c>
      <c r="D249" s="97">
        <v>515302</v>
      </c>
      <c r="E249" s="158">
        <v>43472</v>
      </c>
      <c r="G249" s="95" t="s">
        <v>1109</v>
      </c>
      <c r="H249" s="95" t="s">
        <v>6</v>
      </c>
      <c r="I249" s="226" t="s">
        <v>118</v>
      </c>
      <c r="J249" s="17" t="s">
        <v>132</v>
      </c>
      <c r="K249" s="107">
        <v>10800</v>
      </c>
      <c r="L249" s="107"/>
      <c r="M249" s="101" t="s">
        <v>1163</v>
      </c>
      <c r="N249" s="101" t="s">
        <v>1164</v>
      </c>
      <c r="O249" s="101" t="s">
        <v>1165</v>
      </c>
      <c r="P249" s="101" t="s">
        <v>1166</v>
      </c>
      <c r="Q249" s="101" t="s">
        <v>530</v>
      </c>
      <c r="R249" s="101" t="s">
        <v>1167</v>
      </c>
      <c r="S249" s="101" t="s">
        <v>953</v>
      </c>
      <c r="T249" s="101" t="s">
        <v>953</v>
      </c>
      <c r="U249" s="101" t="s">
        <v>953</v>
      </c>
      <c r="V249" s="17" t="s">
        <v>150</v>
      </c>
      <c r="W249" s="17" t="s">
        <v>150</v>
      </c>
      <c r="X249" s="17" t="s">
        <v>150</v>
      </c>
      <c r="Y249" s="58">
        <v>54885</v>
      </c>
      <c r="Z249" s="17">
        <v>300</v>
      </c>
      <c r="AA249" s="58">
        <v>182.95</v>
      </c>
      <c r="AB249" s="21">
        <v>40</v>
      </c>
      <c r="AC249" s="21">
        <v>140</v>
      </c>
      <c r="AD249" s="21">
        <v>120</v>
      </c>
      <c r="AE249" s="17" t="s">
        <v>1096</v>
      </c>
      <c r="AF249" s="17" t="s">
        <v>129</v>
      </c>
      <c r="AG249" s="17"/>
      <c r="AI249" s="17" t="s">
        <v>130</v>
      </c>
      <c r="AJ249" s="21">
        <v>0</v>
      </c>
      <c r="AK249" s="58">
        <v>0</v>
      </c>
      <c r="AL249" s="21">
        <v>0</v>
      </c>
      <c r="AM249" s="58">
        <f t="shared" si="177"/>
        <v>0</v>
      </c>
      <c r="AN249" s="21">
        <v>0</v>
      </c>
      <c r="AO249" s="58">
        <f t="shared" si="178"/>
        <v>0</v>
      </c>
      <c r="AP249" s="21">
        <v>0</v>
      </c>
      <c r="AQ249" s="58">
        <f t="shared" si="179"/>
        <v>0</v>
      </c>
      <c r="AR249" s="21">
        <v>0</v>
      </c>
      <c r="AS249" s="58">
        <f t="shared" si="180"/>
        <v>0</v>
      </c>
      <c r="AT249" s="21">
        <v>0</v>
      </c>
      <c r="AU249" s="58">
        <f t="shared" si="181"/>
        <v>0</v>
      </c>
      <c r="AV249" s="21">
        <v>0</v>
      </c>
      <c r="AW249" s="58">
        <v>0</v>
      </c>
      <c r="AX249" s="31">
        <v>0</v>
      </c>
      <c r="AY249" s="58">
        <v>0</v>
      </c>
      <c r="AZ249" s="31">
        <v>0</v>
      </c>
      <c r="BA249" s="58">
        <v>0</v>
      </c>
      <c r="BB249" s="31">
        <v>0</v>
      </c>
      <c r="BC249" s="58">
        <v>0</v>
      </c>
      <c r="BD249" s="31">
        <v>0</v>
      </c>
      <c r="BE249" s="58">
        <v>0</v>
      </c>
      <c r="BF249" s="31">
        <v>0</v>
      </c>
      <c r="BG249" s="58">
        <v>0</v>
      </c>
      <c r="BH249" s="31">
        <v>0</v>
      </c>
      <c r="BI249" s="58">
        <v>0</v>
      </c>
      <c r="BJ249" s="31">
        <v>0</v>
      </c>
      <c r="BK249" s="58">
        <v>0</v>
      </c>
      <c r="BL249" s="17" t="s">
        <v>130</v>
      </c>
      <c r="BM249" s="31">
        <v>40</v>
      </c>
      <c r="BN249" s="31">
        <v>140</v>
      </c>
      <c r="BO249" s="31">
        <v>120</v>
      </c>
      <c r="BP249" s="31">
        <f t="shared" si="182"/>
        <v>300</v>
      </c>
      <c r="BQ249" s="58">
        <f t="shared" si="184"/>
        <v>182.95</v>
      </c>
      <c r="BR249" s="58">
        <f>Table1[[#This Row],[Check 2 Students Total]]*Table1[[#This Row],[Summer 2018 Price Check]]</f>
        <v>54885</v>
      </c>
      <c r="BS249" s="31">
        <v>0</v>
      </c>
      <c r="BT249" s="58">
        <f>Table1[[#This Row],[Summer 2018 Price Check]]*BS249</f>
        <v>0</v>
      </c>
      <c r="BU249" s="31">
        <v>0</v>
      </c>
      <c r="BV249" s="58">
        <v>0</v>
      </c>
      <c r="BW249" s="21">
        <v>0</v>
      </c>
      <c r="BX249" s="58">
        <f>Table1[[#This Row],[Summer 2018 Price Check]]*Table1[[#This Row],[Spring 2019 Students]]</f>
        <v>0</v>
      </c>
      <c r="BY249" s="31">
        <f t="shared" si="166"/>
        <v>0</v>
      </c>
      <c r="BZ249" s="58">
        <f t="shared" si="167"/>
        <v>0</v>
      </c>
      <c r="CA249" s="17" t="s">
        <v>130</v>
      </c>
      <c r="CB249" s="31">
        <v>40</v>
      </c>
      <c r="CC249" s="31">
        <v>140</v>
      </c>
      <c r="CD249" s="31">
        <v>120</v>
      </c>
      <c r="CE249" s="31">
        <f t="shared" si="183"/>
        <v>300</v>
      </c>
      <c r="CF249" s="58">
        <f t="shared" si="185"/>
        <v>182.95</v>
      </c>
      <c r="CG249" s="58">
        <f t="shared" si="169"/>
        <v>54885</v>
      </c>
      <c r="CH249" s="17" t="s">
        <v>1096</v>
      </c>
      <c r="CI249" s="21">
        <v>0</v>
      </c>
      <c r="CJ249" s="58">
        <v>0</v>
      </c>
      <c r="CK249" s="21">
        <f>IF(Table1[[#This Row],[Check 3 Status]]="Continued", Table1[[#This Row],[Check 3 Students Fall]], 0)</f>
        <v>140</v>
      </c>
      <c r="CL249" s="58">
        <f>Table1[[#This Row],[Check 3 Per Student Savings]]*CK249</f>
        <v>25613</v>
      </c>
      <c r="CM249" s="21">
        <f>IF(Table1[[#This Row],[Check 3 Status]]="Continued", Table1[[#This Row],[Check 3 Students Spring]], 0)</f>
        <v>120</v>
      </c>
      <c r="CN249" s="58">
        <f>Table1[[#This Row],[Check 3 Per Student Savings]]*CM249</f>
        <v>21954</v>
      </c>
      <c r="CO249" s="21">
        <f t="shared" si="170"/>
        <v>260</v>
      </c>
      <c r="CP249" s="58">
        <f t="shared" si="171"/>
        <v>47567</v>
      </c>
      <c r="CQ249" s="58" t="s">
        <v>130</v>
      </c>
      <c r="CR249" s="21">
        <v>40</v>
      </c>
      <c r="CS249" s="21">
        <v>140</v>
      </c>
      <c r="CT249" s="21">
        <v>120</v>
      </c>
      <c r="CU249" s="21">
        <f t="shared" si="172"/>
        <v>300</v>
      </c>
      <c r="CV249" s="58">
        <v>182.95</v>
      </c>
      <c r="CW249" s="58">
        <f t="shared" si="173"/>
        <v>54885</v>
      </c>
      <c r="CX249" s="58"/>
      <c r="CY249" s="21">
        <f>IF(Table1[[#This Row],[Check 4 Status]]="Continued", Table1[[#This Row],[Check 4 Students Summer]], 0)</f>
        <v>40</v>
      </c>
      <c r="CZ249" s="58">
        <f>Table1[[#This Row],[Check 4 Per Student Savings]]*CY249</f>
        <v>7318</v>
      </c>
      <c r="DA249" s="21">
        <f>IF(Table1[[#This Row],[Check 4 Status]]="Continued", Table1[[#This Row],[Check 4 Students Fall]], 0)</f>
        <v>140</v>
      </c>
      <c r="DB249" s="58">
        <f>Table1[[#This Row],[Check 4 Per Student Savings]]*DA249</f>
        <v>25613</v>
      </c>
      <c r="DC249" s="21">
        <f>IF(Table1[[#This Row],[Check 4 Status]]="Continued", Table1[[#This Row],[Check 4 Students Spring]], 0)</f>
        <v>120</v>
      </c>
      <c r="DD249" s="58">
        <f>Table1[[#This Row],[Check 4 Per Student Savings]]*DC249</f>
        <v>21954</v>
      </c>
      <c r="DE249" s="58">
        <f t="shared" si="174"/>
        <v>300</v>
      </c>
      <c r="DF249" s="58">
        <f t="shared" si="175"/>
        <v>54885</v>
      </c>
      <c r="DG24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560</v>
      </c>
      <c r="DH24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102452</v>
      </c>
      <c r="DI249" s="58">
        <f>Table1[[#This Row],[Grand Total Savings]]/Table1[[#This Row],[Total Award]]</f>
        <v>9.4862962962962971</v>
      </c>
      <c r="DJ249" s="17"/>
      <c r="DK249" s="17"/>
      <c r="DL249" s="17"/>
      <c r="DM249" s="17"/>
      <c r="EC249" s="17"/>
      <c r="ED249" s="17"/>
      <c r="EE249" s="17"/>
      <c r="EF249" s="17"/>
    </row>
    <row r="250" spans="1:136" s="104" customFormat="1" ht="15.75" thickBot="1" x14ac:dyDescent="0.3">
      <c r="A250" s="185">
        <v>397</v>
      </c>
      <c r="B250" s="17" t="s">
        <v>2011</v>
      </c>
      <c r="C250" s="17"/>
      <c r="D250" s="97">
        <v>515348</v>
      </c>
      <c r="E250" s="158">
        <v>43480</v>
      </c>
      <c r="F250" s="17"/>
      <c r="G250" s="95" t="s">
        <v>1109</v>
      </c>
      <c r="H250" s="95" t="s">
        <v>6</v>
      </c>
      <c r="I250" s="226" t="s">
        <v>118</v>
      </c>
      <c r="J250" s="17" t="s">
        <v>276</v>
      </c>
      <c r="K250" s="107">
        <v>10800</v>
      </c>
      <c r="L250" s="107"/>
      <c r="M250" s="101" t="s">
        <v>1168</v>
      </c>
      <c r="N250" s="101" t="s">
        <v>1169</v>
      </c>
      <c r="O250" s="101" t="s">
        <v>1170</v>
      </c>
      <c r="P250" s="101" t="s">
        <v>1171</v>
      </c>
      <c r="Q250" s="101" t="s">
        <v>137</v>
      </c>
      <c r="R250" s="101" t="s">
        <v>129</v>
      </c>
      <c r="S250" s="101" t="s">
        <v>953</v>
      </c>
      <c r="T250" s="101" t="s">
        <v>953</v>
      </c>
      <c r="U250" s="101" t="s">
        <v>953</v>
      </c>
      <c r="V250" s="17" t="s">
        <v>150</v>
      </c>
      <c r="W250" s="17" t="s">
        <v>150</v>
      </c>
      <c r="X250" s="17" t="s">
        <v>150</v>
      </c>
      <c r="Y250" s="58">
        <v>18788.25</v>
      </c>
      <c r="Z250" s="17">
        <v>235</v>
      </c>
      <c r="AA250" s="58">
        <v>79.95</v>
      </c>
      <c r="AB250" s="21">
        <v>50</v>
      </c>
      <c r="AC250" s="21">
        <v>50</v>
      </c>
      <c r="AD250" s="21">
        <v>135</v>
      </c>
      <c r="AE250" s="17" t="s">
        <v>1133</v>
      </c>
      <c r="AF250" s="17" t="s">
        <v>129</v>
      </c>
      <c r="AG250" s="17"/>
      <c r="AH250" s="17"/>
      <c r="AI250" s="17" t="s">
        <v>130</v>
      </c>
      <c r="AJ250" s="21">
        <v>0</v>
      </c>
      <c r="AK250" s="58">
        <v>0</v>
      </c>
      <c r="AL250" s="21">
        <v>0</v>
      </c>
      <c r="AM250" s="58">
        <f t="shared" si="177"/>
        <v>0</v>
      </c>
      <c r="AN250" s="21">
        <v>0</v>
      </c>
      <c r="AO250" s="58">
        <f t="shared" si="178"/>
        <v>0</v>
      </c>
      <c r="AP250" s="21">
        <v>0</v>
      </c>
      <c r="AQ250" s="58">
        <f t="shared" si="179"/>
        <v>0</v>
      </c>
      <c r="AR250" s="21">
        <v>0</v>
      </c>
      <c r="AS250" s="58">
        <f t="shared" si="180"/>
        <v>0</v>
      </c>
      <c r="AT250" s="21">
        <v>0</v>
      </c>
      <c r="AU250" s="58">
        <f t="shared" si="181"/>
        <v>0</v>
      </c>
      <c r="AV250" s="21">
        <v>0</v>
      </c>
      <c r="AW250" s="58">
        <v>0</v>
      </c>
      <c r="AX250" s="31">
        <v>0</v>
      </c>
      <c r="AY250" s="58">
        <v>0</v>
      </c>
      <c r="AZ250" s="31">
        <v>0</v>
      </c>
      <c r="BA250" s="58">
        <v>0</v>
      </c>
      <c r="BB250" s="31">
        <v>0</v>
      </c>
      <c r="BC250" s="58">
        <v>0</v>
      </c>
      <c r="BD250" s="31">
        <v>0</v>
      </c>
      <c r="BE250" s="58">
        <v>0</v>
      </c>
      <c r="BF250" s="31">
        <v>0</v>
      </c>
      <c r="BG250" s="58">
        <v>0</v>
      </c>
      <c r="BH250" s="31">
        <v>0</v>
      </c>
      <c r="BI250" s="58">
        <v>0</v>
      </c>
      <c r="BJ250" s="31">
        <v>0</v>
      </c>
      <c r="BK250" s="58">
        <v>0</v>
      </c>
      <c r="BL250" s="17" t="s">
        <v>130</v>
      </c>
      <c r="BM250" s="31">
        <v>50</v>
      </c>
      <c r="BN250" s="31">
        <v>50</v>
      </c>
      <c r="BO250" s="31">
        <v>135</v>
      </c>
      <c r="BP250" s="31">
        <f t="shared" si="182"/>
        <v>235</v>
      </c>
      <c r="BQ250" s="58">
        <f t="shared" si="184"/>
        <v>79.95</v>
      </c>
      <c r="BR250" s="58">
        <f>Table1[[#This Row],[Check 2 Students Total]]*Table1[[#This Row],[Summer 2018 Price Check]]</f>
        <v>18788.25</v>
      </c>
      <c r="BS250" s="31">
        <v>0</v>
      </c>
      <c r="BT250" s="58">
        <f>Table1[[#This Row],[Summer 2018 Price Check]]*BS250</f>
        <v>0</v>
      </c>
      <c r="BU250" s="31">
        <v>0</v>
      </c>
      <c r="BV250" s="58">
        <v>0</v>
      </c>
      <c r="BW250" s="21">
        <v>0</v>
      </c>
      <c r="BX250" s="58">
        <f>Table1[[#This Row],[Summer 2018 Price Check]]*Table1[[#This Row],[Spring 2019 Students]]</f>
        <v>0</v>
      </c>
      <c r="BY250" s="31">
        <f t="shared" si="166"/>
        <v>0</v>
      </c>
      <c r="BZ250" s="58">
        <f t="shared" si="167"/>
        <v>0</v>
      </c>
      <c r="CA250" s="17" t="s">
        <v>130</v>
      </c>
      <c r="CB250" s="31">
        <v>50</v>
      </c>
      <c r="CC250" s="31">
        <v>50</v>
      </c>
      <c r="CD250" s="31">
        <v>135</v>
      </c>
      <c r="CE250" s="31">
        <f t="shared" si="183"/>
        <v>235</v>
      </c>
      <c r="CF250" s="58">
        <f t="shared" si="185"/>
        <v>79.95</v>
      </c>
      <c r="CG250" s="58">
        <f t="shared" si="169"/>
        <v>18788.25</v>
      </c>
      <c r="CH250" s="17" t="s">
        <v>1133</v>
      </c>
      <c r="CI250" s="21">
        <f>IF(Table1[[#This Row],[Check 3 Status]]="Continued", Table1[[#This Row],[Check 3 Students Summer]], 0)</f>
        <v>50</v>
      </c>
      <c r="CJ250" s="58">
        <f>Table1[[#This Row],[Check 3 Per Student Savings]]*CI250</f>
        <v>3997.5</v>
      </c>
      <c r="CK250" s="21">
        <f>IF(Table1[[#This Row],[Check 3 Status]]="Continued", Table1[[#This Row],[Check 3 Students Fall]], 0)</f>
        <v>50</v>
      </c>
      <c r="CL250" s="58">
        <f>Table1[[#This Row],[Check 3 Per Student Savings]]*CK250</f>
        <v>3997.5</v>
      </c>
      <c r="CM250" s="21">
        <f>IF(Table1[[#This Row],[Check 3 Status]]="Continued", Table1[[#This Row],[Check 3 Students Spring]], 0)</f>
        <v>135</v>
      </c>
      <c r="CN250" s="58">
        <f>Table1[[#This Row],[Check 3 Per Student Savings]]*CM250</f>
        <v>10793.25</v>
      </c>
      <c r="CO250" s="21">
        <f t="shared" si="170"/>
        <v>235</v>
      </c>
      <c r="CP250" s="58">
        <f t="shared" si="171"/>
        <v>18788.25</v>
      </c>
      <c r="CQ250" s="58" t="s">
        <v>130</v>
      </c>
      <c r="CR250" s="21">
        <v>50</v>
      </c>
      <c r="CS250" s="21">
        <v>50</v>
      </c>
      <c r="CT250" s="21">
        <v>135</v>
      </c>
      <c r="CU250" s="21">
        <f t="shared" si="172"/>
        <v>235</v>
      </c>
      <c r="CV250" s="58">
        <v>79.95</v>
      </c>
      <c r="CW250" s="58">
        <f t="shared" si="173"/>
        <v>18788.25</v>
      </c>
      <c r="CX250" s="58"/>
      <c r="CY250" s="21">
        <f>IF(Table1[[#This Row],[Check 4 Status]]="Continued", Table1[[#This Row],[Check 4 Students Summer]], 0)</f>
        <v>50</v>
      </c>
      <c r="CZ250" s="58">
        <f>Table1[[#This Row],[Check 4 Per Student Savings]]*CY250</f>
        <v>3997.5</v>
      </c>
      <c r="DA250" s="21">
        <f>IF(Table1[[#This Row],[Check 4 Status]]="Continued", Table1[[#This Row],[Check 4 Students Fall]], 0)</f>
        <v>50</v>
      </c>
      <c r="DB250" s="58">
        <f>Table1[[#This Row],[Check 4 Per Student Savings]]*DA250</f>
        <v>3997.5</v>
      </c>
      <c r="DC250" s="21">
        <f>IF(Table1[[#This Row],[Check 4 Status]]="Continued", Table1[[#This Row],[Check 4 Students Spring]], 0)</f>
        <v>135</v>
      </c>
      <c r="DD250" s="58">
        <f>Table1[[#This Row],[Check 4 Per Student Savings]]*DC250</f>
        <v>10793.25</v>
      </c>
      <c r="DE250" s="58">
        <f t="shared" si="174"/>
        <v>235</v>
      </c>
      <c r="DF250" s="58">
        <f t="shared" si="175"/>
        <v>18788.25</v>
      </c>
      <c r="DG25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470</v>
      </c>
      <c r="DH25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37576.5</v>
      </c>
      <c r="DI250" s="58">
        <f>Table1[[#This Row],[Grand Total Savings]]/Table1[[#This Row],[Total Award]]</f>
        <v>3.4793055555555554</v>
      </c>
    </row>
    <row r="251" spans="1:136" ht="15.75" thickBot="1" x14ac:dyDescent="0.3">
      <c r="A251" s="185">
        <v>399</v>
      </c>
      <c r="B251" s="17" t="s">
        <v>2011</v>
      </c>
      <c r="D251" s="97" t="s">
        <v>1172</v>
      </c>
      <c r="E251" s="158" t="s">
        <v>1173</v>
      </c>
      <c r="G251" s="95" t="s">
        <v>1109</v>
      </c>
      <c r="H251" s="95" t="s">
        <v>6</v>
      </c>
      <c r="I251" s="226" t="s">
        <v>118</v>
      </c>
      <c r="J251" s="17" t="s">
        <v>276</v>
      </c>
      <c r="K251" s="107">
        <v>8800</v>
      </c>
      <c r="L251" s="107"/>
      <c r="M251" s="101" t="s">
        <v>512</v>
      </c>
      <c r="N251" s="101" t="s">
        <v>513</v>
      </c>
      <c r="O251" s="101" t="s">
        <v>1174</v>
      </c>
      <c r="P251" s="101" t="s">
        <v>1175</v>
      </c>
      <c r="Q251" s="101" t="s">
        <v>206</v>
      </c>
      <c r="R251" s="101" t="s">
        <v>1174</v>
      </c>
      <c r="S251" s="101" t="s">
        <v>953</v>
      </c>
      <c r="T251" s="101" t="s">
        <v>953</v>
      </c>
      <c r="U251" s="101" t="s">
        <v>953</v>
      </c>
      <c r="V251" s="17" t="s">
        <v>140</v>
      </c>
      <c r="W251" s="17" t="s">
        <v>140</v>
      </c>
      <c r="X251" s="17" t="s">
        <v>140</v>
      </c>
      <c r="Y251" s="58">
        <v>8668</v>
      </c>
      <c r="Z251" s="17">
        <v>120</v>
      </c>
      <c r="AA251" s="58">
        <v>69.16</v>
      </c>
      <c r="AB251" s="21">
        <v>40</v>
      </c>
      <c r="AC251" s="21">
        <v>40</v>
      </c>
      <c r="AD251" s="21">
        <v>40</v>
      </c>
      <c r="AE251" s="17" t="s">
        <v>1096</v>
      </c>
      <c r="AF251" s="17" t="s">
        <v>129</v>
      </c>
      <c r="AG251" s="17"/>
      <c r="AI251" s="17" t="s">
        <v>130</v>
      </c>
      <c r="AJ251" s="21">
        <v>0</v>
      </c>
      <c r="AK251" s="58">
        <v>0</v>
      </c>
      <c r="AL251" s="21">
        <v>0</v>
      </c>
      <c r="AM251" s="58">
        <f t="shared" si="177"/>
        <v>0</v>
      </c>
      <c r="AN251" s="21">
        <v>0</v>
      </c>
      <c r="AO251" s="58">
        <f t="shared" si="178"/>
        <v>0</v>
      </c>
      <c r="AP251" s="21">
        <v>0</v>
      </c>
      <c r="AQ251" s="58">
        <f t="shared" si="179"/>
        <v>0</v>
      </c>
      <c r="AR251" s="21">
        <v>0</v>
      </c>
      <c r="AS251" s="58">
        <f t="shared" si="180"/>
        <v>0</v>
      </c>
      <c r="AT251" s="21">
        <v>0</v>
      </c>
      <c r="AU251" s="58">
        <f t="shared" si="181"/>
        <v>0</v>
      </c>
      <c r="AV251" s="21">
        <v>0</v>
      </c>
      <c r="AW251" s="58">
        <v>0</v>
      </c>
      <c r="AX251" s="31">
        <v>0</v>
      </c>
      <c r="AY251" s="58">
        <v>0</v>
      </c>
      <c r="AZ251" s="31">
        <v>0</v>
      </c>
      <c r="BA251" s="58">
        <v>0</v>
      </c>
      <c r="BB251" s="31">
        <v>0</v>
      </c>
      <c r="BC251" s="58">
        <v>0</v>
      </c>
      <c r="BD251" s="31">
        <v>0</v>
      </c>
      <c r="BE251" s="58">
        <v>0</v>
      </c>
      <c r="BF251" s="31">
        <v>0</v>
      </c>
      <c r="BG251" s="58">
        <v>0</v>
      </c>
      <c r="BH251" s="31">
        <v>0</v>
      </c>
      <c r="BI251" s="58">
        <v>0</v>
      </c>
      <c r="BJ251" s="31">
        <v>0</v>
      </c>
      <c r="BK251" s="58">
        <v>0</v>
      </c>
      <c r="BL251" s="17" t="s">
        <v>130</v>
      </c>
      <c r="BM251" s="31">
        <v>40</v>
      </c>
      <c r="BN251" s="31">
        <v>40</v>
      </c>
      <c r="BO251" s="31">
        <v>40</v>
      </c>
      <c r="BP251" s="31">
        <f t="shared" si="182"/>
        <v>120</v>
      </c>
      <c r="BQ251" s="58">
        <f t="shared" si="184"/>
        <v>69.16</v>
      </c>
      <c r="BR251" s="58">
        <f>Table1[[#This Row],[Check 2 Students Total]]*Table1[[#This Row],[Summer 2018 Price Check]]</f>
        <v>8299.1999999999989</v>
      </c>
      <c r="BS251" s="31">
        <v>0</v>
      </c>
      <c r="BT251" s="58">
        <f>Table1[[#This Row],[Summer 2018 Price Check]]*BS251</f>
        <v>0</v>
      </c>
      <c r="BU251" s="31">
        <v>0</v>
      </c>
      <c r="BV251" s="58">
        <v>0</v>
      </c>
      <c r="BW251" s="21">
        <v>0</v>
      </c>
      <c r="BX251" s="58">
        <f>Table1[[#This Row],[Summer 2018 Price Check]]*Table1[[#This Row],[Spring 2019 Students]]</f>
        <v>0</v>
      </c>
      <c r="BY251" s="31">
        <f t="shared" si="166"/>
        <v>0</v>
      </c>
      <c r="BZ251" s="58">
        <f t="shared" si="167"/>
        <v>0</v>
      </c>
      <c r="CA251" s="17" t="s">
        <v>130</v>
      </c>
      <c r="CB251" s="31">
        <v>40</v>
      </c>
      <c r="CC251" s="31">
        <v>40</v>
      </c>
      <c r="CD251" s="31">
        <v>40</v>
      </c>
      <c r="CE251" s="31">
        <f t="shared" si="183"/>
        <v>120</v>
      </c>
      <c r="CF251" s="58">
        <f t="shared" si="185"/>
        <v>69.16</v>
      </c>
      <c r="CG251" s="58">
        <f t="shared" si="169"/>
        <v>8299.1999999999989</v>
      </c>
      <c r="CH251" s="17" t="s">
        <v>1096</v>
      </c>
      <c r="CI251" s="21">
        <v>0</v>
      </c>
      <c r="CJ251" s="58">
        <v>0</v>
      </c>
      <c r="CK251" s="21">
        <f>IF(Table1[[#This Row],[Check 3 Status]]="Continued", Table1[[#This Row],[Check 3 Students Fall]], 0)</f>
        <v>40</v>
      </c>
      <c r="CL251" s="58">
        <f>Table1[[#This Row],[Check 3 Per Student Savings]]*CK251</f>
        <v>2766.3999999999996</v>
      </c>
      <c r="CM251" s="21">
        <f>IF(Table1[[#This Row],[Check 3 Status]]="Continued", Table1[[#This Row],[Check 3 Students Spring]], 0)</f>
        <v>40</v>
      </c>
      <c r="CN251" s="58">
        <f>Table1[[#This Row],[Check 3 Per Student Savings]]*CM251</f>
        <v>2766.3999999999996</v>
      </c>
      <c r="CO251" s="21">
        <f t="shared" si="170"/>
        <v>80</v>
      </c>
      <c r="CP251" s="58">
        <f t="shared" si="171"/>
        <v>5532.7999999999993</v>
      </c>
      <c r="CQ251" s="58" t="s">
        <v>130</v>
      </c>
      <c r="CR251" s="21">
        <v>40</v>
      </c>
      <c r="CS251" s="21">
        <v>40</v>
      </c>
      <c r="CT251" s="21">
        <v>40</v>
      </c>
      <c r="CU251" s="21">
        <f t="shared" si="172"/>
        <v>120</v>
      </c>
      <c r="CV251" s="58">
        <v>69.16</v>
      </c>
      <c r="CW251" s="58">
        <f t="shared" si="173"/>
        <v>8299.1999999999989</v>
      </c>
      <c r="CX251" s="58"/>
      <c r="CY251" s="21">
        <f>IF(Table1[[#This Row],[Check 4 Status]]="Continued", Table1[[#This Row],[Check 4 Students Summer]], 0)</f>
        <v>40</v>
      </c>
      <c r="CZ251" s="58">
        <f>Table1[[#This Row],[Check 4 Per Student Savings]]*CY251</f>
        <v>2766.3999999999996</v>
      </c>
      <c r="DA251" s="21">
        <f>IF(Table1[[#This Row],[Check 4 Status]]="Continued", Table1[[#This Row],[Check 4 Students Fall]], 0)</f>
        <v>40</v>
      </c>
      <c r="DB251" s="58">
        <f>Table1[[#This Row],[Check 4 Per Student Savings]]*DA251</f>
        <v>2766.3999999999996</v>
      </c>
      <c r="DC251" s="21">
        <f>IF(Table1[[#This Row],[Check 4 Status]]="Continued", Table1[[#This Row],[Check 4 Students Spring]], 0)</f>
        <v>40</v>
      </c>
      <c r="DD251" s="58">
        <f>Table1[[#This Row],[Check 4 Per Student Savings]]*DC251</f>
        <v>2766.3999999999996</v>
      </c>
      <c r="DE251" s="58">
        <f t="shared" si="174"/>
        <v>120</v>
      </c>
      <c r="DF251" s="58">
        <f t="shared" si="175"/>
        <v>8299.1999999999989</v>
      </c>
      <c r="DG25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200</v>
      </c>
      <c r="DH25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13831.999999999998</v>
      </c>
      <c r="DI251" s="58">
        <f>Table1[[#This Row],[Grand Total Savings]]/Table1[[#This Row],[Total Award]]</f>
        <v>1.5718181818181816</v>
      </c>
      <c r="DJ251" s="17"/>
      <c r="DK251" s="17"/>
      <c r="DL251" s="17"/>
      <c r="DM251" s="17"/>
      <c r="EC251" s="17"/>
      <c r="ED251" s="17"/>
      <c r="EE251" s="17"/>
      <c r="EF251" s="17"/>
    </row>
    <row r="252" spans="1:136" ht="15.75" thickBot="1" x14ac:dyDescent="0.3">
      <c r="A252" s="185">
        <v>401</v>
      </c>
      <c r="B252" s="17" t="s">
        <v>2011</v>
      </c>
      <c r="D252" s="97">
        <v>515287</v>
      </c>
      <c r="E252" s="158">
        <v>43437</v>
      </c>
      <c r="G252" s="95" t="s">
        <v>1109</v>
      </c>
      <c r="H252" s="95" t="s">
        <v>6</v>
      </c>
      <c r="I252" s="226" t="s">
        <v>118</v>
      </c>
      <c r="J252" s="17" t="s">
        <v>677</v>
      </c>
      <c r="K252" s="107">
        <v>10800</v>
      </c>
      <c r="L252" s="107"/>
      <c r="M252" s="101" t="s">
        <v>1176</v>
      </c>
      <c r="N252" s="101" t="s">
        <v>1177</v>
      </c>
      <c r="O252" s="101" t="s">
        <v>1178</v>
      </c>
      <c r="P252" s="101" t="s">
        <v>1179</v>
      </c>
      <c r="Q252" s="101" t="s">
        <v>148</v>
      </c>
      <c r="R252" s="101" t="s">
        <v>1180</v>
      </c>
      <c r="S252" s="101" t="s">
        <v>953</v>
      </c>
      <c r="T252" s="101" t="s">
        <v>953</v>
      </c>
      <c r="U252" s="101" t="s">
        <v>953</v>
      </c>
      <c r="V252" s="17" t="s">
        <v>150</v>
      </c>
      <c r="W252" s="17" t="s">
        <v>140</v>
      </c>
      <c r="X252" s="17" t="s">
        <v>140</v>
      </c>
      <c r="Y252" s="58">
        <v>219912</v>
      </c>
      <c r="Z252" s="17">
        <v>924</v>
      </c>
      <c r="AA252" s="58">
        <v>238</v>
      </c>
      <c r="AB252" s="21">
        <v>308</v>
      </c>
      <c r="AC252" s="21">
        <v>308</v>
      </c>
      <c r="AD252" s="21">
        <v>308</v>
      </c>
      <c r="AE252" s="17" t="s">
        <v>1096</v>
      </c>
      <c r="AF252" s="17" t="s">
        <v>129</v>
      </c>
      <c r="AG252" s="17"/>
      <c r="AI252" s="17" t="s">
        <v>130</v>
      </c>
      <c r="AJ252" s="21">
        <v>0</v>
      </c>
      <c r="AK252" s="58">
        <v>0</v>
      </c>
      <c r="AL252" s="21">
        <v>0</v>
      </c>
      <c r="AM252" s="58">
        <f t="shared" si="177"/>
        <v>0</v>
      </c>
      <c r="AN252" s="21">
        <v>0</v>
      </c>
      <c r="AO252" s="58">
        <f t="shared" si="178"/>
        <v>0</v>
      </c>
      <c r="AP252" s="21">
        <v>0</v>
      </c>
      <c r="AQ252" s="58">
        <f t="shared" si="179"/>
        <v>0</v>
      </c>
      <c r="AR252" s="21">
        <v>0</v>
      </c>
      <c r="AS252" s="58">
        <f t="shared" si="180"/>
        <v>0</v>
      </c>
      <c r="AT252" s="21">
        <v>0</v>
      </c>
      <c r="AU252" s="58">
        <f t="shared" si="181"/>
        <v>0</v>
      </c>
      <c r="AV252" s="21">
        <v>0</v>
      </c>
      <c r="AW252" s="58">
        <v>0</v>
      </c>
      <c r="AX252" s="31">
        <v>0</v>
      </c>
      <c r="AY252" s="58">
        <v>0</v>
      </c>
      <c r="AZ252" s="31">
        <v>0</v>
      </c>
      <c r="BA252" s="58">
        <v>0</v>
      </c>
      <c r="BB252" s="31">
        <v>0</v>
      </c>
      <c r="BC252" s="58">
        <v>0</v>
      </c>
      <c r="BD252" s="31">
        <v>0</v>
      </c>
      <c r="BE252" s="58">
        <v>0</v>
      </c>
      <c r="BF252" s="31">
        <v>0</v>
      </c>
      <c r="BG252" s="58">
        <v>0</v>
      </c>
      <c r="BH252" s="31">
        <v>0</v>
      </c>
      <c r="BI252" s="58">
        <v>0</v>
      </c>
      <c r="BJ252" s="31">
        <v>0</v>
      </c>
      <c r="BK252" s="58">
        <v>0</v>
      </c>
      <c r="BL252" s="17" t="s">
        <v>130</v>
      </c>
      <c r="BM252" s="31">
        <v>308</v>
      </c>
      <c r="BN252" s="31">
        <v>308</v>
      </c>
      <c r="BO252" s="31">
        <v>308</v>
      </c>
      <c r="BP252" s="31"/>
      <c r="BQ252" s="58">
        <f t="shared" si="184"/>
        <v>238</v>
      </c>
      <c r="BR252" s="58">
        <f>Table1[[#This Row],[Check 2 Students Total]]*Table1[[#This Row],[Summer 2018 Price Check]]</f>
        <v>0</v>
      </c>
      <c r="BS252" s="31">
        <v>0</v>
      </c>
      <c r="BT252" s="58">
        <f>Table1[[#This Row],[Summer 2018 Price Check]]*BS252</f>
        <v>0</v>
      </c>
      <c r="BU252" s="31">
        <v>0</v>
      </c>
      <c r="BV252" s="58">
        <v>0</v>
      </c>
      <c r="BW252" s="21">
        <v>0</v>
      </c>
      <c r="BX252" s="58">
        <f>Table1[[#This Row],[Summer 2018 Price Check]]*Table1[[#This Row],[Spring 2019 Students]]</f>
        <v>0</v>
      </c>
      <c r="BY252" s="31">
        <f t="shared" si="166"/>
        <v>0</v>
      </c>
      <c r="BZ252" s="58">
        <f t="shared" si="167"/>
        <v>0</v>
      </c>
      <c r="CA252" s="17" t="s">
        <v>130</v>
      </c>
      <c r="CB252" s="31">
        <v>308</v>
      </c>
      <c r="CC252" s="31">
        <v>308</v>
      </c>
      <c r="CD252" s="31">
        <v>308</v>
      </c>
      <c r="CE252" s="31">
        <f t="shared" si="183"/>
        <v>924</v>
      </c>
      <c r="CF252" s="58">
        <f t="shared" si="185"/>
        <v>238</v>
      </c>
      <c r="CG252" s="58">
        <f t="shared" si="169"/>
        <v>219912</v>
      </c>
      <c r="CH252" s="17" t="s">
        <v>1096</v>
      </c>
      <c r="CI252" s="21">
        <v>0</v>
      </c>
      <c r="CJ252" s="58">
        <v>0</v>
      </c>
      <c r="CK252" s="21">
        <f>IF(Table1[[#This Row],[Check 3 Status]]="Continued", Table1[[#This Row],[Check 3 Students Fall]], 0)</f>
        <v>308</v>
      </c>
      <c r="CL252" s="58">
        <f>Table1[[#This Row],[Check 3 Per Student Savings]]*CK252</f>
        <v>73304</v>
      </c>
      <c r="CM252" s="21">
        <f>IF(Table1[[#This Row],[Check 3 Status]]="Continued", Table1[[#This Row],[Check 3 Students Spring]], 0)</f>
        <v>308</v>
      </c>
      <c r="CN252" s="58">
        <f>Table1[[#This Row],[Check 3 Per Student Savings]]*CM252</f>
        <v>73304</v>
      </c>
      <c r="CO252" s="21">
        <f t="shared" si="170"/>
        <v>616</v>
      </c>
      <c r="CP252" s="58">
        <f t="shared" si="171"/>
        <v>146608</v>
      </c>
      <c r="CQ252" s="58" t="s">
        <v>130</v>
      </c>
      <c r="CR252" s="21">
        <v>308</v>
      </c>
      <c r="CS252" s="21">
        <v>308</v>
      </c>
      <c r="CT252" s="21">
        <v>308</v>
      </c>
      <c r="CU252" s="21">
        <f t="shared" si="172"/>
        <v>924</v>
      </c>
      <c r="CV252" s="58">
        <v>238</v>
      </c>
      <c r="CW252" s="58">
        <f t="shared" si="173"/>
        <v>219912</v>
      </c>
      <c r="CX252" s="58"/>
      <c r="CY252" s="21">
        <f>IF(Table1[[#This Row],[Check 4 Status]]="Continued", Table1[[#This Row],[Check 4 Students Summer]], 0)</f>
        <v>308</v>
      </c>
      <c r="CZ252" s="58">
        <f>Table1[[#This Row],[Check 4 Per Student Savings]]*CY252</f>
        <v>73304</v>
      </c>
      <c r="DA252" s="21">
        <f>IF(Table1[[#This Row],[Check 4 Status]]="Continued", Table1[[#This Row],[Check 4 Students Fall]], 0)</f>
        <v>308</v>
      </c>
      <c r="DB252" s="58">
        <f>Table1[[#This Row],[Check 4 Per Student Savings]]*DA252</f>
        <v>73304</v>
      </c>
      <c r="DC252" s="21">
        <f>IF(Table1[[#This Row],[Check 4 Status]]="Continued", Table1[[#This Row],[Check 4 Students Spring]], 0)</f>
        <v>308</v>
      </c>
      <c r="DD252" s="58">
        <f>Table1[[#This Row],[Check 4 Per Student Savings]]*DC252</f>
        <v>73304</v>
      </c>
      <c r="DE252" s="58">
        <f t="shared" si="174"/>
        <v>924</v>
      </c>
      <c r="DF252" s="58">
        <f t="shared" si="175"/>
        <v>219912</v>
      </c>
      <c r="DG25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1540</v>
      </c>
      <c r="DH25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366520</v>
      </c>
      <c r="DI252" s="58">
        <f>Table1[[#This Row],[Grand Total Savings]]/Table1[[#This Row],[Total Award]]</f>
        <v>33.937037037037037</v>
      </c>
      <c r="DJ252" s="17"/>
      <c r="DK252" s="17"/>
      <c r="DL252" s="17"/>
      <c r="DM252" s="17"/>
      <c r="EC252" s="17"/>
      <c r="ED252" s="17"/>
      <c r="EE252" s="17"/>
      <c r="EF252" s="17"/>
    </row>
    <row r="253" spans="1:136" ht="15.75" thickBot="1" x14ac:dyDescent="0.3">
      <c r="A253" s="185" t="s">
        <v>1181</v>
      </c>
      <c r="B253" s="181"/>
      <c r="C253" s="181"/>
      <c r="D253" s="97">
        <v>515303</v>
      </c>
      <c r="E253" s="158"/>
      <c r="G253" s="95" t="s">
        <v>1109</v>
      </c>
      <c r="H253" s="95" t="s">
        <v>6</v>
      </c>
      <c r="I253" s="17" t="s">
        <v>962</v>
      </c>
      <c r="J253" s="17" t="s">
        <v>132</v>
      </c>
      <c r="K253" s="107">
        <v>4800</v>
      </c>
      <c r="L253" s="107"/>
      <c r="M253" s="101" t="s">
        <v>435</v>
      </c>
      <c r="N253" s="101" t="s">
        <v>1182</v>
      </c>
      <c r="O253" s="101" t="s">
        <v>1183</v>
      </c>
      <c r="P253" s="101" t="s">
        <v>1184</v>
      </c>
      <c r="Q253" s="101" t="s">
        <v>177</v>
      </c>
      <c r="R253" s="101" t="s">
        <v>129</v>
      </c>
      <c r="S253" s="101" t="s">
        <v>953</v>
      </c>
      <c r="T253" s="101" t="s">
        <v>953</v>
      </c>
      <c r="U253" s="101" t="s">
        <v>953</v>
      </c>
      <c r="V253" s="17" t="s">
        <v>140</v>
      </c>
      <c r="W253" s="17" t="s">
        <v>140</v>
      </c>
      <c r="X253" s="17" t="s">
        <v>140</v>
      </c>
      <c r="Y253" s="58">
        <v>0</v>
      </c>
      <c r="Z253" s="58">
        <v>0</v>
      </c>
      <c r="AA253" s="58">
        <v>0</v>
      </c>
      <c r="AB253" s="21"/>
      <c r="AC253" s="21"/>
      <c r="AE253" s="58" t="s">
        <v>13</v>
      </c>
      <c r="AF253" s="17" t="s">
        <v>129</v>
      </c>
      <c r="AG253" s="17"/>
      <c r="AI253" s="17" t="s">
        <v>964</v>
      </c>
      <c r="AJ253" s="21">
        <v>0</v>
      </c>
      <c r="AK253" s="31">
        <v>0</v>
      </c>
      <c r="AL253" s="21">
        <v>0</v>
      </c>
      <c r="AM253" s="31">
        <v>0</v>
      </c>
      <c r="AN253" s="21">
        <v>0</v>
      </c>
      <c r="AO253" s="31">
        <v>0</v>
      </c>
      <c r="AP253" s="21">
        <v>0</v>
      </c>
      <c r="AQ253" s="31">
        <v>0</v>
      </c>
      <c r="AR253" s="21">
        <v>0</v>
      </c>
      <c r="AS253" s="31">
        <v>0</v>
      </c>
      <c r="AT253" s="21">
        <v>0</v>
      </c>
      <c r="AU253" s="31">
        <v>0</v>
      </c>
      <c r="AV253" s="21">
        <v>0</v>
      </c>
      <c r="AW253" s="31">
        <v>0</v>
      </c>
      <c r="AX253" s="31">
        <v>0</v>
      </c>
      <c r="AY253" s="31">
        <v>0</v>
      </c>
      <c r="AZ253" s="31">
        <v>0</v>
      </c>
      <c r="BA253" s="31">
        <v>0</v>
      </c>
      <c r="BB253" s="31">
        <v>0</v>
      </c>
      <c r="BC253" s="31">
        <v>0</v>
      </c>
      <c r="BD253" s="31">
        <v>0</v>
      </c>
      <c r="BE253" s="31">
        <v>0</v>
      </c>
      <c r="BF253" s="31">
        <v>0</v>
      </c>
      <c r="BG253" s="31">
        <v>0</v>
      </c>
      <c r="BH253" s="31">
        <v>0</v>
      </c>
      <c r="BI253" s="31">
        <v>0</v>
      </c>
      <c r="BJ253" s="31">
        <v>0</v>
      </c>
      <c r="BK253" s="31">
        <v>0</v>
      </c>
      <c r="BL253" s="17" t="s">
        <v>964</v>
      </c>
      <c r="BM253" s="31">
        <v>0</v>
      </c>
      <c r="BN253" s="31">
        <v>0</v>
      </c>
      <c r="BO253" s="31">
        <v>0</v>
      </c>
      <c r="BP253" s="31">
        <v>0</v>
      </c>
      <c r="BQ253" s="58">
        <v>0</v>
      </c>
      <c r="BR253" s="58">
        <v>0</v>
      </c>
      <c r="BS253" s="31">
        <v>0</v>
      </c>
      <c r="BT253" s="31">
        <v>0</v>
      </c>
      <c r="BU253" s="31">
        <v>0</v>
      </c>
      <c r="BV253" s="31">
        <v>0</v>
      </c>
      <c r="BW253" s="21">
        <v>0</v>
      </c>
      <c r="BX253" s="31">
        <f>Table1[[#This Row],[Summer 2018 Price Check]]*Table1[[#This Row],[Spring 2019 Students]]</f>
        <v>0</v>
      </c>
      <c r="BY253" s="31">
        <f t="shared" si="166"/>
        <v>0</v>
      </c>
      <c r="BZ253" s="58">
        <f t="shared" si="167"/>
        <v>0</v>
      </c>
      <c r="CA253" s="17" t="s">
        <v>964</v>
      </c>
      <c r="CB253" s="21">
        <v>0</v>
      </c>
      <c r="CC253" s="21">
        <v>0</v>
      </c>
      <c r="CD253" s="21">
        <v>0</v>
      </c>
      <c r="CE253" s="21">
        <f t="shared" ref="CE253:CE267" si="186">CB253+CC253+CD253</f>
        <v>0</v>
      </c>
      <c r="CF253" s="58">
        <v>0</v>
      </c>
      <c r="CG253" s="31">
        <f t="shared" si="169"/>
        <v>0</v>
      </c>
      <c r="CH253" s="58">
        <v>0</v>
      </c>
      <c r="CI253" s="21">
        <f>IF(Table1[[#This Row],[Check 3 Status]]="Continued", Table1[[#This Row],[Check 3 Students Summer]], 0)</f>
        <v>0</v>
      </c>
      <c r="CJ253" s="31">
        <f>Table1[[#This Row],[Check 3 Per Student Savings]]*CI253</f>
        <v>0</v>
      </c>
      <c r="CK253" s="21">
        <f>IF(Table1[[#This Row],[Check 3 Status]]="Continued", Table1[[#This Row],[Check 3 Students Fall]], 0)</f>
        <v>0</v>
      </c>
      <c r="CL253" s="31">
        <f>Table1[[#This Row],[Check 3 Per Student Savings]]*CK253</f>
        <v>0</v>
      </c>
      <c r="CM253" s="21">
        <f>IF(Table1[[#This Row],[Check 3 Status]]="Continued", Table1[[#This Row],[Check 3 Students Spring]], 0)</f>
        <v>0</v>
      </c>
      <c r="CN253" s="31">
        <f>Table1[[#This Row],[Check 3 Per Student Savings]]*CM253</f>
        <v>0</v>
      </c>
      <c r="CO253" s="21">
        <f t="shared" si="170"/>
        <v>0</v>
      </c>
      <c r="CP253" s="31">
        <f t="shared" si="171"/>
        <v>0</v>
      </c>
      <c r="CQ253" s="31" t="s">
        <v>964</v>
      </c>
      <c r="CR253" s="21">
        <v>0</v>
      </c>
      <c r="CS253" s="21">
        <v>0</v>
      </c>
      <c r="CT253" s="21">
        <v>0</v>
      </c>
      <c r="CU253" s="21">
        <f t="shared" si="172"/>
        <v>0</v>
      </c>
      <c r="CV253" s="31">
        <v>0</v>
      </c>
      <c r="CW253" s="31">
        <f t="shared" si="173"/>
        <v>0</v>
      </c>
      <c r="CY253" s="21">
        <f>IF(Table1[[#This Row],[Check 4 Status]]="Continued", Table1[[#This Row],[Check 4 Students Summer]], 0)</f>
        <v>0</v>
      </c>
      <c r="CZ253" s="58">
        <f>Table1[[#This Row],[Check 4 Per Student Savings]]*CY253</f>
        <v>0</v>
      </c>
      <c r="DA253" s="21">
        <f>IF(Table1[[#This Row],[Check 4 Status]]="Continued", Table1[[#This Row],[Check 4 Students Fall]], 0)</f>
        <v>0</v>
      </c>
      <c r="DB253" s="31">
        <f>Table1[[#This Row],[Check 4 Per Student Savings]]*DA253</f>
        <v>0</v>
      </c>
      <c r="DC253" s="21">
        <f>IF(Table1[[#This Row],[Check 4 Status]]="Continued", Table1[[#This Row],[Check 4 Students Spring]], 0)</f>
        <v>0</v>
      </c>
      <c r="DD253" s="58">
        <f>Table1[[#This Row],[Check 4 Per Student Savings]]*DC253</f>
        <v>0</v>
      </c>
      <c r="DE253" s="58">
        <f t="shared" si="174"/>
        <v>0</v>
      </c>
      <c r="DF253" s="58">
        <f t="shared" si="175"/>
        <v>0</v>
      </c>
      <c r="DG25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5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53" s="58">
        <f>Table1[[#This Row],[Grand Total Savings]]/Table1[[#This Row],[Total Award]]</f>
        <v>0</v>
      </c>
      <c r="DJ253" s="17"/>
      <c r="DK253" s="17"/>
      <c r="DL253" s="17"/>
      <c r="DM253" s="17"/>
      <c r="EC253" s="17"/>
      <c r="ED253" s="17"/>
      <c r="EE253" s="17"/>
      <c r="EF253" s="17"/>
    </row>
    <row r="254" spans="1:136" ht="15.75" thickBot="1" x14ac:dyDescent="0.3">
      <c r="A254" s="185" t="s">
        <v>1185</v>
      </c>
      <c r="B254" s="181"/>
      <c r="C254" s="181"/>
      <c r="D254" s="97">
        <v>515347</v>
      </c>
      <c r="E254" s="158">
        <v>43480</v>
      </c>
      <c r="G254" s="95" t="s">
        <v>1109</v>
      </c>
      <c r="H254" s="95" t="s">
        <v>6</v>
      </c>
      <c r="I254" s="17" t="s">
        <v>962</v>
      </c>
      <c r="J254" s="17" t="s">
        <v>276</v>
      </c>
      <c r="K254" s="107">
        <v>4800</v>
      </c>
      <c r="L254" s="107"/>
      <c r="M254" s="101" t="s">
        <v>1186</v>
      </c>
      <c r="N254" s="101" t="s">
        <v>1187</v>
      </c>
      <c r="O254" s="101" t="s">
        <v>1188</v>
      </c>
      <c r="P254" s="101" t="s">
        <v>1189</v>
      </c>
      <c r="Q254" s="101" t="s">
        <v>192</v>
      </c>
      <c r="R254" s="101" t="s">
        <v>129</v>
      </c>
      <c r="S254" s="101" t="s">
        <v>953</v>
      </c>
      <c r="T254" s="101" t="s">
        <v>953</v>
      </c>
      <c r="U254" s="101" t="s">
        <v>953</v>
      </c>
      <c r="V254" s="17" t="s">
        <v>140</v>
      </c>
      <c r="W254" s="17" t="s">
        <v>140</v>
      </c>
      <c r="X254" s="17" t="s">
        <v>140</v>
      </c>
      <c r="Y254" s="58">
        <v>0</v>
      </c>
      <c r="Z254" s="58">
        <v>0</v>
      </c>
      <c r="AA254" s="58">
        <v>0</v>
      </c>
      <c r="AB254" s="21">
        <v>0</v>
      </c>
      <c r="AC254" s="21">
        <v>0</v>
      </c>
      <c r="AD254" s="21">
        <v>0</v>
      </c>
      <c r="AE254" s="58" t="s">
        <v>13</v>
      </c>
      <c r="AF254" s="17" t="s">
        <v>129</v>
      </c>
      <c r="AG254" s="17"/>
      <c r="AI254" s="17" t="s">
        <v>964</v>
      </c>
      <c r="AJ254" s="21">
        <v>0</v>
      </c>
      <c r="AK254" s="31">
        <v>0</v>
      </c>
      <c r="AL254" s="21">
        <v>0</v>
      </c>
      <c r="AM254" s="31">
        <v>0</v>
      </c>
      <c r="AN254" s="21">
        <v>0</v>
      </c>
      <c r="AO254" s="31">
        <v>0</v>
      </c>
      <c r="AP254" s="21">
        <v>0</v>
      </c>
      <c r="AQ254" s="31">
        <v>0</v>
      </c>
      <c r="AR254" s="21">
        <v>0</v>
      </c>
      <c r="AS254" s="31">
        <v>0</v>
      </c>
      <c r="AT254" s="21">
        <v>0</v>
      </c>
      <c r="AU254" s="31">
        <v>0</v>
      </c>
      <c r="AV254" s="21">
        <v>0</v>
      </c>
      <c r="AW254" s="31">
        <v>0</v>
      </c>
      <c r="AX254" s="31">
        <v>0</v>
      </c>
      <c r="AY254" s="31">
        <v>0</v>
      </c>
      <c r="AZ254" s="31">
        <v>0</v>
      </c>
      <c r="BA254" s="31">
        <v>0</v>
      </c>
      <c r="BB254" s="31">
        <v>0</v>
      </c>
      <c r="BC254" s="31">
        <v>0</v>
      </c>
      <c r="BD254" s="31">
        <v>0</v>
      </c>
      <c r="BE254" s="31">
        <v>0</v>
      </c>
      <c r="BF254" s="31">
        <v>0</v>
      </c>
      <c r="BG254" s="31">
        <v>0</v>
      </c>
      <c r="BH254" s="31">
        <v>0</v>
      </c>
      <c r="BI254" s="31">
        <v>0</v>
      </c>
      <c r="BJ254" s="31">
        <v>0</v>
      </c>
      <c r="BK254" s="31">
        <v>0</v>
      </c>
      <c r="BL254" s="17" t="s">
        <v>964</v>
      </c>
      <c r="BM254" s="31">
        <v>0</v>
      </c>
      <c r="BN254" s="31">
        <v>0</v>
      </c>
      <c r="BO254" s="31">
        <v>0</v>
      </c>
      <c r="BP254" s="31">
        <v>0</v>
      </c>
      <c r="BQ254" s="58">
        <v>0</v>
      </c>
      <c r="BR254" s="58">
        <v>0</v>
      </c>
      <c r="BS254" s="31">
        <v>0</v>
      </c>
      <c r="BT254" s="31">
        <v>0</v>
      </c>
      <c r="BU254" s="31">
        <v>0</v>
      </c>
      <c r="BV254" s="31">
        <v>0</v>
      </c>
      <c r="BW254" s="21">
        <v>0</v>
      </c>
      <c r="BX254" s="31">
        <f>Table1[[#This Row],[Summer 2018 Price Check]]*Table1[[#This Row],[Spring 2019 Students]]</f>
        <v>0</v>
      </c>
      <c r="BY254" s="31">
        <f t="shared" si="166"/>
        <v>0</v>
      </c>
      <c r="BZ254" s="58">
        <f t="shared" si="167"/>
        <v>0</v>
      </c>
      <c r="CA254" s="17" t="s">
        <v>964</v>
      </c>
      <c r="CB254" s="21">
        <v>0</v>
      </c>
      <c r="CC254" s="21">
        <v>0</v>
      </c>
      <c r="CD254" s="21">
        <v>0</v>
      </c>
      <c r="CE254" s="21">
        <f t="shared" si="186"/>
        <v>0</v>
      </c>
      <c r="CF254" s="58">
        <v>0</v>
      </c>
      <c r="CG254" s="31">
        <f t="shared" si="169"/>
        <v>0</v>
      </c>
      <c r="CH254" s="58">
        <v>0</v>
      </c>
      <c r="CI254" s="21">
        <f>IF(Table1[[#This Row],[Check 3 Status]]="Continued", Table1[[#This Row],[Check 3 Students Summer]], 0)</f>
        <v>0</v>
      </c>
      <c r="CJ254" s="31">
        <f>Table1[[#This Row],[Check 3 Per Student Savings]]*CI254</f>
        <v>0</v>
      </c>
      <c r="CK254" s="21">
        <f>IF(Table1[[#This Row],[Check 3 Status]]="Continued", Table1[[#This Row],[Check 3 Students Fall]], 0)</f>
        <v>0</v>
      </c>
      <c r="CL254" s="31">
        <f>Table1[[#This Row],[Check 3 Per Student Savings]]*CK254</f>
        <v>0</v>
      </c>
      <c r="CM254" s="21">
        <f>IF(Table1[[#This Row],[Check 3 Status]]="Continued", Table1[[#This Row],[Check 3 Students Spring]], 0)</f>
        <v>0</v>
      </c>
      <c r="CN254" s="31">
        <f>Table1[[#This Row],[Check 3 Per Student Savings]]*CM254</f>
        <v>0</v>
      </c>
      <c r="CO254" s="21">
        <f t="shared" si="170"/>
        <v>0</v>
      </c>
      <c r="CP254" s="31">
        <f t="shared" si="171"/>
        <v>0</v>
      </c>
      <c r="CQ254" s="31" t="s">
        <v>964</v>
      </c>
      <c r="CR254" s="21">
        <v>0</v>
      </c>
      <c r="CS254" s="21">
        <v>0</v>
      </c>
      <c r="CT254" s="21">
        <v>0</v>
      </c>
      <c r="CU254" s="21">
        <f t="shared" si="172"/>
        <v>0</v>
      </c>
      <c r="CV254" s="31">
        <v>0</v>
      </c>
      <c r="CW254" s="31">
        <f t="shared" si="173"/>
        <v>0</v>
      </c>
      <c r="CY254" s="21">
        <f>IF(Table1[[#This Row],[Check 4 Status]]="Continued", Table1[[#This Row],[Check 4 Students Summer]], 0)</f>
        <v>0</v>
      </c>
      <c r="CZ254" s="58">
        <f>Table1[[#This Row],[Check 4 Per Student Savings]]*CY254</f>
        <v>0</v>
      </c>
      <c r="DA254" s="21">
        <f>IF(Table1[[#This Row],[Check 4 Status]]="Continued", Table1[[#This Row],[Check 4 Students Fall]], 0)</f>
        <v>0</v>
      </c>
      <c r="DB254" s="31">
        <f>Table1[[#This Row],[Check 4 Per Student Savings]]*DA254</f>
        <v>0</v>
      </c>
      <c r="DC254" s="21">
        <f>IF(Table1[[#This Row],[Check 4 Status]]="Continued", Table1[[#This Row],[Check 4 Students Spring]], 0)</f>
        <v>0</v>
      </c>
      <c r="DD254" s="58">
        <f>Table1[[#This Row],[Check 4 Per Student Savings]]*DC254</f>
        <v>0</v>
      </c>
      <c r="DE254" s="58">
        <f t="shared" si="174"/>
        <v>0</v>
      </c>
      <c r="DF254" s="58">
        <f t="shared" si="175"/>
        <v>0</v>
      </c>
      <c r="DG25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5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54" s="58">
        <f>Table1[[#This Row],[Grand Total Savings]]/Table1[[#This Row],[Total Award]]</f>
        <v>0</v>
      </c>
      <c r="DJ254" s="17"/>
      <c r="DK254" s="17"/>
      <c r="DL254" s="17"/>
      <c r="DM254" s="17"/>
      <c r="EC254" s="17"/>
      <c r="ED254" s="17"/>
      <c r="EE254" s="17"/>
      <c r="EF254" s="17"/>
    </row>
    <row r="255" spans="1:136" ht="15.75" thickBot="1" x14ac:dyDescent="0.3">
      <c r="A255" s="185" t="s">
        <v>1190</v>
      </c>
      <c r="B255" s="181"/>
      <c r="C255" s="181"/>
      <c r="D255" s="97">
        <v>515346</v>
      </c>
      <c r="E255" s="158">
        <v>43480</v>
      </c>
      <c r="G255" s="95" t="s">
        <v>1109</v>
      </c>
      <c r="H255" s="95" t="s">
        <v>6</v>
      </c>
      <c r="I255" s="17" t="s">
        <v>962</v>
      </c>
      <c r="J255" s="17" t="s">
        <v>276</v>
      </c>
      <c r="K255" s="107">
        <v>4800</v>
      </c>
      <c r="L255" s="107"/>
      <c r="M255" s="101" t="s">
        <v>898</v>
      </c>
      <c r="N255" s="101" t="s">
        <v>899</v>
      </c>
      <c r="O255" s="101" t="s">
        <v>442</v>
      </c>
      <c r="P255" s="101" t="s">
        <v>1191</v>
      </c>
      <c r="Q255" s="101" t="s">
        <v>192</v>
      </c>
      <c r="R255" s="101" t="s">
        <v>739</v>
      </c>
      <c r="S255" s="101" t="s">
        <v>953</v>
      </c>
      <c r="T255" s="101" t="s">
        <v>953</v>
      </c>
      <c r="U255" s="101" t="s">
        <v>953</v>
      </c>
      <c r="V255" s="17" t="s">
        <v>140</v>
      </c>
      <c r="W255" s="17" t="s">
        <v>140</v>
      </c>
      <c r="X255" s="17" t="s">
        <v>140</v>
      </c>
      <c r="Y255" s="58">
        <v>0</v>
      </c>
      <c r="Z255" s="58">
        <v>0</v>
      </c>
      <c r="AA255" s="58">
        <v>0</v>
      </c>
      <c r="AB255" s="21">
        <v>0</v>
      </c>
      <c r="AC255" s="21">
        <v>0</v>
      </c>
      <c r="AD255" s="21">
        <v>0</v>
      </c>
      <c r="AE255" s="58" t="s">
        <v>13</v>
      </c>
      <c r="AF255" s="17" t="s">
        <v>129</v>
      </c>
      <c r="AG255" s="17"/>
      <c r="AI255" s="17" t="s">
        <v>964</v>
      </c>
      <c r="AJ255" s="21">
        <v>0</v>
      </c>
      <c r="AK255" s="31">
        <v>0</v>
      </c>
      <c r="AL255" s="21">
        <v>0</v>
      </c>
      <c r="AM255" s="31">
        <v>0</v>
      </c>
      <c r="AN255" s="21">
        <v>0</v>
      </c>
      <c r="AO255" s="31">
        <v>0</v>
      </c>
      <c r="AP255" s="21">
        <v>0</v>
      </c>
      <c r="AQ255" s="31">
        <v>0</v>
      </c>
      <c r="AR255" s="21">
        <v>0</v>
      </c>
      <c r="AS255" s="31">
        <v>0</v>
      </c>
      <c r="AT255" s="21">
        <v>0</v>
      </c>
      <c r="AU255" s="31">
        <v>0</v>
      </c>
      <c r="AV255" s="21">
        <v>0</v>
      </c>
      <c r="AW255" s="31">
        <v>0</v>
      </c>
      <c r="AX255" s="31">
        <v>0</v>
      </c>
      <c r="AY255" s="31">
        <v>0</v>
      </c>
      <c r="AZ255" s="31">
        <v>0</v>
      </c>
      <c r="BA255" s="31">
        <v>0</v>
      </c>
      <c r="BB255" s="31">
        <v>0</v>
      </c>
      <c r="BC255" s="31">
        <v>0</v>
      </c>
      <c r="BD255" s="31">
        <v>0</v>
      </c>
      <c r="BE255" s="31">
        <v>0</v>
      </c>
      <c r="BF255" s="31">
        <v>0</v>
      </c>
      <c r="BG255" s="31">
        <v>0</v>
      </c>
      <c r="BH255" s="31">
        <v>0</v>
      </c>
      <c r="BI255" s="31">
        <v>0</v>
      </c>
      <c r="BJ255" s="31">
        <v>0</v>
      </c>
      <c r="BK255" s="31">
        <v>0</v>
      </c>
      <c r="BL255" s="17" t="s">
        <v>964</v>
      </c>
      <c r="BM255" s="31">
        <v>0</v>
      </c>
      <c r="BN255" s="31">
        <v>0</v>
      </c>
      <c r="BO255" s="31">
        <v>0</v>
      </c>
      <c r="BP255" s="31">
        <v>0</v>
      </c>
      <c r="BQ255" s="58">
        <v>0</v>
      </c>
      <c r="BR255" s="58">
        <v>0</v>
      </c>
      <c r="BS255" s="31">
        <v>0</v>
      </c>
      <c r="BT255" s="31">
        <v>0</v>
      </c>
      <c r="BU255" s="31">
        <v>0</v>
      </c>
      <c r="BV255" s="31">
        <v>0</v>
      </c>
      <c r="BW255" s="21">
        <v>0</v>
      </c>
      <c r="BX255" s="31">
        <f>Table1[[#This Row],[Summer 2018 Price Check]]*Table1[[#This Row],[Spring 2019 Students]]</f>
        <v>0</v>
      </c>
      <c r="BY255" s="31">
        <f t="shared" si="166"/>
        <v>0</v>
      </c>
      <c r="BZ255" s="58">
        <f t="shared" si="167"/>
        <v>0</v>
      </c>
      <c r="CA255" s="17" t="s">
        <v>964</v>
      </c>
      <c r="CB255" s="21">
        <v>0</v>
      </c>
      <c r="CC255" s="21">
        <v>0</v>
      </c>
      <c r="CD255" s="21">
        <v>0</v>
      </c>
      <c r="CE255" s="21">
        <f t="shared" si="186"/>
        <v>0</v>
      </c>
      <c r="CF255" s="58">
        <v>0</v>
      </c>
      <c r="CG255" s="31">
        <f t="shared" si="169"/>
        <v>0</v>
      </c>
      <c r="CH255" s="58">
        <v>0</v>
      </c>
      <c r="CI255" s="21">
        <f>IF(Table1[[#This Row],[Check 3 Status]]="Continued", Table1[[#This Row],[Check 3 Students Summer]], 0)</f>
        <v>0</v>
      </c>
      <c r="CJ255" s="31">
        <f>Table1[[#This Row],[Check 3 Per Student Savings]]*CI255</f>
        <v>0</v>
      </c>
      <c r="CK255" s="21">
        <f>IF(Table1[[#This Row],[Check 3 Status]]="Continued", Table1[[#This Row],[Check 3 Students Fall]], 0)</f>
        <v>0</v>
      </c>
      <c r="CL255" s="31">
        <f>Table1[[#This Row],[Check 3 Per Student Savings]]*CK255</f>
        <v>0</v>
      </c>
      <c r="CM255" s="21">
        <f>IF(Table1[[#This Row],[Check 3 Status]]="Continued", Table1[[#This Row],[Check 3 Students Spring]], 0)</f>
        <v>0</v>
      </c>
      <c r="CN255" s="31">
        <f>Table1[[#This Row],[Check 3 Per Student Savings]]*CM255</f>
        <v>0</v>
      </c>
      <c r="CO255" s="21">
        <f t="shared" si="170"/>
        <v>0</v>
      </c>
      <c r="CP255" s="31">
        <f t="shared" si="171"/>
        <v>0</v>
      </c>
      <c r="CQ255" s="31" t="s">
        <v>964</v>
      </c>
      <c r="CR255" s="21">
        <v>0</v>
      </c>
      <c r="CS255" s="21">
        <v>0</v>
      </c>
      <c r="CT255" s="21">
        <v>0</v>
      </c>
      <c r="CU255" s="21">
        <f t="shared" si="172"/>
        <v>0</v>
      </c>
      <c r="CV255" s="31">
        <v>0</v>
      </c>
      <c r="CW255" s="31">
        <f t="shared" si="173"/>
        <v>0</v>
      </c>
      <c r="CY255" s="21">
        <f>IF(Table1[[#This Row],[Check 4 Status]]="Continued", Table1[[#This Row],[Check 4 Students Summer]], 0)</f>
        <v>0</v>
      </c>
      <c r="CZ255" s="58">
        <f>Table1[[#This Row],[Check 4 Per Student Savings]]*CY255</f>
        <v>0</v>
      </c>
      <c r="DA255" s="21">
        <f>IF(Table1[[#This Row],[Check 4 Status]]="Continued", Table1[[#This Row],[Check 4 Students Fall]], 0)</f>
        <v>0</v>
      </c>
      <c r="DB255" s="31">
        <f>Table1[[#This Row],[Check 4 Per Student Savings]]*DA255</f>
        <v>0</v>
      </c>
      <c r="DC255" s="21">
        <f>IF(Table1[[#This Row],[Check 4 Status]]="Continued", Table1[[#This Row],[Check 4 Students Spring]], 0)</f>
        <v>0</v>
      </c>
      <c r="DD255" s="58">
        <f>Table1[[#This Row],[Check 4 Per Student Savings]]*DC255</f>
        <v>0</v>
      </c>
      <c r="DE255" s="58">
        <f t="shared" si="174"/>
        <v>0</v>
      </c>
      <c r="DF255" s="58">
        <f t="shared" si="175"/>
        <v>0</v>
      </c>
      <c r="DG25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5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55" s="58">
        <f>Table1[[#This Row],[Grand Total Savings]]/Table1[[#This Row],[Total Award]]</f>
        <v>0</v>
      </c>
      <c r="DJ255" s="17"/>
      <c r="DK255" s="17"/>
      <c r="DL255" s="17"/>
      <c r="DM255" s="17"/>
      <c r="EC255" s="17"/>
      <c r="ED255" s="17"/>
      <c r="EE255" s="17"/>
      <c r="EF255" s="17"/>
    </row>
    <row r="256" spans="1:136" ht="15.75" thickBot="1" x14ac:dyDescent="0.3">
      <c r="A256" s="185" t="s">
        <v>1192</v>
      </c>
      <c r="B256" s="181"/>
      <c r="C256" s="181"/>
      <c r="D256" s="97">
        <v>515345</v>
      </c>
      <c r="E256" s="158">
        <v>43480</v>
      </c>
      <c r="G256" s="95" t="s">
        <v>1109</v>
      </c>
      <c r="H256" s="95" t="s">
        <v>6</v>
      </c>
      <c r="I256" s="17" t="s">
        <v>962</v>
      </c>
      <c r="J256" s="17" t="s">
        <v>276</v>
      </c>
      <c r="K256" s="107">
        <v>4800</v>
      </c>
      <c r="L256" s="107"/>
      <c r="M256" s="101" t="s">
        <v>1193</v>
      </c>
      <c r="N256" s="101" t="s">
        <v>1194</v>
      </c>
      <c r="O256" s="101" t="s">
        <v>577</v>
      </c>
      <c r="P256" s="101" t="s">
        <v>1195</v>
      </c>
      <c r="Q256" s="101" t="s">
        <v>192</v>
      </c>
      <c r="R256" s="101" t="s">
        <v>577</v>
      </c>
      <c r="S256" s="101" t="s">
        <v>953</v>
      </c>
      <c r="T256" s="101" t="s">
        <v>953</v>
      </c>
      <c r="U256" s="101" t="s">
        <v>953</v>
      </c>
      <c r="V256" s="17" t="s">
        <v>140</v>
      </c>
      <c r="W256" s="17" t="s">
        <v>140</v>
      </c>
      <c r="X256" s="17" t="s">
        <v>140</v>
      </c>
      <c r="Y256" s="58">
        <v>0</v>
      </c>
      <c r="Z256" s="58">
        <v>0</v>
      </c>
      <c r="AA256" s="58">
        <v>0</v>
      </c>
      <c r="AB256" s="21">
        <v>0</v>
      </c>
      <c r="AC256" s="21">
        <v>0</v>
      </c>
      <c r="AD256" s="21">
        <v>0</v>
      </c>
      <c r="AE256" s="58" t="s">
        <v>13</v>
      </c>
      <c r="AF256" s="17" t="s">
        <v>129</v>
      </c>
      <c r="AG256" s="17"/>
      <c r="AI256" s="17" t="s">
        <v>964</v>
      </c>
      <c r="AJ256" s="21">
        <v>0</v>
      </c>
      <c r="AK256" s="31">
        <v>0</v>
      </c>
      <c r="AL256" s="21">
        <v>0</v>
      </c>
      <c r="AM256" s="31">
        <v>0</v>
      </c>
      <c r="AN256" s="21">
        <v>0</v>
      </c>
      <c r="AO256" s="31">
        <v>0</v>
      </c>
      <c r="AP256" s="21">
        <v>0</v>
      </c>
      <c r="AQ256" s="31">
        <v>0</v>
      </c>
      <c r="AR256" s="21">
        <v>0</v>
      </c>
      <c r="AS256" s="31">
        <v>0</v>
      </c>
      <c r="AT256" s="21">
        <v>0</v>
      </c>
      <c r="AU256" s="31">
        <v>0</v>
      </c>
      <c r="AV256" s="21">
        <v>0</v>
      </c>
      <c r="AW256" s="31">
        <v>0</v>
      </c>
      <c r="AX256" s="31">
        <v>0</v>
      </c>
      <c r="AY256" s="31">
        <v>0</v>
      </c>
      <c r="AZ256" s="31">
        <v>0</v>
      </c>
      <c r="BA256" s="31">
        <v>0</v>
      </c>
      <c r="BB256" s="31">
        <v>0</v>
      </c>
      <c r="BC256" s="31">
        <v>0</v>
      </c>
      <c r="BD256" s="31">
        <v>0</v>
      </c>
      <c r="BE256" s="31">
        <v>0</v>
      </c>
      <c r="BF256" s="31">
        <v>0</v>
      </c>
      <c r="BG256" s="31">
        <v>0</v>
      </c>
      <c r="BH256" s="31">
        <v>0</v>
      </c>
      <c r="BI256" s="31">
        <v>0</v>
      </c>
      <c r="BJ256" s="31">
        <v>0</v>
      </c>
      <c r="BK256" s="31">
        <v>0</v>
      </c>
      <c r="BL256" s="17" t="s">
        <v>964</v>
      </c>
      <c r="BM256" s="31">
        <v>0</v>
      </c>
      <c r="BN256" s="31">
        <v>0</v>
      </c>
      <c r="BO256" s="31">
        <v>0</v>
      </c>
      <c r="BP256" s="31">
        <v>0</v>
      </c>
      <c r="BQ256" s="58">
        <v>0</v>
      </c>
      <c r="BR256" s="58">
        <v>0</v>
      </c>
      <c r="BS256" s="31">
        <v>0</v>
      </c>
      <c r="BT256" s="31">
        <v>0</v>
      </c>
      <c r="BU256" s="31">
        <v>0</v>
      </c>
      <c r="BV256" s="31">
        <v>0</v>
      </c>
      <c r="BW256" s="21">
        <v>0</v>
      </c>
      <c r="BX256" s="31">
        <f>Table1[[#This Row],[Summer 2018 Price Check]]*Table1[[#This Row],[Spring 2019 Students]]</f>
        <v>0</v>
      </c>
      <c r="BY256" s="31">
        <f t="shared" si="166"/>
        <v>0</v>
      </c>
      <c r="BZ256" s="58">
        <f t="shared" si="167"/>
        <v>0</v>
      </c>
      <c r="CA256" s="17" t="s">
        <v>964</v>
      </c>
      <c r="CB256" s="21">
        <v>0</v>
      </c>
      <c r="CC256" s="21">
        <v>0</v>
      </c>
      <c r="CD256" s="21">
        <v>0</v>
      </c>
      <c r="CE256" s="21">
        <f t="shared" si="186"/>
        <v>0</v>
      </c>
      <c r="CF256" s="58">
        <v>0</v>
      </c>
      <c r="CG256" s="31">
        <f t="shared" si="169"/>
        <v>0</v>
      </c>
      <c r="CH256" s="58">
        <v>0</v>
      </c>
      <c r="CI256" s="21">
        <f>IF(Table1[[#This Row],[Check 3 Status]]="Continued", Table1[[#This Row],[Check 3 Students Summer]], 0)</f>
        <v>0</v>
      </c>
      <c r="CJ256" s="31">
        <f>Table1[[#This Row],[Check 3 Per Student Savings]]*CI256</f>
        <v>0</v>
      </c>
      <c r="CK256" s="21">
        <f>IF(Table1[[#This Row],[Check 3 Status]]="Continued", Table1[[#This Row],[Check 3 Students Fall]], 0)</f>
        <v>0</v>
      </c>
      <c r="CL256" s="31">
        <f>Table1[[#This Row],[Check 3 Per Student Savings]]*CK256</f>
        <v>0</v>
      </c>
      <c r="CM256" s="21">
        <f>IF(Table1[[#This Row],[Check 3 Status]]="Continued", Table1[[#This Row],[Check 3 Students Spring]], 0)</f>
        <v>0</v>
      </c>
      <c r="CN256" s="31">
        <f>Table1[[#This Row],[Check 3 Per Student Savings]]*CM256</f>
        <v>0</v>
      </c>
      <c r="CO256" s="21">
        <f t="shared" si="170"/>
        <v>0</v>
      </c>
      <c r="CP256" s="31">
        <f t="shared" si="171"/>
        <v>0</v>
      </c>
      <c r="CQ256" s="31" t="s">
        <v>964</v>
      </c>
      <c r="CR256" s="21">
        <v>0</v>
      </c>
      <c r="CS256" s="21">
        <v>0</v>
      </c>
      <c r="CT256" s="21">
        <v>0</v>
      </c>
      <c r="CU256" s="21">
        <f t="shared" si="172"/>
        <v>0</v>
      </c>
      <c r="CV256" s="31">
        <v>0</v>
      </c>
      <c r="CW256" s="31">
        <f t="shared" si="173"/>
        <v>0</v>
      </c>
      <c r="CY256" s="21">
        <f>IF(Table1[[#This Row],[Check 4 Status]]="Continued", Table1[[#This Row],[Check 4 Students Summer]], 0)</f>
        <v>0</v>
      </c>
      <c r="CZ256" s="58">
        <f>Table1[[#This Row],[Check 4 Per Student Savings]]*CY256</f>
        <v>0</v>
      </c>
      <c r="DA256" s="21">
        <f>IF(Table1[[#This Row],[Check 4 Status]]="Continued", Table1[[#This Row],[Check 4 Students Fall]], 0)</f>
        <v>0</v>
      </c>
      <c r="DB256" s="31">
        <f>Table1[[#This Row],[Check 4 Per Student Savings]]*DA256</f>
        <v>0</v>
      </c>
      <c r="DC256" s="21">
        <f>IF(Table1[[#This Row],[Check 4 Status]]="Continued", Table1[[#This Row],[Check 4 Students Spring]], 0)</f>
        <v>0</v>
      </c>
      <c r="DD256" s="58">
        <f>Table1[[#This Row],[Check 4 Per Student Savings]]*DC256</f>
        <v>0</v>
      </c>
      <c r="DE256" s="58">
        <f t="shared" si="174"/>
        <v>0</v>
      </c>
      <c r="DF256" s="58">
        <f t="shared" si="175"/>
        <v>0</v>
      </c>
      <c r="DG25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5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56" s="58">
        <f>Table1[[#This Row],[Grand Total Savings]]/Table1[[#This Row],[Total Award]]</f>
        <v>0</v>
      </c>
      <c r="DJ256" s="17"/>
      <c r="DK256" s="17"/>
      <c r="DL256" s="17"/>
      <c r="DM256" s="17"/>
      <c r="EC256" s="17"/>
      <c r="ED256" s="17"/>
      <c r="EE256" s="17"/>
      <c r="EF256" s="17"/>
    </row>
    <row r="257" spans="1:136" ht="15.75" thickBot="1" x14ac:dyDescent="0.3">
      <c r="A257" s="185" t="s">
        <v>1196</v>
      </c>
      <c r="B257" s="181"/>
      <c r="C257" s="181"/>
      <c r="D257" s="97">
        <v>515522</v>
      </c>
      <c r="E257" s="158">
        <v>43503</v>
      </c>
      <c r="G257" s="95" t="s">
        <v>1109</v>
      </c>
      <c r="H257" s="95" t="s">
        <v>6</v>
      </c>
      <c r="I257" s="17" t="s">
        <v>962</v>
      </c>
      <c r="J257" s="17" t="s">
        <v>276</v>
      </c>
      <c r="K257" s="107">
        <v>4800</v>
      </c>
      <c r="L257" s="107"/>
      <c r="M257" s="101" t="s">
        <v>1197</v>
      </c>
      <c r="N257" s="101" t="s">
        <v>1198</v>
      </c>
      <c r="O257" s="101" t="s">
        <v>1199</v>
      </c>
      <c r="P257" s="101" t="s">
        <v>379</v>
      </c>
      <c r="Q257" s="101" t="s">
        <v>272</v>
      </c>
      <c r="R257" s="101" t="s">
        <v>1199</v>
      </c>
      <c r="S257" s="101" t="s">
        <v>953</v>
      </c>
      <c r="T257" s="101" t="s">
        <v>953</v>
      </c>
      <c r="U257" s="101" t="s">
        <v>953</v>
      </c>
      <c r="V257" s="17" t="s">
        <v>140</v>
      </c>
      <c r="W257" s="17" t="s">
        <v>140</v>
      </c>
      <c r="X257" s="17" t="s">
        <v>140</v>
      </c>
      <c r="Y257" s="58">
        <v>0</v>
      </c>
      <c r="Z257" s="58">
        <v>0</v>
      </c>
      <c r="AA257" s="58">
        <v>0</v>
      </c>
      <c r="AB257" s="21">
        <v>0</v>
      </c>
      <c r="AC257" s="21">
        <v>0</v>
      </c>
      <c r="AD257" s="21">
        <v>0</v>
      </c>
      <c r="AE257" s="58" t="s">
        <v>13</v>
      </c>
      <c r="AF257" s="17" t="s">
        <v>129</v>
      </c>
      <c r="AG257" s="17"/>
      <c r="AI257" s="17" t="s">
        <v>964</v>
      </c>
      <c r="AJ257" s="21">
        <v>0</v>
      </c>
      <c r="AK257" s="31">
        <v>0</v>
      </c>
      <c r="AL257" s="21">
        <v>0</v>
      </c>
      <c r="AM257" s="31">
        <v>0</v>
      </c>
      <c r="AN257" s="21">
        <v>0</v>
      </c>
      <c r="AO257" s="31">
        <v>0</v>
      </c>
      <c r="AP257" s="21">
        <v>0</v>
      </c>
      <c r="AQ257" s="31">
        <v>0</v>
      </c>
      <c r="AR257" s="21">
        <v>0</v>
      </c>
      <c r="AS257" s="31">
        <v>0</v>
      </c>
      <c r="AT257" s="21">
        <v>0</v>
      </c>
      <c r="AU257" s="31">
        <v>0</v>
      </c>
      <c r="AV257" s="21">
        <v>0</v>
      </c>
      <c r="AW257" s="31">
        <v>0</v>
      </c>
      <c r="AX257" s="31">
        <v>0</v>
      </c>
      <c r="AY257" s="31">
        <v>0</v>
      </c>
      <c r="AZ257" s="31">
        <v>0</v>
      </c>
      <c r="BA257" s="31">
        <v>0</v>
      </c>
      <c r="BB257" s="31">
        <v>0</v>
      </c>
      <c r="BC257" s="31">
        <v>0</v>
      </c>
      <c r="BD257" s="31">
        <v>0</v>
      </c>
      <c r="BE257" s="31">
        <v>0</v>
      </c>
      <c r="BF257" s="31">
        <v>0</v>
      </c>
      <c r="BG257" s="31">
        <v>0</v>
      </c>
      <c r="BH257" s="31">
        <v>0</v>
      </c>
      <c r="BI257" s="31">
        <v>0</v>
      </c>
      <c r="BJ257" s="31">
        <v>0</v>
      </c>
      <c r="BK257" s="31">
        <v>0</v>
      </c>
      <c r="BL257" s="17" t="s">
        <v>964</v>
      </c>
      <c r="BM257" s="31">
        <v>0</v>
      </c>
      <c r="BN257" s="31">
        <v>0</v>
      </c>
      <c r="BO257" s="31">
        <v>0</v>
      </c>
      <c r="BP257" s="31">
        <v>0</v>
      </c>
      <c r="BQ257" s="58">
        <v>0</v>
      </c>
      <c r="BR257" s="58">
        <v>0</v>
      </c>
      <c r="BS257" s="31">
        <v>0</v>
      </c>
      <c r="BT257" s="31">
        <v>0</v>
      </c>
      <c r="BU257" s="31">
        <v>0</v>
      </c>
      <c r="BV257" s="31">
        <v>0</v>
      </c>
      <c r="BW257" s="21">
        <v>0</v>
      </c>
      <c r="BX257" s="31">
        <f>Table1[[#This Row],[Summer 2018 Price Check]]*Table1[[#This Row],[Spring 2019 Students]]</f>
        <v>0</v>
      </c>
      <c r="BY257" s="31">
        <f t="shared" si="166"/>
        <v>0</v>
      </c>
      <c r="BZ257" s="58">
        <f t="shared" si="167"/>
        <v>0</v>
      </c>
      <c r="CA257" s="17" t="s">
        <v>964</v>
      </c>
      <c r="CB257" s="21">
        <v>0</v>
      </c>
      <c r="CC257" s="21">
        <v>0</v>
      </c>
      <c r="CD257" s="21">
        <v>0</v>
      </c>
      <c r="CE257" s="21">
        <f t="shared" si="186"/>
        <v>0</v>
      </c>
      <c r="CF257" s="58">
        <v>0</v>
      </c>
      <c r="CG257" s="31">
        <f t="shared" si="169"/>
        <v>0</v>
      </c>
      <c r="CH257" s="58">
        <v>0</v>
      </c>
      <c r="CI257" s="21">
        <f>IF(Table1[[#This Row],[Check 3 Status]]="Continued", Table1[[#This Row],[Check 3 Students Summer]], 0)</f>
        <v>0</v>
      </c>
      <c r="CJ257" s="31">
        <f>Table1[[#This Row],[Check 3 Per Student Savings]]*CI257</f>
        <v>0</v>
      </c>
      <c r="CK257" s="21">
        <f>IF(Table1[[#This Row],[Check 3 Status]]="Continued", Table1[[#This Row],[Check 3 Students Fall]], 0)</f>
        <v>0</v>
      </c>
      <c r="CL257" s="31">
        <f>Table1[[#This Row],[Check 3 Per Student Savings]]*CK257</f>
        <v>0</v>
      </c>
      <c r="CM257" s="21">
        <f>IF(Table1[[#This Row],[Check 3 Status]]="Continued", Table1[[#This Row],[Check 3 Students Spring]], 0)</f>
        <v>0</v>
      </c>
      <c r="CN257" s="31">
        <f>Table1[[#This Row],[Check 3 Per Student Savings]]*CM257</f>
        <v>0</v>
      </c>
      <c r="CO257" s="21">
        <f t="shared" si="170"/>
        <v>0</v>
      </c>
      <c r="CP257" s="31">
        <f t="shared" si="171"/>
        <v>0</v>
      </c>
      <c r="CQ257" s="31" t="s">
        <v>964</v>
      </c>
      <c r="CR257" s="21">
        <v>0</v>
      </c>
      <c r="CS257" s="21">
        <v>0</v>
      </c>
      <c r="CT257" s="21">
        <v>0</v>
      </c>
      <c r="CU257" s="21">
        <f t="shared" si="172"/>
        <v>0</v>
      </c>
      <c r="CV257" s="31">
        <v>0</v>
      </c>
      <c r="CW257" s="31">
        <f t="shared" si="173"/>
        <v>0</v>
      </c>
      <c r="CY257" s="21">
        <f>IF(Table1[[#This Row],[Check 4 Status]]="Continued", Table1[[#This Row],[Check 4 Students Summer]], 0)</f>
        <v>0</v>
      </c>
      <c r="CZ257" s="58">
        <f>Table1[[#This Row],[Check 4 Per Student Savings]]*CY257</f>
        <v>0</v>
      </c>
      <c r="DA257" s="21">
        <f>IF(Table1[[#This Row],[Check 4 Status]]="Continued", Table1[[#This Row],[Check 4 Students Fall]], 0)</f>
        <v>0</v>
      </c>
      <c r="DB257" s="31">
        <f>Table1[[#This Row],[Check 4 Per Student Savings]]*DA257</f>
        <v>0</v>
      </c>
      <c r="DC257" s="21">
        <f>IF(Table1[[#This Row],[Check 4 Status]]="Continued", Table1[[#This Row],[Check 4 Students Spring]], 0)</f>
        <v>0</v>
      </c>
      <c r="DD257" s="58">
        <f>Table1[[#This Row],[Check 4 Per Student Savings]]*DC257</f>
        <v>0</v>
      </c>
      <c r="DE257" s="58">
        <f t="shared" si="174"/>
        <v>0</v>
      </c>
      <c r="DF257" s="58">
        <f t="shared" si="175"/>
        <v>0</v>
      </c>
      <c r="DG25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5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57" s="58">
        <f>Table1[[#This Row],[Grand Total Savings]]/Table1[[#This Row],[Total Award]]</f>
        <v>0</v>
      </c>
      <c r="DJ257" s="17"/>
      <c r="DK257" s="17"/>
      <c r="DL257" s="17"/>
      <c r="DM257" s="17"/>
      <c r="EC257" s="17"/>
      <c r="ED257" s="17"/>
      <c r="EE257" s="17"/>
      <c r="EF257" s="17"/>
    </row>
    <row r="258" spans="1:136" ht="15.75" thickBot="1" x14ac:dyDescent="0.3">
      <c r="A258" s="185" t="s">
        <v>1200</v>
      </c>
      <c r="B258" s="181"/>
      <c r="C258" s="181"/>
      <c r="D258" s="97">
        <v>515314</v>
      </c>
      <c r="E258" s="158">
        <v>43472</v>
      </c>
      <c r="G258" s="95" t="s">
        <v>1109</v>
      </c>
      <c r="H258" s="95" t="s">
        <v>6</v>
      </c>
      <c r="I258" s="17" t="s">
        <v>962</v>
      </c>
      <c r="J258" s="17" t="s">
        <v>132</v>
      </c>
      <c r="K258" s="107">
        <v>4800</v>
      </c>
      <c r="L258" s="107"/>
      <c r="M258" s="101" t="s">
        <v>990</v>
      </c>
      <c r="N258" s="101" t="s">
        <v>991</v>
      </c>
      <c r="O258" s="101" t="s">
        <v>1201</v>
      </c>
      <c r="P258" s="101" t="s">
        <v>1202</v>
      </c>
      <c r="Q258" s="101" t="s">
        <v>177</v>
      </c>
      <c r="R258" s="101" t="s">
        <v>129</v>
      </c>
      <c r="S258" s="101" t="s">
        <v>953</v>
      </c>
      <c r="T258" s="101" t="s">
        <v>953</v>
      </c>
      <c r="U258" s="101" t="s">
        <v>953</v>
      </c>
      <c r="V258" s="17" t="s">
        <v>140</v>
      </c>
      <c r="W258" s="17" t="s">
        <v>140</v>
      </c>
      <c r="X258" s="17" t="s">
        <v>140</v>
      </c>
      <c r="Y258" s="58">
        <v>0</v>
      </c>
      <c r="Z258" s="58">
        <v>0</v>
      </c>
      <c r="AA258" s="58">
        <v>0</v>
      </c>
      <c r="AB258" s="21">
        <v>0</v>
      </c>
      <c r="AC258" s="21">
        <v>0</v>
      </c>
      <c r="AD258" s="21">
        <v>0</v>
      </c>
      <c r="AE258" s="58" t="s">
        <v>13</v>
      </c>
      <c r="AF258" s="17" t="s">
        <v>129</v>
      </c>
      <c r="AG258" s="17"/>
      <c r="AI258" s="17" t="s">
        <v>964</v>
      </c>
      <c r="AJ258" s="21">
        <v>0</v>
      </c>
      <c r="AK258" s="31">
        <v>0</v>
      </c>
      <c r="AL258" s="21">
        <v>0</v>
      </c>
      <c r="AM258" s="31">
        <v>0</v>
      </c>
      <c r="AN258" s="21">
        <v>0</v>
      </c>
      <c r="AO258" s="31">
        <v>0</v>
      </c>
      <c r="AP258" s="21">
        <v>0</v>
      </c>
      <c r="AQ258" s="31">
        <v>0</v>
      </c>
      <c r="AR258" s="21">
        <v>0</v>
      </c>
      <c r="AS258" s="31">
        <v>0</v>
      </c>
      <c r="AT258" s="21">
        <v>0</v>
      </c>
      <c r="AU258" s="31">
        <v>0</v>
      </c>
      <c r="AV258" s="21">
        <v>0</v>
      </c>
      <c r="AW258" s="31">
        <v>0</v>
      </c>
      <c r="AX258" s="31">
        <v>0</v>
      </c>
      <c r="AY258" s="31">
        <v>0</v>
      </c>
      <c r="AZ258" s="31">
        <v>0</v>
      </c>
      <c r="BA258" s="31">
        <v>0</v>
      </c>
      <c r="BB258" s="31">
        <v>0</v>
      </c>
      <c r="BC258" s="31">
        <v>0</v>
      </c>
      <c r="BD258" s="31">
        <v>0</v>
      </c>
      <c r="BE258" s="31">
        <v>0</v>
      </c>
      <c r="BF258" s="31">
        <v>0</v>
      </c>
      <c r="BG258" s="31">
        <v>0</v>
      </c>
      <c r="BH258" s="31">
        <v>0</v>
      </c>
      <c r="BI258" s="31">
        <v>0</v>
      </c>
      <c r="BJ258" s="31">
        <v>0</v>
      </c>
      <c r="BK258" s="31">
        <v>0</v>
      </c>
      <c r="BL258" s="17" t="s">
        <v>964</v>
      </c>
      <c r="BM258" s="31">
        <v>0</v>
      </c>
      <c r="BN258" s="31">
        <v>0</v>
      </c>
      <c r="BO258" s="31">
        <v>0</v>
      </c>
      <c r="BP258" s="31">
        <v>0</v>
      </c>
      <c r="BQ258" s="58">
        <v>0</v>
      </c>
      <c r="BR258" s="58">
        <v>0</v>
      </c>
      <c r="BS258" s="31">
        <v>0</v>
      </c>
      <c r="BT258" s="31">
        <v>0</v>
      </c>
      <c r="BU258" s="31">
        <v>0</v>
      </c>
      <c r="BV258" s="31">
        <v>0</v>
      </c>
      <c r="BW258" s="21">
        <v>0</v>
      </c>
      <c r="BX258" s="31">
        <f>Table1[[#This Row],[Summer 2018 Price Check]]*Table1[[#This Row],[Spring 2019 Students]]</f>
        <v>0</v>
      </c>
      <c r="BY258" s="31">
        <f t="shared" ref="BY258:BY321" si="187">BS258+BU258+BW258</f>
        <v>0</v>
      </c>
      <c r="BZ258" s="58">
        <f t="shared" ref="BZ258:BZ321" si="188">BT258+BV258+BX258</f>
        <v>0</v>
      </c>
      <c r="CA258" s="17" t="s">
        <v>964</v>
      </c>
      <c r="CB258" s="21">
        <v>0</v>
      </c>
      <c r="CC258" s="21">
        <v>0</v>
      </c>
      <c r="CD258" s="21">
        <v>0</v>
      </c>
      <c r="CE258" s="21">
        <f t="shared" si="186"/>
        <v>0</v>
      </c>
      <c r="CF258" s="58">
        <v>0</v>
      </c>
      <c r="CG258" s="31">
        <f t="shared" ref="CG258:CG321" si="189">(CE258*CF258)</f>
        <v>0</v>
      </c>
      <c r="CH258" s="58">
        <v>0</v>
      </c>
      <c r="CI258" s="21">
        <f>IF(Table1[[#This Row],[Check 3 Status]]="Continued", Table1[[#This Row],[Check 3 Students Summer]], 0)</f>
        <v>0</v>
      </c>
      <c r="CJ258" s="31">
        <f>Table1[[#This Row],[Check 3 Per Student Savings]]*CI258</f>
        <v>0</v>
      </c>
      <c r="CK258" s="21">
        <f>IF(Table1[[#This Row],[Check 3 Status]]="Continued", Table1[[#This Row],[Check 3 Students Fall]], 0)</f>
        <v>0</v>
      </c>
      <c r="CL258" s="31">
        <f>Table1[[#This Row],[Check 3 Per Student Savings]]*CK258</f>
        <v>0</v>
      </c>
      <c r="CM258" s="21">
        <f>IF(Table1[[#This Row],[Check 3 Status]]="Continued", Table1[[#This Row],[Check 3 Students Spring]], 0)</f>
        <v>0</v>
      </c>
      <c r="CN258" s="31">
        <f>Table1[[#This Row],[Check 3 Per Student Savings]]*CM258</f>
        <v>0</v>
      </c>
      <c r="CO258" s="21">
        <f t="shared" ref="CO258:CO321" si="190">CI258+CK258+CM258</f>
        <v>0</v>
      </c>
      <c r="CP258" s="31">
        <f t="shared" ref="CP258:CP321" si="191">CJ258+CL258+CN258</f>
        <v>0</v>
      </c>
      <c r="CQ258" s="31" t="s">
        <v>964</v>
      </c>
      <c r="CR258" s="21">
        <v>0</v>
      </c>
      <c r="CS258" s="21">
        <v>0</v>
      </c>
      <c r="CT258" s="21">
        <v>0</v>
      </c>
      <c r="CU258" s="21">
        <f t="shared" ref="CU258:CU321" si="192">CR258+CS258+CT258</f>
        <v>0</v>
      </c>
      <c r="CV258" s="31">
        <v>0</v>
      </c>
      <c r="CW258" s="31">
        <f t="shared" ref="CW258:CW321" si="193">CU258*CV258</f>
        <v>0</v>
      </c>
      <c r="CY258" s="21">
        <f>IF(Table1[[#This Row],[Check 4 Status]]="Continued", Table1[[#This Row],[Check 4 Students Summer]], 0)</f>
        <v>0</v>
      </c>
      <c r="CZ258" s="58">
        <f>Table1[[#This Row],[Check 4 Per Student Savings]]*CY258</f>
        <v>0</v>
      </c>
      <c r="DA258" s="21">
        <f>IF(Table1[[#This Row],[Check 4 Status]]="Continued", Table1[[#This Row],[Check 4 Students Fall]], 0)</f>
        <v>0</v>
      </c>
      <c r="DB258" s="31">
        <f>Table1[[#This Row],[Check 4 Per Student Savings]]*DA258</f>
        <v>0</v>
      </c>
      <c r="DC258" s="21">
        <f>IF(Table1[[#This Row],[Check 4 Status]]="Continued", Table1[[#This Row],[Check 4 Students Spring]], 0)</f>
        <v>0</v>
      </c>
      <c r="DD258" s="58">
        <f>Table1[[#This Row],[Check 4 Per Student Savings]]*DC258</f>
        <v>0</v>
      </c>
      <c r="DE258" s="58">
        <f t="shared" ref="DE258:DE321" si="194">CY258+DA258+DC258</f>
        <v>0</v>
      </c>
      <c r="DF258" s="58">
        <f t="shared" ref="DF258:DF321" si="195">CZ258+DB258+DD258</f>
        <v>0</v>
      </c>
      <c r="DG25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5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58" s="58">
        <f>Table1[[#This Row],[Grand Total Savings]]/Table1[[#This Row],[Total Award]]</f>
        <v>0</v>
      </c>
      <c r="DJ258" s="17"/>
      <c r="DK258" s="17"/>
      <c r="DL258" s="17"/>
      <c r="DM258" s="17"/>
      <c r="EC258" s="17"/>
      <c r="ED258" s="17"/>
      <c r="EE258" s="17"/>
      <c r="EF258" s="17"/>
    </row>
    <row r="259" spans="1:136" ht="15.75" thickBot="1" x14ac:dyDescent="0.3">
      <c r="A259" s="185" t="s">
        <v>1203</v>
      </c>
      <c r="B259" s="181"/>
      <c r="C259" s="181"/>
      <c r="D259" s="97">
        <v>515745</v>
      </c>
      <c r="E259" s="158">
        <v>43559</v>
      </c>
      <c r="G259" s="187" t="s">
        <v>1109</v>
      </c>
      <c r="H259" s="95" t="s">
        <v>6</v>
      </c>
      <c r="I259" s="17" t="s">
        <v>962</v>
      </c>
      <c r="J259" s="17" t="s">
        <v>179</v>
      </c>
      <c r="K259" s="107">
        <v>4800</v>
      </c>
      <c r="L259" s="107"/>
      <c r="M259" s="101" t="s">
        <v>1204</v>
      </c>
      <c r="N259" s="101" t="s">
        <v>1205</v>
      </c>
      <c r="O259" s="101" t="s">
        <v>811</v>
      </c>
      <c r="P259" s="101" t="s">
        <v>810</v>
      </c>
      <c r="Q259" s="101" t="s">
        <v>317</v>
      </c>
      <c r="R259" s="101" t="s">
        <v>811</v>
      </c>
      <c r="S259" s="101" t="s">
        <v>953</v>
      </c>
      <c r="T259" s="101" t="s">
        <v>953</v>
      </c>
      <c r="U259" s="101" t="s">
        <v>953</v>
      </c>
      <c r="V259" s="17" t="s">
        <v>140</v>
      </c>
      <c r="W259" s="17" t="s">
        <v>140</v>
      </c>
      <c r="X259" s="17" t="s">
        <v>140</v>
      </c>
      <c r="Y259" s="58">
        <v>0</v>
      </c>
      <c r="Z259" s="58">
        <v>0</v>
      </c>
      <c r="AA259" s="58">
        <v>0</v>
      </c>
      <c r="AB259" s="21">
        <v>0</v>
      </c>
      <c r="AC259" s="21">
        <v>0</v>
      </c>
      <c r="AD259" s="21">
        <v>0</v>
      </c>
      <c r="AE259" s="58" t="s">
        <v>13</v>
      </c>
      <c r="AF259" s="17" t="s">
        <v>129</v>
      </c>
      <c r="AG259" s="17"/>
      <c r="AI259" s="17" t="s">
        <v>964</v>
      </c>
      <c r="AJ259" s="21">
        <v>0</v>
      </c>
      <c r="AK259" s="31">
        <v>0</v>
      </c>
      <c r="AL259" s="21">
        <v>0</v>
      </c>
      <c r="AM259" s="31">
        <v>0</v>
      </c>
      <c r="AN259" s="21">
        <v>0</v>
      </c>
      <c r="AO259" s="31">
        <v>0</v>
      </c>
      <c r="AP259" s="21">
        <v>0</v>
      </c>
      <c r="AQ259" s="31">
        <v>0</v>
      </c>
      <c r="AR259" s="21">
        <v>0</v>
      </c>
      <c r="AS259" s="31">
        <v>0</v>
      </c>
      <c r="AT259" s="21">
        <v>0</v>
      </c>
      <c r="AU259" s="31">
        <v>0</v>
      </c>
      <c r="AV259" s="21">
        <v>0</v>
      </c>
      <c r="AW259" s="31">
        <v>0</v>
      </c>
      <c r="AX259" s="31">
        <v>0</v>
      </c>
      <c r="AY259" s="31">
        <v>0</v>
      </c>
      <c r="AZ259" s="31">
        <v>0</v>
      </c>
      <c r="BA259" s="31">
        <v>0</v>
      </c>
      <c r="BB259" s="31">
        <v>0</v>
      </c>
      <c r="BC259" s="31">
        <v>0</v>
      </c>
      <c r="BD259" s="31">
        <v>0</v>
      </c>
      <c r="BE259" s="31">
        <v>0</v>
      </c>
      <c r="BF259" s="31">
        <v>0</v>
      </c>
      <c r="BG259" s="31">
        <v>0</v>
      </c>
      <c r="BH259" s="31">
        <v>0</v>
      </c>
      <c r="BI259" s="31">
        <v>0</v>
      </c>
      <c r="BJ259" s="31">
        <v>0</v>
      </c>
      <c r="BK259" s="31">
        <v>0</v>
      </c>
      <c r="BL259" s="17" t="s">
        <v>964</v>
      </c>
      <c r="BM259" s="31">
        <v>0</v>
      </c>
      <c r="BN259" s="31">
        <v>0</v>
      </c>
      <c r="BO259" s="31">
        <v>0</v>
      </c>
      <c r="BP259" s="31">
        <v>0</v>
      </c>
      <c r="BQ259" s="58">
        <v>0</v>
      </c>
      <c r="BR259" s="58">
        <v>0</v>
      </c>
      <c r="BS259" s="31">
        <v>0</v>
      </c>
      <c r="BT259" s="31">
        <v>0</v>
      </c>
      <c r="BU259" s="31">
        <v>0</v>
      </c>
      <c r="BV259" s="31">
        <v>0</v>
      </c>
      <c r="BW259" s="21">
        <v>0</v>
      </c>
      <c r="BX259" s="31">
        <f>Table1[[#This Row],[Summer 2018 Price Check]]*Table1[[#This Row],[Spring 2019 Students]]</f>
        <v>0</v>
      </c>
      <c r="BY259" s="31">
        <f t="shared" si="187"/>
        <v>0</v>
      </c>
      <c r="BZ259" s="58">
        <f t="shared" si="188"/>
        <v>0</v>
      </c>
      <c r="CA259" s="17" t="s">
        <v>964</v>
      </c>
      <c r="CB259" s="21">
        <v>0</v>
      </c>
      <c r="CC259" s="21">
        <v>0</v>
      </c>
      <c r="CD259" s="21">
        <v>0</v>
      </c>
      <c r="CE259" s="21">
        <f t="shared" si="186"/>
        <v>0</v>
      </c>
      <c r="CF259" s="58">
        <v>0</v>
      </c>
      <c r="CG259" s="31">
        <f t="shared" si="189"/>
        <v>0</v>
      </c>
      <c r="CH259" s="58">
        <v>0</v>
      </c>
      <c r="CI259" s="21">
        <f>IF(Table1[[#This Row],[Check 3 Status]]="Continued", Table1[[#This Row],[Check 3 Students Summer]], 0)</f>
        <v>0</v>
      </c>
      <c r="CJ259" s="31">
        <f>Table1[[#This Row],[Check 3 Per Student Savings]]*CI259</f>
        <v>0</v>
      </c>
      <c r="CK259" s="21">
        <f>IF(Table1[[#This Row],[Check 3 Status]]="Continued", Table1[[#This Row],[Check 3 Students Fall]], 0)</f>
        <v>0</v>
      </c>
      <c r="CL259" s="31">
        <f>Table1[[#This Row],[Check 3 Per Student Savings]]*CK259</f>
        <v>0</v>
      </c>
      <c r="CM259" s="21">
        <f>IF(Table1[[#This Row],[Check 3 Status]]="Continued", Table1[[#This Row],[Check 3 Students Spring]], 0)</f>
        <v>0</v>
      </c>
      <c r="CN259" s="31">
        <f>Table1[[#This Row],[Check 3 Per Student Savings]]*CM259</f>
        <v>0</v>
      </c>
      <c r="CO259" s="21">
        <f t="shared" si="190"/>
        <v>0</v>
      </c>
      <c r="CP259" s="31">
        <f t="shared" si="191"/>
        <v>0</v>
      </c>
      <c r="CQ259" s="31" t="s">
        <v>964</v>
      </c>
      <c r="CR259" s="21">
        <v>0</v>
      </c>
      <c r="CS259" s="21">
        <v>0</v>
      </c>
      <c r="CT259" s="21">
        <v>0</v>
      </c>
      <c r="CU259" s="21">
        <f t="shared" si="192"/>
        <v>0</v>
      </c>
      <c r="CV259" s="31">
        <v>0</v>
      </c>
      <c r="CW259" s="31">
        <f t="shared" si="193"/>
        <v>0</v>
      </c>
      <c r="CY259" s="21">
        <f>IF(Table1[[#This Row],[Check 4 Status]]="Continued", Table1[[#This Row],[Check 4 Students Summer]], 0)</f>
        <v>0</v>
      </c>
      <c r="CZ259" s="58">
        <f>Table1[[#This Row],[Check 4 Per Student Savings]]*CY259</f>
        <v>0</v>
      </c>
      <c r="DA259" s="21">
        <f>IF(Table1[[#This Row],[Check 4 Status]]="Continued", Table1[[#This Row],[Check 4 Students Fall]], 0)</f>
        <v>0</v>
      </c>
      <c r="DB259" s="31">
        <f>Table1[[#This Row],[Check 4 Per Student Savings]]*DA259</f>
        <v>0</v>
      </c>
      <c r="DC259" s="21">
        <f>IF(Table1[[#This Row],[Check 4 Status]]="Continued", Table1[[#This Row],[Check 4 Students Spring]], 0)</f>
        <v>0</v>
      </c>
      <c r="DD259" s="58">
        <f>Table1[[#This Row],[Check 4 Per Student Savings]]*DC259</f>
        <v>0</v>
      </c>
      <c r="DE259" s="58">
        <f t="shared" si="194"/>
        <v>0</v>
      </c>
      <c r="DF259" s="58">
        <f t="shared" si="195"/>
        <v>0</v>
      </c>
      <c r="DG25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5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59" s="58">
        <f>Table1[[#This Row],[Grand Total Savings]]/Table1[[#This Row],[Total Award]]</f>
        <v>0</v>
      </c>
      <c r="DJ259" s="17"/>
      <c r="DK259" s="17"/>
      <c r="DL259" s="17"/>
      <c r="DM259" s="17"/>
      <c r="EC259" s="17"/>
      <c r="ED259" s="17"/>
      <c r="EE259" s="17"/>
      <c r="EF259" s="17"/>
    </row>
    <row r="260" spans="1:136" ht="15.75" thickBot="1" x14ac:dyDescent="0.3">
      <c r="A260" s="185" t="s">
        <v>1206</v>
      </c>
      <c r="B260" s="181"/>
      <c r="C260" s="181"/>
      <c r="D260" s="97">
        <v>515300</v>
      </c>
      <c r="E260" s="158">
        <v>43472</v>
      </c>
      <c r="G260" s="95" t="s">
        <v>1109</v>
      </c>
      <c r="H260" s="95" t="s">
        <v>6</v>
      </c>
      <c r="I260" s="17" t="s">
        <v>962</v>
      </c>
      <c r="J260" s="17" t="s">
        <v>132</v>
      </c>
      <c r="K260" s="107">
        <v>4800</v>
      </c>
      <c r="L260" s="107"/>
      <c r="M260" s="101" t="s">
        <v>1207</v>
      </c>
      <c r="N260" s="101" t="s">
        <v>1208</v>
      </c>
      <c r="O260" s="101" t="s">
        <v>1209</v>
      </c>
      <c r="P260" s="101" t="s">
        <v>1210</v>
      </c>
      <c r="Q260" s="101" t="s">
        <v>223</v>
      </c>
      <c r="R260" s="101" t="s">
        <v>129</v>
      </c>
      <c r="S260" s="101" t="s">
        <v>953</v>
      </c>
      <c r="T260" s="101" t="s">
        <v>953</v>
      </c>
      <c r="U260" s="101" t="s">
        <v>953</v>
      </c>
      <c r="V260" s="17" t="s">
        <v>140</v>
      </c>
      <c r="W260" s="17" t="s">
        <v>140</v>
      </c>
      <c r="X260" s="17" t="s">
        <v>140</v>
      </c>
      <c r="Y260" s="58">
        <v>0</v>
      </c>
      <c r="Z260" s="58">
        <v>0</v>
      </c>
      <c r="AA260" s="58">
        <v>0</v>
      </c>
      <c r="AB260" s="21">
        <v>0</v>
      </c>
      <c r="AC260" s="21">
        <v>0</v>
      </c>
      <c r="AD260" s="21">
        <v>0</v>
      </c>
      <c r="AE260" s="58" t="s">
        <v>13</v>
      </c>
      <c r="AF260" s="17" t="s">
        <v>129</v>
      </c>
      <c r="AG260" s="17"/>
      <c r="AI260" s="17" t="s">
        <v>964</v>
      </c>
      <c r="AJ260" s="21">
        <v>0</v>
      </c>
      <c r="AK260" s="31">
        <v>0</v>
      </c>
      <c r="AL260" s="21">
        <v>0</v>
      </c>
      <c r="AM260" s="31">
        <v>0</v>
      </c>
      <c r="AN260" s="21">
        <v>0</v>
      </c>
      <c r="AO260" s="31">
        <v>0</v>
      </c>
      <c r="AP260" s="21">
        <v>0</v>
      </c>
      <c r="AQ260" s="31">
        <v>0</v>
      </c>
      <c r="AR260" s="21">
        <v>0</v>
      </c>
      <c r="AS260" s="31">
        <v>0</v>
      </c>
      <c r="AT260" s="21">
        <v>0</v>
      </c>
      <c r="AU260" s="31">
        <v>0</v>
      </c>
      <c r="AV260" s="21">
        <v>0</v>
      </c>
      <c r="AW260" s="31">
        <v>0</v>
      </c>
      <c r="AX260" s="31">
        <v>0</v>
      </c>
      <c r="AY260" s="31">
        <v>0</v>
      </c>
      <c r="AZ260" s="31">
        <v>0</v>
      </c>
      <c r="BA260" s="31">
        <v>0</v>
      </c>
      <c r="BB260" s="31">
        <v>0</v>
      </c>
      <c r="BC260" s="31">
        <v>0</v>
      </c>
      <c r="BD260" s="31">
        <v>0</v>
      </c>
      <c r="BE260" s="31">
        <v>0</v>
      </c>
      <c r="BF260" s="31">
        <v>0</v>
      </c>
      <c r="BG260" s="31">
        <v>0</v>
      </c>
      <c r="BH260" s="31">
        <v>0</v>
      </c>
      <c r="BI260" s="31">
        <v>0</v>
      </c>
      <c r="BJ260" s="31">
        <v>0</v>
      </c>
      <c r="BK260" s="31">
        <v>0</v>
      </c>
      <c r="BL260" s="17" t="s">
        <v>964</v>
      </c>
      <c r="BM260" s="31">
        <v>0</v>
      </c>
      <c r="BN260" s="31">
        <v>0</v>
      </c>
      <c r="BO260" s="31">
        <v>0</v>
      </c>
      <c r="BP260" s="31">
        <v>0</v>
      </c>
      <c r="BQ260" s="58">
        <v>0</v>
      </c>
      <c r="BR260" s="58">
        <v>0</v>
      </c>
      <c r="BS260" s="31">
        <v>0</v>
      </c>
      <c r="BT260" s="31">
        <v>0</v>
      </c>
      <c r="BU260" s="31">
        <v>0</v>
      </c>
      <c r="BV260" s="31">
        <v>0</v>
      </c>
      <c r="BW260" s="21">
        <v>0</v>
      </c>
      <c r="BX260" s="31">
        <f>Table1[[#This Row],[Summer 2018 Price Check]]*Table1[[#This Row],[Spring 2019 Students]]</f>
        <v>0</v>
      </c>
      <c r="BY260" s="31">
        <f t="shared" si="187"/>
        <v>0</v>
      </c>
      <c r="BZ260" s="58">
        <f t="shared" si="188"/>
        <v>0</v>
      </c>
      <c r="CA260" s="17" t="s">
        <v>964</v>
      </c>
      <c r="CB260" s="21">
        <v>0</v>
      </c>
      <c r="CC260" s="21">
        <v>0</v>
      </c>
      <c r="CD260" s="21">
        <v>0</v>
      </c>
      <c r="CE260" s="21">
        <f t="shared" si="186"/>
        <v>0</v>
      </c>
      <c r="CF260" s="58">
        <v>0</v>
      </c>
      <c r="CG260" s="31">
        <f t="shared" si="189"/>
        <v>0</v>
      </c>
      <c r="CH260" s="58">
        <v>0</v>
      </c>
      <c r="CI260" s="21">
        <f>IF(Table1[[#This Row],[Check 3 Status]]="Continued", Table1[[#This Row],[Check 3 Students Summer]], 0)</f>
        <v>0</v>
      </c>
      <c r="CJ260" s="31">
        <f>Table1[[#This Row],[Check 3 Per Student Savings]]*CI260</f>
        <v>0</v>
      </c>
      <c r="CK260" s="21">
        <f>IF(Table1[[#This Row],[Check 3 Status]]="Continued", Table1[[#This Row],[Check 3 Students Fall]], 0)</f>
        <v>0</v>
      </c>
      <c r="CL260" s="31">
        <f>Table1[[#This Row],[Check 3 Per Student Savings]]*CK260</f>
        <v>0</v>
      </c>
      <c r="CM260" s="21">
        <f>IF(Table1[[#This Row],[Check 3 Status]]="Continued", Table1[[#This Row],[Check 3 Students Spring]], 0)</f>
        <v>0</v>
      </c>
      <c r="CN260" s="31">
        <f>Table1[[#This Row],[Check 3 Per Student Savings]]*CM260</f>
        <v>0</v>
      </c>
      <c r="CO260" s="21">
        <f t="shared" si="190"/>
        <v>0</v>
      </c>
      <c r="CP260" s="31">
        <f t="shared" si="191"/>
        <v>0</v>
      </c>
      <c r="CQ260" s="31" t="s">
        <v>964</v>
      </c>
      <c r="CR260" s="21">
        <v>0</v>
      </c>
      <c r="CS260" s="21">
        <v>0</v>
      </c>
      <c r="CT260" s="21">
        <v>0</v>
      </c>
      <c r="CU260" s="21">
        <f t="shared" si="192"/>
        <v>0</v>
      </c>
      <c r="CV260" s="31">
        <v>0</v>
      </c>
      <c r="CW260" s="31">
        <f t="shared" si="193"/>
        <v>0</v>
      </c>
      <c r="CY260" s="21">
        <f>IF(Table1[[#This Row],[Check 4 Status]]="Continued", Table1[[#This Row],[Check 4 Students Summer]], 0)</f>
        <v>0</v>
      </c>
      <c r="CZ260" s="58">
        <f>Table1[[#This Row],[Check 4 Per Student Savings]]*CY260</f>
        <v>0</v>
      </c>
      <c r="DA260" s="21">
        <f>IF(Table1[[#This Row],[Check 4 Status]]="Continued", Table1[[#This Row],[Check 4 Students Fall]], 0)</f>
        <v>0</v>
      </c>
      <c r="DB260" s="31">
        <f>Table1[[#This Row],[Check 4 Per Student Savings]]*DA260</f>
        <v>0</v>
      </c>
      <c r="DC260" s="21">
        <f>IF(Table1[[#This Row],[Check 4 Status]]="Continued", Table1[[#This Row],[Check 4 Students Spring]], 0)</f>
        <v>0</v>
      </c>
      <c r="DD260" s="58">
        <f>Table1[[#This Row],[Check 4 Per Student Savings]]*DC260</f>
        <v>0</v>
      </c>
      <c r="DE260" s="58">
        <f t="shared" si="194"/>
        <v>0</v>
      </c>
      <c r="DF260" s="58">
        <f t="shared" si="195"/>
        <v>0</v>
      </c>
      <c r="DG26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6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60" s="58">
        <f>Table1[[#This Row],[Grand Total Savings]]/Table1[[#This Row],[Total Award]]</f>
        <v>0</v>
      </c>
      <c r="DJ260" s="17"/>
      <c r="DK260" s="17"/>
      <c r="DL260" s="17"/>
      <c r="DM260" s="17"/>
      <c r="EC260" s="17"/>
      <c r="ED260" s="17"/>
      <c r="EE260" s="17"/>
      <c r="EF260" s="17"/>
    </row>
    <row r="261" spans="1:136" ht="15.75" thickBot="1" x14ac:dyDescent="0.3">
      <c r="A261" s="185" t="s">
        <v>1211</v>
      </c>
      <c r="B261" s="181"/>
      <c r="C261" s="181"/>
      <c r="D261" s="97">
        <v>515299</v>
      </c>
      <c r="E261" s="158">
        <v>43472</v>
      </c>
      <c r="G261" s="187" t="s">
        <v>1109</v>
      </c>
      <c r="H261" s="95" t="s">
        <v>6</v>
      </c>
      <c r="I261" s="17" t="s">
        <v>962</v>
      </c>
      <c r="J261" s="17" t="s">
        <v>132</v>
      </c>
      <c r="K261" s="107">
        <v>4800</v>
      </c>
      <c r="L261" s="107"/>
      <c r="M261" s="101" t="s">
        <v>1212</v>
      </c>
      <c r="N261" s="101" t="s">
        <v>1213</v>
      </c>
      <c r="O261" s="101" t="s">
        <v>666</v>
      </c>
      <c r="P261" s="101" t="s">
        <v>667</v>
      </c>
      <c r="Q261" s="101" t="s">
        <v>177</v>
      </c>
      <c r="R261" s="101" t="s">
        <v>129</v>
      </c>
      <c r="S261" s="101" t="s">
        <v>953</v>
      </c>
      <c r="T261" s="101" t="s">
        <v>953</v>
      </c>
      <c r="U261" s="101" t="s">
        <v>953</v>
      </c>
      <c r="V261" s="17" t="s">
        <v>140</v>
      </c>
      <c r="W261" s="17" t="s">
        <v>140</v>
      </c>
      <c r="X261" s="17" t="s">
        <v>140</v>
      </c>
      <c r="Y261" s="58">
        <v>0</v>
      </c>
      <c r="Z261" s="58">
        <v>0</v>
      </c>
      <c r="AA261" s="58">
        <v>0</v>
      </c>
      <c r="AB261" s="21">
        <v>0</v>
      </c>
      <c r="AC261" s="21">
        <v>0</v>
      </c>
      <c r="AD261" s="21">
        <v>0</v>
      </c>
      <c r="AE261" s="58" t="s">
        <v>13</v>
      </c>
      <c r="AF261" s="17" t="s">
        <v>129</v>
      </c>
      <c r="AG261" s="17"/>
      <c r="AI261" s="17" t="s">
        <v>964</v>
      </c>
      <c r="AJ261" s="21">
        <v>0</v>
      </c>
      <c r="AK261" s="31">
        <v>0</v>
      </c>
      <c r="AL261" s="21">
        <v>0</v>
      </c>
      <c r="AM261" s="31">
        <v>0</v>
      </c>
      <c r="AN261" s="21">
        <v>0</v>
      </c>
      <c r="AO261" s="31">
        <v>0</v>
      </c>
      <c r="AP261" s="21">
        <v>0</v>
      </c>
      <c r="AQ261" s="31">
        <v>0</v>
      </c>
      <c r="AR261" s="21">
        <v>0</v>
      </c>
      <c r="AS261" s="31">
        <v>0</v>
      </c>
      <c r="AT261" s="21">
        <v>0</v>
      </c>
      <c r="AU261" s="31">
        <v>0</v>
      </c>
      <c r="AV261" s="21">
        <v>0</v>
      </c>
      <c r="AW261" s="31">
        <v>0</v>
      </c>
      <c r="AX261" s="31">
        <v>0</v>
      </c>
      <c r="AY261" s="31">
        <v>0</v>
      </c>
      <c r="AZ261" s="31">
        <v>0</v>
      </c>
      <c r="BA261" s="31">
        <v>0</v>
      </c>
      <c r="BB261" s="31">
        <v>0</v>
      </c>
      <c r="BC261" s="31">
        <v>0</v>
      </c>
      <c r="BD261" s="31">
        <v>0</v>
      </c>
      <c r="BE261" s="31">
        <v>0</v>
      </c>
      <c r="BF261" s="31">
        <v>0</v>
      </c>
      <c r="BG261" s="31">
        <v>0</v>
      </c>
      <c r="BH261" s="31">
        <v>0</v>
      </c>
      <c r="BI261" s="31">
        <v>0</v>
      </c>
      <c r="BJ261" s="31">
        <v>0</v>
      </c>
      <c r="BK261" s="31">
        <v>0</v>
      </c>
      <c r="BL261" s="17" t="s">
        <v>964</v>
      </c>
      <c r="BM261" s="31">
        <v>0</v>
      </c>
      <c r="BN261" s="31">
        <v>0</v>
      </c>
      <c r="BO261" s="31">
        <v>0</v>
      </c>
      <c r="BP261" s="31">
        <v>0</v>
      </c>
      <c r="BQ261" s="58">
        <v>0</v>
      </c>
      <c r="BR261" s="58">
        <v>0</v>
      </c>
      <c r="BS261" s="31">
        <v>0</v>
      </c>
      <c r="BT261" s="31">
        <v>0</v>
      </c>
      <c r="BU261" s="31">
        <v>0</v>
      </c>
      <c r="BV261" s="31">
        <v>0</v>
      </c>
      <c r="BW261" s="21">
        <v>0</v>
      </c>
      <c r="BX261" s="31">
        <f>Table1[[#This Row],[Summer 2018 Price Check]]*Table1[[#This Row],[Spring 2019 Students]]</f>
        <v>0</v>
      </c>
      <c r="BY261" s="31">
        <f t="shared" si="187"/>
        <v>0</v>
      </c>
      <c r="BZ261" s="58">
        <f t="shared" si="188"/>
        <v>0</v>
      </c>
      <c r="CA261" s="17" t="s">
        <v>964</v>
      </c>
      <c r="CB261" s="21">
        <v>0</v>
      </c>
      <c r="CC261" s="21">
        <v>0</v>
      </c>
      <c r="CD261" s="21">
        <v>0</v>
      </c>
      <c r="CE261" s="21">
        <f t="shared" si="186"/>
        <v>0</v>
      </c>
      <c r="CF261" s="58">
        <v>0</v>
      </c>
      <c r="CG261" s="31">
        <f t="shared" si="189"/>
        <v>0</v>
      </c>
      <c r="CH261" s="58">
        <v>0</v>
      </c>
      <c r="CI261" s="21">
        <f>IF(Table1[[#This Row],[Check 3 Status]]="Continued", Table1[[#This Row],[Check 3 Students Summer]], 0)</f>
        <v>0</v>
      </c>
      <c r="CJ261" s="31">
        <f>Table1[[#This Row],[Check 3 Per Student Savings]]*CI261</f>
        <v>0</v>
      </c>
      <c r="CK261" s="21">
        <f>IF(Table1[[#This Row],[Check 3 Status]]="Continued", Table1[[#This Row],[Check 3 Students Fall]], 0)</f>
        <v>0</v>
      </c>
      <c r="CL261" s="31">
        <f>Table1[[#This Row],[Check 3 Per Student Savings]]*CK261</f>
        <v>0</v>
      </c>
      <c r="CM261" s="21">
        <f>IF(Table1[[#This Row],[Check 3 Status]]="Continued", Table1[[#This Row],[Check 3 Students Spring]], 0)</f>
        <v>0</v>
      </c>
      <c r="CN261" s="31">
        <f>Table1[[#This Row],[Check 3 Per Student Savings]]*CM261</f>
        <v>0</v>
      </c>
      <c r="CO261" s="21">
        <f t="shared" si="190"/>
        <v>0</v>
      </c>
      <c r="CP261" s="31">
        <f t="shared" si="191"/>
        <v>0</v>
      </c>
      <c r="CQ261" s="31" t="s">
        <v>964</v>
      </c>
      <c r="CR261" s="21">
        <v>0</v>
      </c>
      <c r="CS261" s="21">
        <v>0</v>
      </c>
      <c r="CT261" s="21">
        <v>0</v>
      </c>
      <c r="CU261" s="21">
        <f t="shared" si="192"/>
        <v>0</v>
      </c>
      <c r="CV261" s="31">
        <v>0</v>
      </c>
      <c r="CW261" s="31">
        <f t="shared" si="193"/>
        <v>0</v>
      </c>
      <c r="CY261" s="21">
        <f>IF(Table1[[#This Row],[Check 4 Status]]="Continued", Table1[[#This Row],[Check 4 Students Summer]], 0)</f>
        <v>0</v>
      </c>
      <c r="CZ261" s="58">
        <f>Table1[[#This Row],[Check 4 Per Student Savings]]*CY261</f>
        <v>0</v>
      </c>
      <c r="DA261" s="21">
        <f>IF(Table1[[#This Row],[Check 4 Status]]="Continued", Table1[[#This Row],[Check 4 Students Fall]], 0)</f>
        <v>0</v>
      </c>
      <c r="DB261" s="31">
        <f>Table1[[#This Row],[Check 4 Per Student Savings]]*DA261</f>
        <v>0</v>
      </c>
      <c r="DC261" s="21">
        <f>IF(Table1[[#This Row],[Check 4 Status]]="Continued", Table1[[#This Row],[Check 4 Students Spring]], 0)</f>
        <v>0</v>
      </c>
      <c r="DD261" s="58">
        <f>Table1[[#This Row],[Check 4 Per Student Savings]]*DC261</f>
        <v>0</v>
      </c>
      <c r="DE261" s="58">
        <f t="shared" si="194"/>
        <v>0</v>
      </c>
      <c r="DF261" s="58">
        <f t="shared" si="195"/>
        <v>0</v>
      </c>
      <c r="DG26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6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61" s="58">
        <f>Table1[[#This Row],[Grand Total Savings]]/Table1[[#This Row],[Total Award]]</f>
        <v>0</v>
      </c>
      <c r="DJ261" s="17"/>
      <c r="DK261" s="17"/>
      <c r="DL261" s="17"/>
      <c r="DM261" s="17"/>
      <c r="EC261" s="17"/>
      <c r="ED261" s="17"/>
      <c r="EE261" s="17"/>
      <c r="EF261" s="17"/>
    </row>
    <row r="262" spans="1:136" ht="15.75" thickBot="1" x14ac:dyDescent="0.3">
      <c r="A262" s="185" t="s">
        <v>1214</v>
      </c>
      <c r="B262" s="181"/>
      <c r="C262" s="181"/>
      <c r="D262" s="97">
        <v>504413</v>
      </c>
      <c r="E262" s="158">
        <v>43480</v>
      </c>
      <c r="G262" s="187" t="s">
        <v>1109</v>
      </c>
      <c r="H262" s="95" t="s">
        <v>6</v>
      </c>
      <c r="I262" s="17" t="s">
        <v>962</v>
      </c>
      <c r="J262" s="17" t="s">
        <v>276</v>
      </c>
      <c r="K262" s="107">
        <v>4800</v>
      </c>
      <c r="L262" s="107"/>
      <c r="M262" s="101" t="s">
        <v>826</v>
      </c>
      <c r="N262" s="101" t="s">
        <v>827</v>
      </c>
      <c r="O262" s="101" t="s">
        <v>1106</v>
      </c>
      <c r="P262" s="101" t="s">
        <v>1107</v>
      </c>
      <c r="Q262" s="101" t="s">
        <v>714</v>
      </c>
      <c r="R262" s="101" t="s">
        <v>1108</v>
      </c>
      <c r="S262" s="101" t="s">
        <v>953</v>
      </c>
      <c r="T262" s="101" t="s">
        <v>953</v>
      </c>
      <c r="U262" s="101" t="s">
        <v>953</v>
      </c>
      <c r="V262" s="17" t="s">
        <v>140</v>
      </c>
      <c r="W262" s="17" t="s">
        <v>140</v>
      </c>
      <c r="X262" s="17" t="s">
        <v>140</v>
      </c>
      <c r="Y262" s="58">
        <v>0</v>
      </c>
      <c r="Z262" s="58">
        <v>0</v>
      </c>
      <c r="AA262" s="58">
        <v>0</v>
      </c>
      <c r="AB262" s="21">
        <v>0</v>
      </c>
      <c r="AC262" s="21">
        <v>0</v>
      </c>
      <c r="AD262" s="21">
        <v>0</v>
      </c>
      <c r="AE262" s="58" t="s">
        <v>13</v>
      </c>
      <c r="AF262" s="17" t="s">
        <v>129</v>
      </c>
      <c r="AG262" s="17"/>
      <c r="AI262" s="17" t="s">
        <v>964</v>
      </c>
      <c r="AJ262" s="21">
        <v>0</v>
      </c>
      <c r="AK262" s="31">
        <v>0</v>
      </c>
      <c r="AL262" s="21">
        <v>0</v>
      </c>
      <c r="AM262" s="31">
        <v>0</v>
      </c>
      <c r="AN262" s="21">
        <v>0</v>
      </c>
      <c r="AO262" s="31">
        <v>0</v>
      </c>
      <c r="AP262" s="21">
        <v>0</v>
      </c>
      <c r="AQ262" s="31">
        <v>0</v>
      </c>
      <c r="AR262" s="21">
        <v>0</v>
      </c>
      <c r="AS262" s="31">
        <v>0</v>
      </c>
      <c r="AT262" s="21">
        <v>0</v>
      </c>
      <c r="AU262" s="31">
        <v>0</v>
      </c>
      <c r="AV262" s="21">
        <v>0</v>
      </c>
      <c r="AW262" s="31">
        <v>0</v>
      </c>
      <c r="AX262" s="31">
        <v>0</v>
      </c>
      <c r="AY262" s="31">
        <v>0</v>
      </c>
      <c r="AZ262" s="31">
        <v>0</v>
      </c>
      <c r="BA262" s="31">
        <v>0</v>
      </c>
      <c r="BB262" s="31">
        <v>0</v>
      </c>
      <c r="BC262" s="31">
        <v>0</v>
      </c>
      <c r="BD262" s="31">
        <v>0</v>
      </c>
      <c r="BE262" s="31">
        <v>0</v>
      </c>
      <c r="BF262" s="31">
        <v>0</v>
      </c>
      <c r="BG262" s="31">
        <v>0</v>
      </c>
      <c r="BH262" s="31">
        <v>0</v>
      </c>
      <c r="BI262" s="31">
        <v>0</v>
      </c>
      <c r="BJ262" s="31">
        <v>0</v>
      </c>
      <c r="BK262" s="31">
        <v>0</v>
      </c>
      <c r="BL262" s="17" t="s">
        <v>964</v>
      </c>
      <c r="BM262" s="31">
        <v>0</v>
      </c>
      <c r="BN262" s="31">
        <v>0</v>
      </c>
      <c r="BO262" s="31">
        <v>0</v>
      </c>
      <c r="BP262" s="31">
        <v>0</v>
      </c>
      <c r="BQ262" s="58">
        <v>0</v>
      </c>
      <c r="BR262" s="58">
        <v>0</v>
      </c>
      <c r="BS262" s="31">
        <v>0</v>
      </c>
      <c r="BT262" s="31">
        <v>0</v>
      </c>
      <c r="BU262" s="31">
        <v>0</v>
      </c>
      <c r="BV262" s="31">
        <v>0</v>
      </c>
      <c r="BW262" s="21">
        <v>0</v>
      </c>
      <c r="BX262" s="31">
        <f>Table1[[#This Row],[Summer 2018 Price Check]]*Table1[[#This Row],[Spring 2019 Students]]</f>
        <v>0</v>
      </c>
      <c r="BY262" s="31">
        <f t="shared" si="187"/>
        <v>0</v>
      </c>
      <c r="BZ262" s="58">
        <f t="shared" si="188"/>
        <v>0</v>
      </c>
      <c r="CA262" s="17" t="s">
        <v>964</v>
      </c>
      <c r="CB262" s="21">
        <v>0</v>
      </c>
      <c r="CC262" s="21">
        <v>0</v>
      </c>
      <c r="CD262" s="21">
        <v>0</v>
      </c>
      <c r="CE262" s="21">
        <f t="shared" si="186"/>
        <v>0</v>
      </c>
      <c r="CF262" s="58">
        <v>0</v>
      </c>
      <c r="CG262" s="31">
        <f t="shared" si="189"/>
        <v>0</v>
      </c>
      <c r="CH262" s="58">
        <v>0</v>
      </c>
      <c r="CI262" s="21">
        <f>IF(Table1[[#This Row],[Check 3 Status]]="Continued", Table1[[#This Row],[Check 3 Students Summer]], 0)</f>
        <v>0</v>
      </c>
      <c r="CJ262" s="31">
        <f>Table1[[#This Row],[Check 3 Per Student Savings]]*CI262</f>
        <v>0</v>
      </c>
      <c r="CK262" s="21">
        <f>IF(Table1[[#This Row],[Check 3 Status]]="Continued", Table1[[#This Row],[Check 3 Students Fall]], 0)</f>
        <v>0</v>
      </c>
      <c r="CL262" s="31">
        <f>Table1[[#This Row],[Check 3 Per Student Savings]]*CK262</f>
        <v>0</v>
      </c>
      <c r="CM262" s="21">
        <f>IF(Table1[[#This Row],[Check 3 Status]]="Continued", Table1[[#This Row],[Check 3 Students Spring]], 0)</f>
        <v>0</v>
      </c>
      <c r="CN262" s="31">
        <f>Table1[[#This Row],[Check 3 Per Student Savings]]*CM262</f>
        <v>0</v>
      </c>
      <c r="CO262" s="21">
        <f t="shared" si="190"/>
        <v>0</v>
      </c>
      <c r="CP262" s="31">
        <f t="shared" si="191"/>
        <v>0</v>
      </c>
      <c r="CQ262" s="31" t="s">
        <v>964</v>
      </c>
      <c r="CR262" s="21">
        <v>0</v>
      </c>
      <c r="CS262" s="21">
        <v>0</v>
      </c>
      <c r="CT262" s="21">
        <v>0</v>
      </c>
      <c r="CU262" s="21">
        <f t="shared" si="192"/>
        <v>0</v>
      </c>
      <c r="CV262" s="31">
        <v>0</v>
      </c>
      <c r="CW262" s="31">
        <f t="shared" si="193"/>
        <v>0</v>
      </c>
      <c r="CY262" s="21">
        <f>IF(Table1[[#This Row],[Check 4 Status]]="Continued", Table1[[#This Row],[Check 4 Students Summer]], 0)</f>
        <v>0</v>
      </c>
      <c r="CZ262" s="58">
        <f>Table1[[#This Row],[Check 4 Per Student Savings]]*CY262</f>
        <v>0</v>
      </c>
      <c r="DA262" s="21">
        <f>IF(Table1[[#This Row],[Check 4 Status]]="Continued", Table1[[#This Row],[Check 4 Students Fall]], 0)</f>
        <v>0</v>
      </c>
      <c r="DB262" s="31">
        <f>Table1[[#This Row],[Check 4 Per Student Savings]]*DA262</f>
        <v>0</v>
      </c>
      <c r="DC262" s="21">
        <f>IF(Table1[[#This Row],[Check 4 Status]]="Continued", Table1[[#This Row],[Check 4 Students Spring]], 0)</f>
        <v>0</v>
      </c>
      <c r="DD262" s="58">
        <f>Table1[[#This Row],[Check 4 Per Student Savings]]*DC262</f>
        <v>0</v>
      </c>
      <c r="DE262" s="58">
        <f t="shared" si="194"/>
        <v>0</v>
      </c>
      <c r="DF262" s="58">
        <f t="shared" si="195"/>
        <v>0</v>
      </c>
      <c r="DG26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6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62" s="58">
        <f>Table1[[#This Row],[Grand Total Savings]]/Table1[[#This Row],[Total Award]]</f>
        <v>0</v>
      </c>
      <c r="DJ262" s="17"/>
      <c r="DK262" s="17"/>
      <c r="DL262" s="17"/>
      <c r="DM262" s="17"/>
      <c r="EC262" s="17"/>
      <c r="ED262" s="17"/>
      <c r="EE262" s="17"/>
      <c r="EF262" s="17"/>
    </row>
    <row r="263" spans="1:136" ht="15.75" thickBot="1" x14ac:dyDescent="0.3">
      <c r="A263" s="185" t="s">
        <v>1215</v>
      </c>
      <c r="B263" s="181"/>
      <c r="C263" s="181"/>
      <c r="D263" s="97">
        <v>515720</v>
      </c>
      <c r="E263" s="158"/>
      <c r="G263" s="95" t="s">
        <v>1109</v>
      </c>
      <c r="H263" s="95" t="s">
        <v>6</v>
      </c>
      <c r="I263" s="17" t="s">
        <v>962</v>
      </c>
      <c r="J263" s="17" t="s">
        <v>166</v>
      </c>
      <c r="K263" s="107">
        <v>4240</v>
      </c>
      <c r="L263" s="107"/>
      <c r="M263" s="101" t="s">
        <v>1216</v>
      </c>
      <c r="N263" s="101" t="s">
        <v>459</v>
      </c>
      <c r="O263" s="101" t="s">
        <v>399</v>
      </c>
      <c r="P263" s="101" t="s">
        <v>398</v>
      </c>
      <c r="Q263" s="101" t="s">
        <v>248</v>
      </c>
      <c r="R263" s="101" t="s">
        <v>399</v>
      </c>
      <c r="S263" s="101" t="s">
        <v>953</v>
      </c>
      <c r="T263" s="101" t="s">
        <v>953</v>
      </c>
      <c r="U263" s="101" t="s">
        <v>953</v>
      </c>
      <c r="V263" s="17" t="s">
        <v>140</v>
      </c>
      <c r="W263" s="17" t="s">
        <v>140</v>
      </c>
      <c r="X263" s="17" t="s">
        <v>140</v>
      </c>
      <c r="Y263" s="58">
        <v>0</v>
      </c>
      <c r="Z263" s="58">
        <v>0</v>
      </c>
      <c r="AA263" s="58">
        <v>0</v>
      </c>
      <c r="AB263" s="21">
        <v>0</v>
      </c>
      <c r="AC263" s="21">
        <v>0</v>
      </c>
      <c r="AD263" s="21">
        <v>0</v>
      </c>
      <c r="AE263" s="58" t="s">
        <v>13</v>
      </c>
      <c r="AF263" s="17" t="s">
        <v>129</v>
      </c>
      <c r="AG263" s="17"/>
      <c r="AI263" s="17" t="s">
        <v>964</v>
      </c>
      <c r="AJ263" s="21">
        <v>0</v>
      </c>
      <c r="AK263" s="31">
        <v>0</v>
      </c>
      <c r="AL263" s="21">
        <v>0</v>
      </c>
      <c r="AM263" s="31">
        <v>0</v>
      </c>
      <c r="AN263" s="21">
        <v>0</v>
      </c>
      <c r="AO263" s="31">
        <v>0</v>
      </c>
      <c r="AP263" s="21">
        <v>0</v>
      </c>
      <c r="AQ263" s="31">
        <v>0</v>
      </c>
      <c r="AR263" s="21">
        <v>0</v>
      </c>
      <c r="AS263" s="31">
        <v>0</v>
      </c>
      <c r="AT263" s="21">
        <v>0</v>
      </c>
      <c r="AU263" s="31">
        <v>0</v>
      </c>
      <c r="AV263" s="21">
        <v>0</v>
      </c>
      <c r="AW263" s="31">
        <v>0</v>
      </c>
      <c r="AX263" s="31">
        <v>0</v>
      </c>
      <c r="AY263" s="31">
        <v>0</v>
      </c>
      <c r="AZ263" s="31">
        <v>0</v>
      </c>
      <c r="BA263" s="31">
        <v>0</v>
      </c>
      <c r="BB263" s="31">
        <v>0</v>
      </c>
      <c r="BC263" s="31">
        <v>0</v>
      </c>
      <c r="BD263" s="31">
        <v>0</v>
      </c>
      <c r="BE263" s="31">
        <v>0</v>
      </c>
      <c r="BF263" s="31">
        <v>0</v>
      </c>
      <c r="BG263" s="31">
        <v>0</v>
      </c>
      <c r="BH263" s="31">
        <v>0</v>
      </c>
      <c r="BI263" s="31">
        <v>0</v>
      </c>
      <c r="BJ263" s="31">
        <v>0</v>
      </c>
      <c r="BK263" s="31">
        <v>0</v>
      </c>
      <c r="BL263" s="17" t="s">
        <v>964</v>
      </c>
      <c r="BM263" s="31">
        <v>0</v>
      </c>
      <c r="BN263" s="31">
        <v>0</v>
      </c>
      <c r="BO263" s="31">
        <v>0</v>
      </c>
      <c r="BP263" s="31">
        <v>0</v>
      </c>
      <c r="BQ263" s="58">
        <v>0</v>
      </c>
      <c r="BR263" s="58">
        <v>0</v>
      </c>
      <c r="BS263" s="31">
        <v>0</v>
      </c>
      <c r="BT263" s="31">
        <v>0</v>
      </c>
      <c r="BU263" s="31">
        <v>0</v>
      </c>
      <c r="BV263" s="31">
        <v>0</v>
      </c>
      <c r="BW263" s="21">
        <v>0</v>
      </c>
      <c r="BX263" s="31">
        <f>Table1[[#This Row],[Summer 2018 Price Check]]*Table1[[#This Row],[Spring 2019 Students]]</f>
        <v>0</v>
      </c>
      <c r="BY263" s="31">
        <f t="shared" si="187"/>
        <v>0</v>
      </c>
      <c r="BZ263" s="58">
        <f t="shared" si="188"/>
        <v>0</v>
      </c>
      <c r="CA263" s="17" t="s">
        <v>964</v>
      </c>
      <c r="CB263" s="21">
        <v>0</v>
      </c>
      <c r="CC263" s="21">
        <v>0</v>
      </c>
      <c r="CD263" s="21">
        <v>0</v>
      </c>
      <c r="CE263" s="21">
        <f t="shared" si="186"/>
        <v>0</v>
      </c>
      <c r="CF263" s="58">
        <v>0</v>
      </c>
      <c r="CG263" s="31">
        <f t="shared" si="189"/>
        <v>0</v>
      </c>
      <c r="CH263" s="58">
        <v>0</v>
      </c>
      <c r="CI263" s="21">
        <f>IF(Table1[[#This Row],[Check 3 Status]]="Continued", Table1[[#This Row],[Check 3 Students Summer]], 0)</f>
        <v>0</v>
      </c>
      <c r="CJ263" s="31">
        <f>Table1[[#This Row],[Check 3 Per Student Savings]]*CI263</f>
        <v>0</v>
      </c>
      <c r="CK263" s="21">
        <f>IF(Table1[[#This Row],[Check 3 Status]]="Continued", Table1[[#This Row],[Check 3 Students Fall]], 0)</f>
        <v>0</v>
      </c>
      <c r="CL263" s="31">
        <f>Table1[[#This Row],[Check 3 Per Student Savings]]*CK263</f>
        <v>0</v>
      </c>
      <c r="CM263" s="21">
        <f>IF(Table1[[#This Row],[Check 3 Status]]="Continued", Table1[[#This Row],[Check 3 Students Spring]], 0)</f>
        <v>0</v>
      </c>
      <c r="CN263" s="31">
        <f>Table1[[#This Row],[Check 3 Per Student Savings]]*CM263</f>
        <v>0</v>
      </c>
      <c r="CO263" s="21">
        <f t="shared" si="190"/>
        <v>0</v>
      </c>
      <c r="CP263" s="31">
        <f t="shared" si="191"/>
        <v>0</v>
      </c>
      <c r="CQ263" s="31" t="s">
        <v>964</v>
      </c>
      <c r="CR263" s="21">
        <v>0</v>
      </c>
      <c r="CS263" s="21">
        <v>0</v>
      </c>
      <c r="CT263" s="21">
        <v>0</v>
      </c>
      <c r="CU263" s="21">
        <f t="shared" si="192"/>
        <v>0</v>
      </c>
      <c r="CV263" s="31">
        <v>0</v>
      </c>
      <c r="CW263" s="31">
        <f t="shared" si="193"/>
        <v>0</v>
      </c>
      <c r="CY263" s="21">
        <f>IF(Table1[[#This Row],[Check 4 Status]]="Continued", Table1[[#This Row],[Check 4 Students Summer]], 0)</f>
        <v>0</v>
      </c>
      <c r="CZ263" s="58">
        <f>Table1[[#This Row],[Check 4 Per Student Savings]]*CY263</f>
        <v>0</v>
      </c>
      <c r="DA263" s="21">
        <f>IF(Table1[[#This Row],[Check 4 Status]]="Continued", Table1[[#This Row],[Check 4 Students Fall]], 0)</f>
        <v>0</v>
      </c>
      <c r="DB263" s="31">
        <f>Table1[[#This Row],[Check 4 Per Student Savings]]*DA263</f>
        <v>0</v>
      </c>
      <c r="DC263" s="21">
        <f>IF(Table1[[#This Row],[Check 4 Status]]="Continued", Table1[[#This Row],[Check 4 Students Spring]], 0)</f>
        <v>0</v>
      </c>
      <c r="DD263" s="58">
        <f>Table1[[#This Row],[Check 4 Per Student Savings]]*DC263</f>
        <v>0</v>
      </c>
      <c r="DE263" s="58">
        <f t="shared" si="194"/>
        <v>0</v>
      </c>
      <c r="DF263" s="58">
        <f t="shared" si="195"/>
        <v>0</v>
      </c>
      <c r="DG26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6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63" s="58">
        <f>Table1[[#This Row],[Grand Total Savings]]/Table1[[#This Row],[Total Award]]</f>
        <v>0</v>
      </c>
      <c r="DJ263" s="17"/>
      <c r="DK263" s="17"/>
      <c r="DL263" s="17"/>
      <c r="DM263" s="17"/>
      <c r="EC263" s="17"/>
      <c r="ED263" s="17"/>
      <c r="EE263" s="17"/>
      <c r="EF263" s="17"/>
    </row>
    <row r="264" spans="1:136" ht="15.75" thickBot="1" x14ac:dyDescent="0.3">
      <c r="A264" s="185" t="s">
        <v>1217</v>
      </c>
      <c r="B264" s="181"/>
      <c r="C264" s="181"/>
      <c r="D264" s="97">
        <v>515351</v>
      </c>
      <c r="E264" s="158">
        <v>43446</v>
      </c>
      <c r="G264" s="95" t="s">
        <v>1109</v>
      </c>
      <c r="H264" s="95" t="s">
        <v>6</v>
      </c>
      <c r="I264" s="17" t="s">
        <v>962</v>
      </c>
      <c r="J264" s="17" t="s">
        <v>419</v>
      </c>
      <c r="K264" s="107">
        <v>4800</v>
      </c>
      <c r="L264" s="107"/>
      <c r="M264" s="101" t="s">
        <v>1218</v>
      </c>
      <c r="N264" s="101" t="s">
        <v>915</v>
      </c>
      <c r="O264" s="101" t="s">
        <v>215</v>
      </c>
      <c r="P264" s="101" t="s">
        <v>1219</v>
      </c>
      <c r="Q264" s="101" t="s">
        <v>148</v>
      </c>
      <c r="R264" s="101" t="s">
        <v>129</v>
      </c>
      <c r="S264" s="101" t="s">
        <v>953</v>
      </c>
      <c r="T264" s="101" t="s">
        <v>953</v>
      </c>
      <c r="U264" s="101" t="s">
        <v>953</v>
      </c>
      <c r="V264" s="17" t="s">
        <v>140</v>
      </c>
      <c r="W264" s="17" t="s">
        <v>140</v>
      </c>
      <c r="X264" s="17" t="s">
        <v>140</v>
      </c>
      <c r="Y264" s="58">
        <v>0</v>
      </c>
      <c r="Z264" s="58">
        <v>0</v>
      </c>
      <c r="AA264" s="58">
        <v>0</v>
      </c>
      <c r="AB264" s="21">
        <v>0</v>
      </c>
      <c r="AC264" s="21">
        <v>0</v>
      </c>
      <c r="AD264" s="21">
        <v>0</v>
      </c>
      <c r="AE264" s="58" t="s">
        <v>13</v>
      </c>
      <c r="AF264" s="17" t="s">
        <v>129</v>
      </c>
      <c r="AG264" s="17"/>
      <c r="AI264" s="17" t="s">
        <v>964</v>
      </c>
      <c r="AJ264" s="21">
        <v>0</v>
      </c>
      <c r="AK264" s="31">
        <v>0</v>
      </c>
      <c r="AL264" s="21">
        <v>0</v>
      </c>
      <c r="AM264" s="31">
        <v>0</v>
      </c>
      <c r="AN264" s="21">
        <v>0</v>
      </c>
      <c r="AO264" s="31">
        <v>0</v>
      </c>
      <c r="AP264" s="21">
        <v>0</v>
      </c>
      <c r="AQ264" s="31">
        <v>0</v>
      </c>
      <c r="AR264" s="21">
        <v>0</v>
      </c>
      <c r="AS264" s="31">
        <v>0</v>
      </c>
      <c r="AT264" s="21">
        <v>0</v>
      </c>
      <c r="AU264" s="31">
        <v>0</v>
      </c>
      <c r="AV264" s="21">
        <v>0</v>
      </c>
      <c r="AW264" s="31">
        <v>0</v>
      </c>
      <c r="AX264" s="31">
        <v>0</v>
      </c>
      <c r="AY264" s="31">
        <v>0</v>
      </c>
      <c r="AZ264" s="31">
        <v>0</v>
      </c>
      <c r="BA264" s="31">
        <v>0</v>
      </c>
      <c r="BB264" s="31">
        <v>0</v>
      </c>
      <c r="BC264" s="31">
        <v>0</v>
      </c>
      <c r="BD264" s="31">
        <v>0</v>
      </c>
      <c r="BE264" s="31">
        <v>0</v>
      </c>
      <c r="BF264" s="31">
        <v>0</v>
      </c>
      <c r="BG264" s="31">
        <v>0</v>
      </c>
      <c r="BH264" s="31">
        <v>0</v>
      </c>
      <c r="BI264" s="31">
        <v>0</v>
      </c>
      <c r="BJ264" s="31">
        <v>0</v>
      </c>
      <c r="BK264" s="31">
        <v>0</v>
      </c>
      <c r="BL264" s="17" t="s">
        <v>964</v>
      </c>
      <c r="BM264" s="31">
        <v>0</v>
      </c>
      <c r="BN264" s="31">
        <v>0</v>
      </c>
      <c r="BO264" s="31">
        <v>0</v>
      </c>
      <c r="BP264" s="31">
        <v>0</v>
      </c>
      <c r="BQ264" s="58">
        <v>0</v>
      </c>
      <c r="BR264" s="58">
        <v>0</v>
      </c>
      <c r="BS264" s="31">
        <v>0</v>
      </c>
      <c r="BT264" s="31">
        <v>0</v>
      </c>
      <c r="BU264" s="31">
        <v>0</v>
      </c>
      <c r="BV264" s="31">
        <v>0</v>
      </c>
      <c r="BW264" s="21">
        <v>0</v>
      </c>
      <c r="BX264" s="31">
        <f>Table1[[#This Row],[Summer 2018 Price Check]]*Table1[[#This Row],[Spring 2019 Students]]</f>
        <v>0</v>
      </c>
      <c r="BY264" s="31">
        <f t="shared" si="187"/>
        <v>0</v>
      </c>
      <c r="BZ264" s="58">
        <f t="shared" si="188"/>
        <v>0</v>
      </c>
      <c r="CA264" s="17" t="s">
        <v>964</v>
      </c>
      <c r="CB264" s="21">
        <v>0</v>
      </c>
      <c r="CC264" s="21">
        <v>0</v>
      </c>
      <c r="CD264" s="21">
        <v>0</v>
      </c>
      <c r="CE264" s="21">
        <f t="shared" si="186"/>
        <v>0</v>
      </c>
      <c r="CF264" s="58">
        <v>0</v>
      </c>
      <c r="CG264" s="31">
        <f t="shared" si="189"/>
        <v>0</v>
      </c>
      <c r="CH264" s="58">
        <v>0</v>
      </c>
      <c r="CI264" s="21">
        <f>IF(Table1[[#This Row],[Check 3 Status]]="Continued", Table1[[#This Row],[Check 3 Students Summer]], 0)</f>
        <v>0</v>
      </c>
      <c r="CJ264" s="31">
        <f>Table1[[#This Row],[Check 3 Per Student Savings]]*CI264</f>
        <v>0</v>
      </c>
      <c r="CK264" s="21">
        <f>IF(Table1[[#This Row],[Check 3 Status]]="Continued", Table1[[#This Row],[Check 3 Students Fall]], 0)</f>
        <v>0</v>
      </c>
      <c r="CL264" s="31">
        <f>Table1[[#This Row],[Check 3 Per Student Savings]]*CK264</f>
        <v>0</v>
      </c>
      <c r="CM264" s="21">
        <f>IF(Table1[[#This Row],[Check 3 Status]]="Continued", Table1[[#This Row],[Check 3 Students Spring]], 0)</f>
        <v>0</v>
      </c>
      <c r="CN264" s="31">
        <f>Table1[[#This Row],[Check 3 Per Student Savings]]*CM264</f>
        <v>0</v>
      </c>
      <c r="CO264" s="21">
        <f t="shared" si="190"/>
        <v>0</v>
      </c>
      <c r="CP264" s="31">
        <f t="shared" si="191"/>
        <v>0</v>
      </c>
      <c r="CQ264" s="31" t="s">
        <v>964</v>
      </c>
      <c r="CR264" s="21">
        <v>0</v>
      </c>
      <c r="CS264" s="21">
        <v>0</v>
      </c>
      <c r="CT264" s="21">
        <v>0</v>
      </c>
      <c r="CU264" s="21">
        <f t="shared" si="192"/>
        <v>0</v>
      </c>
      <c r="CV264" s="31">
        <v>0</v>
      </c>
      <c r="CW264" s="31">
        <f t="shared" si="193"/>
        <v>0</v>
      </c>
      <c r="CY264" s="21">
        <f>IF(Table1[[#This Row],[Check 4 Status]]="Continued", Table1[[#This Row],[Check 4 Students Summer]], 0)</f>
        <v>0</v>
      </c>
      <c r="CZ264" s="58">
        <f>Table1[[#This Row],[Check 4 Per Student Savings]]*CY264</f>
        <v>0</v>
      </c>
      <c r="DA264" s="21">
        <f>IF(Table1[[#This Row],[Check 4 Status]]="Continued", Table1[[#This Row],[Check 4 Students Fall]], 0)</f>
        <v>0</v>
      </c>
      <c r="DB264" s="31">
        <f>Table1[[#This Row],[Check 4 Per Student Savings]]*DA264</f>
        <v>0</v>
      </c>
      <c r="DC264" s="21">
        <f>IF(Table1[[#This Row],[Check 4 Status]]="Continued", Table1[[#This Row],[Check 4 Students Spring]], 0)</f>
        <v>0</v>
      </c>
      <c r="DD264" s="58">
        <f>Table1[[#This Row],[Check 4 Per Student Savings]]*DC264</f>
        <v>0</v>
      </c>
      <c r="DE264" s="58">
        <f t="shared" si="194"/>
        <v>0</v>
      </c>
      <c r="DF264" s="58">
        <f t="shared" si="195"/>
        <v>0</v>
      </c>
      <c r="DG26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6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64" s="58">
        <f>Table1[[#This Row],[Grand Total Savings]]/Table1[[#This Row],[Total Award]]</f>
        <v>0</v>
      </c>
      <c r="DJ264" s="17"/>
      <c r="DK264" s="17"/>
      <c r="DL264" s="17"/>
      <c r="DM264" s="17"/>
      <c r="EC264" s="17"/>
      <c r="ED264" s="17"/>
      <c r="EE264" s="17"/>
      <c r="EF264" s="17"/>
    </row>
    <row r="265" spans="1:136" ht="15.75" thickBot="1" x14ac:dyDescent="0.3">
      <c r="A265" s="185" t="s">
        <v>1220</v>
      </c>
      <c r="B265" s="181"/>
      <c r="C265" s="181"/>
      <c r="D265" s="97">
        <v>515343</v>
      </c>
      <c r="E265" s="158">
        <v>43480</v>
      </c>
      <c r="G265" s="95" t="s">
        <v>1109</v>
      </c>
      <c r="H265" s="95" t="s">
        <v>6</v>
      </c>
      <c r="I265" s="17" t="s">
        <v>962</v>
      </c>
      <c r="J265" s="17" t="s">
        <v>276</v>
      </c>
      <c r="K265" s="107">
        <v>4800</v>
      </c>
      <c r="L265" s="107"/>
      <c r="M265" s="101" t="s">
        <v>763</v>
      </c>
      <c r="N265" s="101" t="s">
        <v>764</v>
      </c>
      <c r="O265" s="101" t="s">
        <v>892</v>
      </c>
      <c r="P265" s="101" t="s">
        <v>893</v>
      </c>
      <c r="Q265" s="101" t="s">
        <v>192</v>
      </c>
      <c r="R265" s="101" t="s">
        <v>129</v>
      </c>
      <c r="S265" s="101" t="s">
        <v>953</v>
      </c>
      <c r="T265" s="101" t="s">
        <v>953</v>
      </c>
      <c r="U265" s="101" t="s">
        <v>953</v>
      </c>
      <c r="V265" s="17" t="s">
        <v>140</v>
      </c>
      <c r="W265" s="17" t="s">
        <v>140</v>
      </c>
      <c r="X265" s="17" t="s">
        <v>140</v>
      </c>
      <c r="Y265" s="58">
        <v>0</v>
      </c>
      <c r="Z265" s="58">
        <v>0</v>
      </c>
      <c r="AA265" s="58">
        <v>0</v>
      </c>
      <c r="AB265" s="21">
        <v>0</v>
      </c>
      <c r="AC265" s="21">
        <v>0</v>
      </c>
      <c r="AD265" s="21">
        <v>0</v>
      </c>
      <c r="AE265" s="58" t="s">
        <v>13</v>
      </c>
      <c r="AF265" s="17" t="s">
        <v>129</v>
      </c>
      <c r="AG265" s="17"/>
      <c r="AI265" s="17" t="s">
        <v>964</v>
      </c>
      <c r="AJ265" s="21">
        <v>0</v>
      </c>
      <c r="AK265" s="31">
        <v>0</v>
      </c>
      <c r="AL265" s="21">
        <v>0</v>
      </c>
      <c r="AM265" s="31">
        <v>0</v>
      </c>
      <c r="AN265" s="21">
        <v>0</v>
      </c>
      <c r="AO265" s="31">
        <v>0</v>
      </c>
      <c r="AP265" s="21">
        <v>0</v>
      </c>
      <c r="AQ265" s="31">
        <v>0</v>
      </c>
      <c r="AR265" s="21">
        <v>0</v>
      </c>
      <c r="AS265" s="31">
        <v>0</v>
      </c>
      <c r="AT265" s="21">
        <v>0</v>
      </c>
      <c r="AU265" s="31">
        <v>0</v>
      </c>
      <c r="AV265" s="21">
        <v>0</v>
      </c>
      <c r="AW265" s="31">
        <v>0</v>
      </c>
      <c r="AX265" s="31">
        <v>0</v>
      </c>
      <c r="AY265" s="31">
        <v>0</v>
      </c>
      <c r="AZ265" s="31">
        <v>0</v>
      </c>
      <c r="BA265" s="31">
        <v>0</v>
      </c>
      <c r="BB265" s="31">
        <v>0</v>
      </c>
      <c r="BC265" s="31">
        <v>0</v>
      </c>
      <c r="BD265" s="31">
        <v>0</v>
      </c>
      <c r="BE265" s="31">
        <v>0</v>
      </c>
      <c r="BF265" s="31">
        <v>0</v>
      </c>
      <c r="BG265" s="31">
        <v>0</v>
      </c>
      <c r="BH265" s="31">
        <v>0</v>
      </c>
      <c r="BI265" s="31">
        <v>0</v>
      </c>
      <c r="BJ265" s="31">
        <v>0</v>
      </c>
      <c r="BK265" s="31">
        <v>0</v>
      </c>
      <c r="BL265" s="17" t="s">
        <v>964</v>
      </c>
      <c r="BM265" s="31">
        <v>0</v>
      </c>
      <c r="BN265" s="31">
        <v>0</v>
      </c>
      <c r="BO265" s="31">
        <v>0</v>
      </c>
      <c r="BP265" s="31">
        <v>0</v>
      </c>
      <c r="BQ265" s="58">
        <v>0</v>
      </c>
      <c r="BR265" s="58">
        <v>0</v>
      </c>
      <c r="BS265" s="31">
        <v>0</v>
      </c>
      <c r="BT265" s="31">
        <v>0</v>
      </c>
      <c r="BU265" s="31">
        <v>0</v>
      </c>
      <c r="BV265" s="31">
        <v>0</v>
      </c>
      <c r="BW265" s="21">
        <v>0</v>
      </c>
      <c r="BX265" s="31">
        <f>Table1[[#This Row],[Summer 2018 Price Check]]*Table1[[#This Row],[Spring 2019 Students]]</f>
        <v>0</v>
      </c>
      <c r="BY265" s="31">
        <f t="shared" si="187"/>
        <v>0</v>
      </c>
      <c r="BZ265" s="58">
        <f t="shared" si="188"/>
        <v>0</v>
      </c>
      <c r="CA265" s="17" t="s">
        <v>964</v>
      </c>
      <c r="CB265" s="21">
        <v>0</v>
      </c>
      <c r="CC265" s="21">
        <v>0</v>
      </c>
      <c r="CD265" s="21">
        <v>0</v>
      </c>
      <c r="CE265" s="21">
        <f t="shared" si="186"/>
        <v>0</v>
      </c>
      <c r="CF265" s="58">
        <v>0</v>
      </c>
      <c r="CG265" s="31">
        <f t="shared" si="189"/>
        <v>0</v>
      </c>
      <c r="CH265" s="58">
        <v>0</v>
      </c>
      <c r="CI265" s="21">
        <f>IF(Table1[[#This Row],[Check 3 Status]]="Continued", Table1[[#This Row],[Check 3 Students Summer]], 0)</f>
        <v>0</v>
      </c>
      <c r="CJ265" s="31">
        <f>Table1[[#This Row],[Check 3 Per Student Savings]]*CI265</f>
        <v>0</v>
      </c>
      <c r="CK265" s="21">
        <f>IF(Table1[[#This Row],[Check 3 Status]]="Continued", Table1[[#This Row],[Check 3 Students Fall]], 0)</f>
        <v>0</v>
      </c>
      <c r="CL265" s="31">
        <f>Table1[[#This Row],[Check 3 Per Student Savings]]*CK265</f>
        <v>0</v>
      </c>
      <c r="CM265" s="21">
        <f>IF(Table1[[#This Row],[Check 3 Status]]="Continued", Table1[[#This Row],[Check 3 Students Spring]], 0)</f>
        <v>0</v>
      </c>
      <c r="CN265" s="31">
        <f>Table1[[#This Row],[Check 3 Per Student Savings]]*CM265</f>
        <v>0</v>
      </c>
      <c r="CO265" s="21">
        <f t="shared" si="190"/>
        <v>0</v>
      </c>
      <c r="CP265" s="31">
        <f t="shared" si="191"/>
        <v>0</v>
      </c>
      <c r="CQ265" s="31" t="s">
        <v>964</v>
      </c>
      <c r="CR265" s="21">
        <v>0</v>
      </c>
      <c r="CS265" s="21">
        <v>0</v>
      </c>
      <c r="CT265" s="21">
        <v>0</v>
      </c>
      <c r="CU265" s="21">
        <f t="shared" si="192"/>
        <v>0</v>
      </c>
      <c r="CV265" s="31">
        <v>0</v>
      </c>
      <c r="CW265" s="31">
        <f t="shared" si="193"/>
        <v>0</v>
      </c>
      <c r="CY265" s="21">
        <f>IF(Table1[[#This Row],[Check 4 Status]]="Continued", Table1[[#This Row],[Check 4 Students Summer]], 0)</f>
        <v>0</v>
      </c>
      <c r="CZ265" s="58">
        <f>Table1[[#This Row],[Check 4 Per Student Savings]]*CY265</f>
        <v>0</v>
      </c>
      <c r="DA265" s="21">
        <f>IF(Table1[[#This Row],[Check 4 Status]]="Continued", Table1[[#This Row],[Check 4 Students Fall]], 0)</f>
        <v>0</v>
      </c>
      <c r="DB265" s="31">
        <f>Table1[[#This Row],[Check 4 Per Student Savings]]*DA265</f>
        <v>0</v>
      </c>
      <c r="DC265" s="21">
        <f>IF(Table1[[#This Row],[Check 4 Status]]="Continued", Table1[[#This Row],[Check 4 Students Spring]], 0)</f>
        <v>0</v>
      </c>
      <c r="DD265" s="58">
        <f>Table1[[#This Row],[Check 4 Per Student Savings]]*DC265</f>
        <v>0</v>
      </c>
      <c r="DE265" s="58">
        <f t="shared" si="194"/>
        <v>0</v>
      </c>
      <c r="DF265" s="58">
        <f t="shared" si="195"/>
        <v>0</v>
      </c>
      <c r="DG26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6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65" s="58">
        <f>Table1[[#This Row],[Grand Total Savings]]/Table1[[#This Row],[Total Award]]</f>
        <v>0</v>
      </c>
      <c r="DJ265" s="17"/>
      <c r="DK265" s="17"/>
      <c r="DL265" s="17"/>
      <c r="DM265" s="17"/>
      <c r="EC265" s="17"/>
      <c r="ED265" s="17"/>
      <c r="EE265" s="17"/>
      <c r="EF265" s="17"/>
    </row>
    <row r="266" spans="1:136" ht="15.75" thickBot="1" x14ac:dyDescent="0.3">
      <c r="A266" s="185" t="s">
        <v>1221</v>
      </c>
      <c r="B266" s="181"/>
      <c r="C266" s="181"/>
      <c r="D266" s="97">
        <v>515312</v>
      </c>
      <c r="E266" s="158">
        <v>43480</v>
      </c>
      <c r="G266" s="95" t="s">
        <v>1109</v>
      </c>
      <c r="H266" s="95" t="s">
        <v>6</v>
      </c>
      <c r="I266" s="17" t="s">
        <v>962</v>
      </c>
      <c r="J266" s="17" t="s">
        <v>243</v>
      </c>
      <c r="K266" s="107">
        <v>1600</v>
      </c>
      <c r="L266" s="107"/>
      <c r="M266" s="101" t="s">
        <v>1222</v>
      </c>
      <c r="N266" s="101" t="s">
        <v>1223</v>
      </c>
      <c r="O266" s="101" t="s">
        <v>1224</v>
      </c>
      <c r="P266" s="101" t="s">
        <v>1225</v>
      </c>
      <c r="Q266" s="101" t="s">
        <v>177</v>
      </c>
      <c r="R266" s="101" t="s">
        <v>1224</v>
      </c>
      <c r="S266" s="101" t="s">
        <v>953</v>
      </c>
      <c r="T266" s="101" t="s">
        <v>953</v>
      </c>
      <c r="U266" s="101" t="s">
        <v>953</v>
      </c>
      <c r="V266" s="17" t="s">
        <v>140</v>
      </c>
      <c r="W266" s="17" t="s">
        <v>140</v>
      </c>
      <c r="X266" s="17" t="s">
        <v>140</v>
      </c>
      <c r="Y266" s="58">
        <v>0</v>
      </c>
      <c r="Z266" s="58">
        <v>0</v>
      </c>
      <c r="AA266" s="58">
        <v>0</v>
      </c>
      <c r="AB266" s="21">
        <v>0</v>
      </c>
      <c r="AC266" s="21">
        <v>0</v>
      </c>
      <c r="AD266" s="21">
        <v>0</v>
      </c>
      <c r="AE266" s="58" t="s">
        <v>13</v>
      </c>
      <c r="AF266" s="17" t="s">
        <v>129</v>
      </c>
      <c r="AG266" s="17"/>
      <c r="AI266" s="17" t="s">
        <v>964</v>
      </c>
      <c r="AJ266" s="21">
        <v>0</v>
      </c>
      <c r="AK266" s="31">
        <v>0</v>
      </c>
      <c r="AL266" s="21">
        <v>0</v>
      </c>
      <c r="AM266" s="31">
        <v>0</v>
      </c>
      <c r="AN266" s="21">
        <v>0</v>
      </c>
      <c r="AO266" s="31">
        <v>0</v>
      </c>
      <c r="AP266" s="21">
        <v>0</v>
      </c>
      <c r="AQ266" s="31">
        <v>0</v>
      </c>
      <c r="AR266" s="21">
        <v>0</v>
      </c>
      <c r="AS266" s="31">
        <v>0</v>
      </c>
      <c r="AT266" s="21">
        <v>0</v>
      </c>
      <c r="AU266" s="31">
        <v>0</v>
      </c>
      <c r="AV266" s="21">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0</v>
      </c>
      <c r="BL266" s="17" t="s">
        <v>964</v>
      </c>
      <c r="BM266" s="31">
        <v>0</v>
      </c>
      <c r="BN266" s="31">
        <v>0</v>
      </c>
      <c r="BO266" s="31">
        <v>0</v>
      </c>
      <c r="BP266" s="31">
        <v>0</v>
      </c>
      <c r="BQ266" s="58">
        <v>0</v>
      </c>
      <c r="BR266" s="58">
        <v>0</v>
      </c>
      <c r="BS266" s="31">
        <v>0</v>
      </c>
      <c r="BT266" s="31">
        <v>0</v>
      </c>
      <c r="BU266" s="31">
        <v>0</v>
      </c>
      <c r="BV266" s="31">
        <v>0</v>
      </c>
      <c r="BW266" s="21">
        <v>0</v>
      </c>
      <c r="BX266" s="31">
        <f>Table1[[#This Row],[Summer 2018 Price Check]]*Table1[[#This Row],[Spring 2019 Students]]</f>
        <v>0</v>
      </c>
      <c r="BY266" s="31">
        <f t="shared" si="187"/>
        <v>0</v>
      </c>
      <c r="BZ266" s="58">
        <f t="shared" si="188"/>
        <v>0</v>
      </c>
      <c r="CA266" s="17" t="s">
        <v>964</v>
      </c>
      <c r="CB266" s="21">
        <v>0</v>
      </c>
      <c r="CC266" s="21">
        <v>0</v>
      </c>
      <c r="CD266" s="21">
        <v>0</v>
      </c>
      <c r="CE266" s="21">
        <f t="shared" si="186"/>
        <v>0</v>
      </c>
      <c r="CF266" s="58">
        <v>0</v>
      </c>
      <c r="CG266" s="31">
        <f t="shared" si="189"/>
        <v>0</v>
      </c>
      <c r="CH266" s="58">
        <v>0</v>
      </c>
      <c r="CI266" s="21">
        <f>IF(Table1[[#This Row],[Check 3 Status]]="Continued", Table1[[#This Row],[Check 3 Students Summer]], 0)</f>
        <v>0</v>
      </c>
      <c r="CJ266" s="31">
        <f>Table1[[#This Row],[Check 3 Per Student Savings]]*CI266</f>
        <v>0</v>
      </c>
      <c r="CK266" s="21">
        <f>IF(Table1[[#This Row],[Check 3 Status]]="Continued", Table1[[#This Row],[Check 3 Students Fall]], 0)</f>
        <v>0</v>
      </c>
      <c r="CL266" s="31">
        <f>Table1[[#This Row],[Check 3 Per Student Savings]]*CK266</f>
        <v>0</v>
      </c>
      <c r="CM266" s="21">
        <f>IF(Table1[[#This Row],[Check 3 Status]]="Continued", Table1[[#This Row],[Check 3 Students Spring]], 0)</f>
        <v>0</v>
      </c>
      <c r="CN266" s="31">
        <f>Table1[[#This Row],[Check 3 Per Student Savings]]*CM266</f>
        <v>0</v>
      </c>
      <c r="CO266" s="21">
        <f t="shared" si="190"/>
        <v>0</v>
      </c>
      <c r="CP266" s="31">
        <f t="shared" si="191"/>
        <v>0</v>
      </c>
      <c r="CQ266" s="31" t="s">
        <v>964</v>
      </c>
      <c r="CR266" s="21">
        <v>0</v>
      </c>
      <c r="CS266" s="21">
        <v>0</v>
      </c>
      <c r="CT266" s="21">
        <v>0</v>
      </c>
      <c r="CU266" s="21">
        <f t="shared" si="192"/>
        <v>0</v>
      </c>
      <c r="CV266" s="31">
        <v>0</v>
      </c>
      <c r="CW266" s="31">
        <f t="shared" si="193"/>
        <v>0</v>
      </c>
      <c r="CY266" s="21">
        <f>IF(Table1[[#This Row],[Check 4 Status]]="Continued", Table1[[#This Row],[Check 4 Students Summer]], 0)</f>
        <v>0</v>
      </c>
      <c r="CZ266" s="58">
        <f>Table1[[#This Row],[Check 4 Per Student Savings]]*CY266</f>
        <v>0</v>
      </c>
      <c r="DA266" s="21">
        <f>IF(Table1[[#This Row],[Check 4 Status]]="Continued", Table1[[#This Row],[Check 4 Students Fall]], 0)</f>
        <v>0</v>
      </c>
      <c r="DB266" s="31">
        <f>Table1[[#This Row],[Check 4 Per Student Savings]]*DA266</f>
        <v>0</v>
      </c>
      <c r="DC266" s="21">
        <f>IF(Table1[[#This Row],[Check 4 Status]]="Continued", Table1[[#This Row],[Check 4 Students Spring]], 0)</f>
        <v>0</v>
      </c>
      <c r="DD266" s="58">
        <f>Table1[[#This Row],[Check 4 Per Student Savings]]*DC266</f>
        <v>0</v>
      </c>
      <c r="DE266" s="58">
        <f t="shared" si="194"/>
        <v>0</v>
      </c>
      <c r="DF266" s="58">
        <f t="shared" si="195"/>
        <v>0</v>
      </c>
      <c r="DG26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6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66" s="58">
        <f>Table1[[#This Row],[Grand Total Savings]]/Table1[[#This Row],[Total Award]]</f>
        <v>0</v>
      </c>
      <c r="DJ266" s="17"/>
      <c r="DK266" s="17"/>
      <c r="DL266" s="17"/>
      <c r="DM266" s="17"/>
      <c r="EC266" s="17"/>
      <c r="ED266" s="17"/>
      <c r="EE266" s="17"/>
      <c r="EF266" s="17"/>
    </row>
    <row r="267" spans="1:136" ht="15.75" thickBot="1" x14ac:dyDescent="0.3">
      <c r="A267" s="185" t="s">
        <v>1226</v>
      </c>
      <c r="B267" s="181"/>
      <c r="C267" s="181"/>
      <c r="D267" s="97">
        <v>515601</v>
      </c>
      <c r="E267" s="158">
        <v>43546</v>
      </c>
      <c r="G267" s="95" t="s">
        <v>1109</v>
      </c>
      <c r="H267" s="95" t="s">
        <v>6</v>
      </c>
      <c r="I267" s="17" t="s">
        <v>962</v>
      </c>
      <c r="J267" s="17" t="s">
        <v>276</v>
      </c>
      <c r="K267" s="107">
        <v>4800</v>
      </c>
      <c r="L267" s="107"/>
      <c r="M267" s="101" t="s">
        <v>1026</v>
      </c>
      <c r="N267" s="101" t="s">
        <v>1027</v>
      </c>
      <c r="O267" s="101" t="s">
        <v>1227</v>
      </c>
      <c r="P267" s="101" t="s">
        <v>1228</v>
      </c>
      <c r="Q267" s="101" t="s">
        <v>192</v>
      </c>
      <c r="R267" s="101" t="s">
        <v>129</v>
      </c>
      <c r="S267" s="101" t="s">
        <v>953</v>
      </c>
      <c r="T267" s="101" t="s">
        <v>953</v>
      </c>
      <c r="U267" s="101" t="s">
        <v>953</v>
      </c>
      <c r="V267" s="17" t="s">
        <v>140</v>
      </c>
      <c r="W267" s="17" t="s">
        <v>140</v>
      </c>
      <c r="X267" s="17" t="s">
        <v>140</v>
      </c>
      <c r="Y267" s="58">
        <v>0</v>
      </c>
      <c r="Z267" s="58">
        <v>0</v>
      </c>
      <c r="AA267" s="58">
        <v>0</v>
      </c>
      <c r="AB267" s="21">
        <v>0</v>
      </c>
      <c r="AC267" s="21">
        <v>0</v>
      </c>
      <c r="AD267" s="21">
        <v>0</v>
      </c>
      <c r="AE267" s="58" t="s">
        <v>13</v>
      </c>
      <c r="AF267" s="17" t="s">
        <v>129</v>
      </c>
      <c r="AG267" s="17"/>
      <c r="AI267" s="17" t="s">
        <v>964</v>
      </c>
      <c r="AJ267" s="21">
        <v>0</v>
      </c>
      <c r="AK267" s="31">
        <v>0</v>
      </c>
      <c r="AL267" s="21">
        <v>0</v>
      </c>
      <c r="AM267" s="31">
        <v>0</v>
      </c>
      <c r="AN267" s="21">
        <v>0</v>
      </c>
      <c r="AO267" s="31">
        <v>0</v>
      </c>
      <c r="AP267" s="21">
        <v>0</v>
      </c>
      <c r="AQ267" s="31">
        <v>0</v>
      </c>
      <c r="AR267" s="21">
        <v>0</v>
      </c>
      <c r="AS267" s="31">
        <v>0</v>
      </c>
      <c r="AT267" s="21">
        <v>0</v>
      </c>
      <c r="AU267" s="31">
        <v>0</v>
      </c>
      <c r="AV267" s="21">
        <v>0</v>
      </c>
      <c r="AW267" s="31">
        <v>0</v>
      </c>
      <c r="AX267" s="31">
        <v>0</v>
      </c>
      <c r="AY267" s="31">
        <v>0</v>
      </c>
      <c r="AZ267" s="31">
        <v>0</v>
      </c>
      <c r="BA267" s="31">
        <v>0</v>
      </c>
      <c r="BB267" s="31">
        <v>0</v>
      </c>
      <c r="BC267" s="31">
        <v>0</v>
      </c>
      <c r="BD267" s="31">
        <v>0</v>
      </c>
      <c r="BE267" s="31">
        <v>0</v>
      </c>
      <c r="BF267" s="31">
        <v>0</v>
      </c>
      <c r="BG267" s="31">
        <v>0</v>
      </c>
      <c r="BH267" s="31">
        <v>0</v>
      </c>
      <c r="BI267" s="31">
        <v>0</v>
      </c>
      <c r="BJ267" s="31">
        <v>0</v>
      </c>
      <c r="BK267" s="31">
        <v>0</v>
      </c>
      <c r="BL267" s="17" t="s">
        <v>964</v>
      </c>
      <c r="BM267" s="31">
        <v>0</v>
      </c>
      <c r="BN267" s="31">
        <v>0</v>
      </c>
      <c r="BO267" s="31">
        <v>0</v>
      </c>
      <c r="BP267" s="31">
        <v>0</v>
      </c>
      <c r="BQ267" s="58">
        <v>0</v>
      </c>
      <c r="BR267" s="58">
        <v>0</v>
      </c>
      <c r="BS267" s="31">
        <v>0</v>
      </c>
      <c r="BT267" s="31">
        <v>0</v>
      </c>
      <c r="BU267" s="31">
        <v>0</v>
      </c>
      <c r="BV267" s="31">
        <v>0</v>
      </c>
      <c r="BW267" s="21">
        <v>0</v>
      </c>
      <c r="BX267" s="31">
        <f>Table1[[#This Row],[Summer 2018 Price Check]]*Table1[[#This Row],[Spring 2019 Students]]</f>
        <v>0</v>
      </c>
      <c r="BY267" s="31">
        <f t="shared" si="187"/>
        <v>0</v>
      </c>
      <c r="BZ267" s="58">
        <f t="shared" si="188"/>
        <v>0</v>
      </c>
      <c r="CA267" s="17" t="s">
        <v>964</v>
      </c>
      <c r="CB267" s="21">
        <v>0</v>
      </c>
      <c r="CC267" s="21">
        <v>0</v>
      </c>
      <c r="CD267" s="21">
        <v>0</v>
      </c>
      <c r="CE267" s="21">
        <f t="shared" si="186"/>
        <v>0</v>
      </c>
      <c r="CF267" s="58">
        <v>0</v>
      </c>
      <c r="CG267" s="31">
        <f t="shared" si="189"/>
        <v>0</v>
      </c>
      <c r="CH267" s="58">
        <v>0</v>
      </c>
      <c r="CI267" s="21">
        <f>IF(Table1[[#This Row],[Check 3 Status]]="Continued", Table1[[#This Row],[Check 3 Students Summer]], 0)</f>
        <v>0</v>
      </c>
      <c r="CJ267" s="31">
        <f>Table1[[#This Row],[Check 3 Per Student Savings]]*CI267</f>
        <v>0</v>
      </c>
      <c r="CK267" s="21">
        <f>IF(Table1[[#This Row],[Check 3 Status]]="Continued", Table1[[#This Row],[Check 3 Students Fall]], 0)</f>
        <v>0</v>
      </c>
      <c r="CL267" s="31">
        <f>Table1[[#This Row],[Check 3 Per Student Savings]]*CK267</f>
        <v>0</v>
      </c>
      <c r="CM267" s="21">
        <f>IF(Table1[[#This Row],[Check 3 Status]]="Continued", Table1[[#This Row],[Check 3 Students Spring]], 0)</f>
        <v>0</v>
      </c>
      <c r="CN267" s="31">
        <f>Table1[[#This Row],[Check 3 Per Student Savings]]*CM267</f>
        <v>0</v>
      </c>
      <c r="CO267" s="21">
        <f t="shared" si="190"/>
        <v>0</v>
      </c>
      <c r="CP267" s="31">
        <f t="shared" si="191"/>
        <v>0</v>
      </c>
      <c r="CQ267" s="31" t="s">
        <v>964</v>
      </c>
      <c r="CR267" s="21">
        <v>0</v>
      </c>
      <c r="CS267" s="21">
        <v>0</v>
      </c>
      <c r="CT267" s="21">
        <v>0</v>
      </c>
      <c r="CU267" s="21">
        <f t="shared" si="192"/>
        <v>0</v>
      </c>
      <c r="CV267" s="31">
        <v>0</v>
      </c>
      <c r="CW267" s="31">
        <f t="shared" si="193"/>
        <v>0</v>
      </c>
      <c r="CY267" s="21">
        <f>IF(Table1[[#This Row],[Check 4 Status]]="Continued", Table1[[#This Row],[Check 4 Students Summer]], 0)</f>
        <v>0</v>
      </c>
      <c r="CZ267" s="58">
        <f>Table1[[#This Row],[Check 4 Per Student Savings]]*CY267</f>
        <v>0</v>
      </c>
      <c r="DA267" s="21">
        <f>IF(Table1[[#This Row],[Check 4 Status]]="Continued", Table1[[#This Row],[Check 4 Students Fall]], 0)</f>
        <v>0</v>
      </c>
      <c r="DB267" s="31">
        <f>Table1[[#This Row],[Check 4 Per Student Savings]]*DA267</f>
        <v>0</v>
      </c>
      <c r="DC267" s="21">
        <f>IF(Table1[[#This Row],[Check 4 Status]]="Continued", Table1[[#This Row],[Check 4 Students Spring]], 0)</f>
        <v>0</v>
      </c>
      <c r="DD267" s="58">
        <f>Table1[[#This Row],[Check 4 Per Student Savings]]*DC267</f>
        <v>0</v>
      </c>
      <c r="DE267" s="58">
        <f t="shared" si="194"/>
        <v>0</v>
      </c>
      <c r="DF267" s="58">
        <f t="shared" si="195"/>
        <v>0</v>
      </c>
      <c r="DG26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6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67" s="58">
        <f>Table1[[#This Row],[Grand Total Savings]]/Table1[[#This Row],[Total Award]]</f>
        <v>0</v>
      </c>
      <c r="DJ267" s="17"/>
      <c r="DK267" s="17"/>
      <c r="DL267" s="17"/>
      <c r="DM267" s="17"/>
      <c r="EC267" s="17"/>
      <c r="ED267" s="17"/>
      <c r="EE267" s="17"/>
      <c r="EF267" s="17"/>
    </row>
    <row r="268" spans="1:136" ht="15.75" thickBot="1" x14ac:dyDescent="0.3">
      <c r="A268" s="185" t="s">
        <v>1229</v>
      </c>
      <c r="B268" s="181"/>
      <c r="C268" s="181"/>
      <c r="D268" s="97">
        <v>515342</v>
      </c>
      <c r="E268" s="158">
        <v>43490</v>
      </c>
      <c r="G268" s="95" t="s">
        <v>1109</v>
      </c>
      <c r="H268" s="95" t="s">
        <v>6</v>
      </c>
      <c r="I268" s="17" t="s">
        <v>962</v>
      </c>
      <c r="J268" s="17" t="s">
        <v>276</v>
      </c>
      <c r="K268" s="107">
        <v>4800</v>
      </c>
      <c r="L268" s="107"/>
      <c r="M268" s="101" t="s">
        <v>842</v>
      </c>
      <c r="N268" s="101" t="s">
        <v>1230</v>
      </c>
      <c r="O268" s="101" t="s">
        <v>1231</v>
      </c>
      <c r="P268" s="101" t="s">
        <v>1232</v>
      </c>
      <c r="Q268" s="101" t="s">
        <v>192</v>
      </c>
      <c r="R268" s="101" t="s">
        <v>129</v>
      </c>
      <c r="S268" s="101" t="s">
        <v>953</v>
      </c>
      <c r="T268" s="101" t="s">
        <v>953</v>
      </c>
      <c r="U268" s="101" t="s">
        <v>953</v>
      </c>
      <c r="V268" s="17" t="s">
        <v>140</v>
      </c>
      <c r="W268" s="17" t="s">
        <v>140</v>
      </c>
      <c r="X268" s="17" t="s">
        <v>140</v>
      </c>
      <c r="Y268" s="58">
        <v>0</v>
      </c>
      <c r="Z268" s="58">
        <v>0</v>
      </c>
      <c r="AA268" s="58">
        <v>0</v>
      </c>
      <c r="AB268" s="21">
        <v>0</v>
      </c>
      <c r="AC268" s="21">
        <v>0</v>
      </c>
      <c r="AD268" s="21">
        <v>0</v>
      </c>
      <c r="AE268" s="58" t="s">
        <v>13</v>
      </c>
      <c r="AF268" s="17" t="s">
        <v>129</v>
      </c>
      <c r="AG268" s="17"/>
      <c r="AI268" s="17" t="s">
        <v>964</v>
      </c>
      <c r="AJ268" s="21">
        <v>0</v>
      </c>
      <c r="AK268" s="31">
        <v>0</v>
      </c>
      <c r="AL268" s="21">
        <v>0</v>
      </c>
      <c r="AM268" s="31">
        <v>0</v>
      </c>
      <c r="AN268" s="21">
        <v>0</v>
      </c>
      <c r="AO268" s="31">
        <v>0</v>
      </c>
      <c r="AP268" s="21">
        <v>0</v>
      </c>
      <c r="AQ268" s="31">
        <v>0</v>
      </c>
      <c r="AR268" s="21">
        <v>0</v>
      </c>
      <c r="AS268" s="31">
        <v>0</v>
      </c>
      <c r="AT268" s="21">
        <v>0</v>
      </c>
      <c r="AU268" s="31">
        <v>0</v>
      </c>
      <c r="AV268" s="21">
        <v>0</v>
      </c>
      <c r="AW268" s="31">
        <v>0</v>
      </c>
      <c r="AX268" s="31">
        <v>0</v>
      </c>
      <c r="AY268" s="31">
        <v>0</v>
      </c>
      <c r="AZ268" s="31">
        <v>0</v>
      </c>
      <c r="BA268" s="31">
        <v>0</v>
      </c>
      <c r="BB268" s="31">
        <v>0</v>
      </c>
      <c r="BC268" s="31">
        <v>0</v>
      </c>
      <c r="BD268" s="31">
        <v>0</v>
      </c>
      <c r="BE268" s="31">
        <v>0</v>
      </c>
      <c r="BF268" s="31">
        <v>0</v>
      </c>
      <c r="BG268" s="31">
        <v>0</v>
      </c>
      <c r="BH268" s="31">
        <v>0</v>
      </c>
      <c r="BI268" s="31">
        <v>0</v>
      </c>
      <c r="BJ268" s="31">
        <v>0</v>
      </c>
      <c r="BK268" s="31">
        <v>0</v>
      </c>
      <c r="BL268" s="17" t="s">
        <v>964</v>
      </c>
      <c r="BM268" s="31">
        <v>0</v>
      </c>
      <c r="BN268" s="31">
        <v>0</v>
      </c>
      <c r="BO268" s="31">
        <v>0</v>
      </c>
      <c r="BP268" s="31">
        <v>0</v>
      </c>
      <c r="BQ268" s="58">
        <v>0</v>
      </c>
      <c r="BR268" s="58">
        <v>0</v>
      </c>
      <c r="BS268" s="31">
        <v>0</v>
      </c>
      <c r="BT268" s="31">
        <v>0</v>
      </c>
      <c r="BU268" s="31">
        <v>0</v>
      </c>
      <c r="BV268" s="31">
        <v>0</v>
      </c>
      <c r="BW268" s="21">
        <v>0</v>
      </c>
      <c r="BX268" s="31">
        <f>Table1[[#This Row],[Summer 2018 Price Check]]*Table1[[#This Row],[Spring 2019 Students]]</f>
        <v>0</v>
      </c>
      <c r="BY268" s="31">
        <f t="shared" si="187"/>
        <v>0</v>
      </c>
      <c r="BZ268" s="58">
        <f t="shared" si="188"/>
        <v>0</v>
      </c>
      <c r="CA268" s="17" t="s">
        <v>964</v>
      </c>
      <c r="CB268" s="21">
        <v>0</v>
      </c>
      <c r="CC268" s="21">
        <v>0</v>
      </c>
      <c r="CD268" s="21">
        <v>0</v>
      </c>
      <c r="CE268" s="21">
        <f t="shared" ref="CE268:CE299" si="196">CB268+CC268+CD268</f>
        <v>0</v>
      </c>
      <c r="CF268" s="58">
        <v>0</v>
      </c>
      <c r="CG268" s="31">
        <f t="shared" si="189"/>
        <v>0</v>
      </c>
      <c r="CH268" s="58">
        <v>0</v>
      </c>
      <c r="CI268" s="21">
        <f>IF(Table1[[#This Row],[Check 3 Status]]="Continued", Table1[[#This Row],[Check 3 Students Summer]], 0)</f>
        <v>0</v>
      </c>
      <c r="CJ268" s="31">
        <f>Table1[[#This Row],[Check 3 Per Student Savings]]*CI268</f>
        <v>0</v>
      </c>
      <c r="CK268" s="21">
        <f>IF(Table1[[#This Row],[Check 3 Status]]="Continued", Table1[[#This Row],[Check 3 Students Fall]], 0)</f>
        <v>0</v>
      </c>
      <c r="CL268" s="31">
        <f>Table1[[#This Row],[Check 3 Per Student Savings]]*CK268</f>
        <v>0</v>
      </c>
      <c r="CM268" s="21">
        <f>IF(Table1[[#This Row],[Check 3 Status]]="Continued", Table1[[#This Row],[Check 3 Students Spring]], 0)</f>
        <v>0</v>
      </c>
      <c r="CN268" s="31">
        <f>Table1[[#This Row],[Check 3 Per Student Savings]]*CM268</f>
        <v>0</v>
      </c>
      <c r="CO268" s="21">
        <f t="shared" si="190"/>
        <v>0</v>
      </c>
      <c r="CP268" s="31">
        <f t="shared" si="191"/>
        <v>0</v>
      </c>
      <c r="CQ268" s="31" t="s">
        <v>964</v>
      </c>
      <c r="CR268" s="21">
        <v>0</v>
      </c>
      <c r="CS268" s="21">
        <v>0</v>
      </c>
      <c r="CT268" s="21">
        <v>0</v>
      </c>
      <c r="CU268" s="21">
        <f t="shared" si="192"/>
        <v>0</v>
      </c>
      <c r="CV268" s="31">
        <v>0</v>
      </c>
      <c r="CW268" s="31">
        <f t="shared" si="193"/>
        <v>0</v>
      </c>
      <c r="CY268" s="21">
        <f>IF(Table1[[#This Row],[Check 4 Status]]="Continued", Table1[[#This Row],[Check 4 Students Summer]], 0)</f>
        <v>0</v>
      </c>
      <c r="CZ268" s="58">
        <f>Table1[[#This Row],[Check 4 Per Student Savings]]*CY268</f>
        <v>0</v>
      </c>
      <c r="DA268" s="21">
        <f>IF(Table1[[#This Row],[Check 4 Status]]="Continued", Table1[[#This Row],[Check 4 Students Fall]], 0)</f>
        <v>0</v>
      </c>
      <c r="DB268" s="31">
        <f>Table1[[#This Row],[Check 4 Per Student Savings]]*DA268</f>
        <v>0</v>
      </c>
      <c r="DC268" s="21">
        <f>IF(Table1[[#This Row],[Check 4 Status]]="Continued", Table1[[#This Row],[Check 4 Students Spring]], 0)</f>
        <v>0</v>
      </c>
      <c r="DD268" s="58">
        <f>Table1[[#This Row],[Check 4 Per Student Savings]]*DC268</f>
        <v>0</v>
      </c>
      <c r="DE268" s="58">
        <f t="shared" si="194"/>
        <v>0</v>
      </c>
      <c r="DF268" s="58">
        <f t="shared" si="195"/>
        <v>0</v>
      </c>
      <c r="DG26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6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68" s="58">
        <f>Table1[[#This Row],[Grand Total Savings]]/Table1[[#This Row],[Total Award]]</f>
        <v>0</v>
      </c>
      <c r="DJ268" s="17"/>
      <c r="DK268" s="17"/>
      <c r="DL268" s="17"/>
      <c r="DM268" s="17"/>
      <c r="EC268" s="17"/>
      <c r="ED268" s="17"/>
      <c r="EE268" s="17"/>
      <c r="EF268" s="17"/>
    </row>
    <row r="269" spans="1:136" ht="15.75" thickBot="1" x14ac:dyDescent="0.3">
      <c r="A269" s="185" t="s">
        <v>1233</v>
      </c>
      <c r="B269" s="181"/>
      <c r="C269" s="181"/>
      <c r="D269" s="97">
        <v>515285</v>
      </c>
      <c r="E269" s="158">
        <v>43437</v>
      </c>
      <c r="G269" s="95" t="s">
        <v>1109</v>
      </c>
      <c r="H269" s="95" t="s">
        <v>6</v>
      </c>
      <c r="I269" s="17" t="s">
        <v>962</v>
      </c>
      <c r="J269" s="17" t="s">
        <v>172</v>
      </c>
      <c r="K269" s="107">
        <v>4800</v>
      </c>
      <c r="L269" s="107"/>
      <c r="M269" s="101" t="s">
        <v>1234</v>
      </c>
      <c r="N269" s="101" t="s">
        <v>1235</v>
      </c>
      <c r="O269" s="101" t="s">
        <v>1236</v>
      </c>
      <c r="P269" s="101" t="s">
        <v>1237</v>
      </c>
      <c r="Q269" s="101" t="s">
        <v>137</v>
      </c>
      <c r="R269" s="101" t="s">
        <v>129</v>
      </c>
      <c r="S269" s="101" t="s">
        <v>953</v>
      </c>
      <c r="T269" s="101" t="s">
        <v>953</v>
      </c>
      <c r="U269" s="101" t="s">
        <v>953</v>
      </c>
      <c r="V269" s="17" t="s">
        <v>140</v>
      </c>
      <c r="W269" s="17" t="s">
        <v>140</v>
      </c>
      <c r="X269" s="17" t="s">
        <v>140</v>
      </c>
      <c r="Y269" s="58">
        <v>0</v>
      </c>
      <c r="Z269" s="58">
        <v>0</v>
      </c>
      <c r="AA269" s="58">
        <v>0</v>
      </c>
      <c r="AB269" s="21">
        <v>0</v>
      </c>
      <c r="AC269" s="21">
        <v>0</v>
      </c>
      <c r="AD269" s="21">
        <v>0</v>
      </c>
      <c r="AE269" s="58" t="s">
        <v>13</v>
      </c>
      <c r="AF269" s="17" t="s">
        <v>129</v>
      </c>
      <c r="AG269" s="17"/>
      <c r="AI269" s="17" t="s">
        <v>964</v>
      </c>
      <c r="AJ269" s="21">
        <v>0</v>
      </c>
      <c r="AK269" s="31">
        <v>0</v>
      </c>
      <c r="AL269" s="21">
        <v>0</v>
      </c>
      <c r="AM269" s="31">
        <v>0</v>
      </c>
      <c r="AN269" s="21">
        <v>0</v>
      </c>
      <c r="AO269" s="31">
        <v>0</v>
      </c>
      <c r="AP269" s="21">
        <v>0</v>
      </c>
      <c r="AQ269" s="31">
        <v>0</v>
      </c>
      <c r="AR269" s="21">
        <v>0</v>
      </c>
      <c r="AS269" s="31">
        <v>0</v>
      </c>
      <c r="AT269" s="21">
        <v>0</v>
      </c>
      <c r="AU269" s="31">
        <v>0</v>
      </c>
      <c r="AV269" s="21">
        <v>0</v>
      </c>
      <c r="AW269" s="31">
        <v>0</v>
      </c>
      <c r="AX269" s="31">
        <v>0</v>
      </c>
      <c r="AY269" s="31">
        <v>0</v>
      </c>
      <c r="AZ269" s="31">
        <v>0</v>
      </c>
      <c r="BA269" s="31">
        <v>0</v>
      </c>
      <c r="BB269" s="31">
        <v>0</v>
      </c>
      <c r="BC269" s="31">
        <v>0</v>
      </c>
      <c r="BD269" s="31">
        <v>0</v>
      </c>
      <c r="BE269" s="31">
        <v>0</v>
      </c>
      <c r="BF269" s="31">
        <v>0</v>
      </c>
      <c r="BG269" s="31">
        <v>0</v>
      </c>
      <c r="BH269" s="31">
        <v>0</v>
      </c>
      <c r="BI269" s="31">
        <v>0</v>
      </c>
      <c r="BJ269" s="31">
        <v>0</v>
      </c>
      <c r="BK269" s="31">
        <v>0</v>
      </c>
      <c r="BL269" s="17" t="s">
        <v>964</v>
      </c>
      <c r="BM269" s="31">
        <v>0</v>
      </c>
      <c r="BN269" s="31">
        <v>0</v>
      </c>
      <c r="BO269" s="31">
        <v>0</v>
      </c>
      <c r="BP269" s="31">
        <v>0</v>
      </c>
      <c r="BQ269" s="58">
        <v>0</v>
      </c>
      <c r="BR269" s="58">
        <v>0</v>
      </c>
      <c r="BS269" s="31">
        <v>0</v>
      </c>
      <c r="BT269" s="31">
        <v>0</v>
      </c>
      <c r="BU269" s="31">
        <v>0</v>
      </c>
      <c r="BV269" s="31">
        <v>0</v>
      </c>
      <c r="BW269" s="21">
        <v>0</v>
      </c>
      <c r="BX269" s="31">
        <f>Table1[[#This Row],[Summer 2018 Price Check]]*Table1[[#This Row],[Spring 2019 Students]]</f>
        <v>0</v>
      </c>
      <c r="BY269" s="31">
        <f t="shared" si="187"/>
        <v>0</v>
      </c>
      <c r="BZ269" s="58">
        <f t="shared" si="188"/>
        <v>0</v>
      </c>
      <c r="CA269" s="17" t="s">
        <v>964</v>
      </c>
      <c r="CB269" s="21">
        <v>0</v>
      </c>
      <c r="CC269" s="21">
        <v>0</v>
      </c>
      <c r="CD269" s="21">
        <v>0</v>
      </c>
      <c r="CE269" s="21">
        <f t="shared" si="196"/>
        <v>0</v>
      </c>
      <c r="CF269" s="58">
        <v>0</v>
      </c>
      <c r="CG269" s="31">
        <f t="shared" si="189"/>
        <v>0</v>
      </c>
      <c r="CH269" s="58">
        <v>0</v>
      </c>
      <c r="CI269" s="21">
        <f>IF(Table1[[#This Row],[Check 3 Status]]="Continued", Table1[[#This Row],[Check 3 Students Summer]], 0)</f>
        <v>0</v>
      </c>
      <c r="CJ269" s="31">
        <f>Table1[[#This Row],[Check 3 Per Student Savings]]*CI269</f>
        <v>0</v>
      </c>
      <c r="CK269" s="21">
        <f>IF(Table1[[#This Row],[Check 3 Status]]="Continued", Table1[[#This Row],[Check 3 Students Fall]], 0)</f>
        <v>0</v>
      </c>
      <c r="CL269" s="31">
        <f>Table1[[#This Row],[Check 3 Per Student Savings]]*CK269</f>
        <v>0</v>
      </c>
      <c r="CM269" s="21">
        <f>IF(Table1[[#This Row],[Check 3 Status]]="Continued", Table1[[#This Row],[Check 3 Students Spring]], 0)</f>
        <v>0</v>
      </c>
      <c r="CN269" s="31">
        <f>Table1[[#This Row],[Check 3 Per Student Savings]]*CM269</f>
        <v>0</v>
      </c>
      <c r="CO269" s="21">
        <f t="shared" si="190"/>
        <v>0</v>
      </c>
      <c r="CP269" s="31">
        <f t="shared" si="191"/>
        <v>0</v>
      </c>
      <c r="CQ269" s="31" t="s">
        <v>964</v>
      </c>
      <c r="CR269" s="21">
        <v>0</v>
      </c>
      <c r="CS269" s="21">
        <v>0</v>
      </c>
      <c r="CT269" s="21">
        <v>0</v>
      </c>
      <c r="CU269" s="21">
        <f t="shared" si="192"/>
        <v>0</v>
      </c>
      <c r="CV269" s="31">
        <v>0</v>
      </c>
      <c r="CW269" s="31">
        <f t="shared" si="193"/>
        <v>0</v>
      </c>
      <c r="CY269" s="21">
        <f>IF(Table1[[#This Row],[Check 4 Status]]="Continued", Table1[[#This Row],[Check 4 Students Summer]], 0)</f>
        <v>0</v>
      </c>
      <c r="CZ269" s="58">
        <f>Table1[[#This Row],[Check 4 Per Student Savings]]*CY269</f>
        <v>0</v>
      </c>
      <c r="DA269" s="21">
        <f>IF(Table1[[#This Row],[Check 4 Status]]="Continued", Table1[[#This Row],[Check 4 Students Fall]], 0)</f>
        <v>0</v>
      </c>
      <c r="DB269" s="31">
        <f>Table1[[#This Row],[Check 4 Per Student Savings]]*DA269</f>
        <v>0</v>
      </c>
      <c r="DC269" s="21">
        <f>IF(Table1[[#This Row],[Check 4 Status]]="Continued", Table1[[#This Row],[Check 4 Students Spring]], 0)</f>
        <v>0</v>
      </c>
      <c r="DD269" s="58">
        <f>Table1[[#This Row],[Check 4 Per Student Savings]]*DC269</f>
        <v>0</v>
      </c>
      <c r="DE269" s="58">
        <f t="shared" si="194"/>
        <v>0</v>
      </c>
      <c r="DF269" s="58">
        <f t="shared" si="195"/>
        <v>0</v>
      </c>
      <c r="DG26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6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69" s="58">
        <f>Table1[[#This Row],[Grand Total Savings]]/Table1[[#This Row],[Total Award]]</f>
        <v>0</v>
      </c>
      <c r="DJ269" s="17"/>
      <c r="DK269" s="17"/>
      <c r="DL269" s="17"/>
      <c r="DM269" s="17"/>
      <c r="EC269" s="17"/>
      <c r="ED269" s="17"/>
      <c r="EE269" s="17"/>
      <c r="EF269" s="17"/>
    </row>
    <row r="270" spans="1:136" ht="15.75" thickBot="1" x14ac:dyDescent="0.3">
      <c r="A270" s="185" t="s">
        <v>1238</v>
      </c>
      <c r="B270" s="181"/>
      <c r="C270" s="181"/>
      <c r="D270" s="97">
        <v>515298</v>
      </c>
      <c r="E270" s="158"/>
      <c r="G270" s="95" t="s">
        <v>1109</v>
      </c>
      <c r="H270" s="95" t="s">
        <v>6</v>
      </c>
      <c r="I270" s="17" t="s">
        <v>962</v>
      </c>
      <c r="J270" s="17" t="s">
        <v>132</v>
      </c>
      <c r="K270" s="107">
        <v>2444</v>
      </c>
      <c r="L270" s="107"/>
      <c r="M270" s="101" t="s">
        <v>1239</v>
      </c>
      <c r="N270" s="101" t="s">
        <v>1240</v>
      </c>
      <c r="O270" s="101" t="s">
        <v>1241</v>
      </c>
      <c r="P270" s="101" t="s">
        <v>1242</v>
      </c>
      <c r="Q270" s="101" t="s">
        <v>177</v>
      </c>
      <c r="R270" s="101" t="s">
        <v>129</v>
      </c>
      <c r="S270" s="101" t="s">
        <v>953</v>
      </c>
      <c r="T270" s="101" t="s">
        <v>953</v>
      </c>
      <c r="U270" s="101" t="s">
        <v>953</v>
      </c>
      <c r="V270" s="17" t="s">
        <v>140</v>
      </c>
      <c r="W270" s="17" t="s">
        <v>140</v>
      </c>
      <c r="X270" s="17" t="s">
        <v>140</v>
      </c>
      <c r="Y270" s="58">
        <v>0</v>
      </c>
      <c r="Z270" s="58">
        <v>0</v>
      </c>
      <c r="AA270" s="58">
        <v>0</v>
      </c>
      <c r="AB270" s="21">
        <v>0</v>
      </c>
      <c r="AC270" s="21">
        <v>0</v>
      </c>
      <c r="AD270" s="21">
        <v>0</v>
      </c>
      <c r="AE270" s="58" t="s">
        <v>13</v>
      </c>
      <c r="AF270" s="17" t="s">
        <v>129</v>
      </c>
      <c r="AG270" s="17"/>
      <c r="AI270" s="17" t="s">
        <v>964</v>
      </c>
      <c r="AJ270" s="21">
        <v>0</v>
      </c>
      <c r="AK270" s="31">
        <v>0</v>
      </c>
      <c r="AL270" s="21">
        <v>0</v>
      </c>
      <c r="AM270" s="31">
        <v>0</v>
      </c>
      <c r="AN270" s="21">
        <v>0</v>
      </c>
      <c r="AO270" s="31">
        <v>0</v>
      </c>
      <c r="AP270" s="21">
        <v>0</v>
      </c>
      <c r="AQ270" s="31">
        <v>0</v>
      </c>
      <c r="AR270" s="21">
        <v>0</v>
      </c>
      <c r="AS270" s="31">
        <v>0</v>
      </c>
      <c r="AT270" s="21">
        <v>0</v>
      </c>
      <c r="AU270" s="31">
        <v>0</v>
      </c>
      <c r="AV270" s="21">
        <v>0</v>
      </c>
      <c r="AW270" s="31">
        <v>0</v>
      </c>
      <c r="AX270" s="31">
        <v>0</v>
      </c>
      <c r="AY270" s="31">
        <v>0</v>
      </c>
      <c r="AZ270" s="31">
        <v>0</v>
      </c>
      <c r="BA270" s="31">
        <v>0</v>
      </c>
      <c r="BB270" s="31">
        <v>0</v>
      </c>
      <c r="BC270" s="31">
        <v>0</v>
      </c>
      <c r="BD270" s="31">
        <v>0</v>
      </c>
      <c r="BE270" s="31">
        <v>0</v>
      </c>
      <c r="BF270" s="31">
        <v>0</v>
      </c>
      <c r="BG270" s="31">
        <v>0</v>
      </c>
      <c r="BH270" s="31">
        <v>0</v>
      </c>
      <c r="BI270" s="31">
        <v>0</v>
      </c>
      <c r="BJ270" s="31">
        <v>0</v>
      </c>
      <c r="BK270" s="31">
        <v>0</v>
      </c>
      <c r="BL270" s="17" t="s">
        <v>964</v>
      </c>
      <c r="BM270" s="31">
        <v>0</v>
      </c>
      <c r="BN270" s="31">
        <v>0</v>
      </c>
      <c r="BO270" s="31">
        <v>0</v>
      </c>
      <c r="BP270" s="31">
        <v>0</v>
      </c>
      <c r="BQ270" s="58">
        <v>0</v>
      </c>
      <c r="BR270" s="58">
        <v>0</v>
      </c>
      <c r="BS270" s="31">
        <v>0</v>
      </c>
      <c r="BT270" s="31">
        <v>0</v>
      </c>
      <c r="BU270" s="31">
        <v>0</v>
      </c>
      <c r="BV270" s="31">
        <v>0</v>
      </c>
      <c r="BW270" s="21">
        <v>0</v>
      </c>
      <c r="BX270" s="31">
        <f>Table1[[#This Row],[Summer 2018 Price Check]]*Table1[[#This Row],[Spring 2019 Students]]</f>
        <v>0</v>
      </c>
      <c r="BY270" s="31">
        <f t="shared" si="187"/>
        <v>0</v>
      </c>
      <c r="BZ270" s="58">
        <f t="shared" si="188"/>
        <v>0</v>
      </c>
      <c r="CA270" s="17" t="s">
        <v>964</v>
      </c>
      <c r="CB270" s="21">
        <v>0</v>
      </c>
      <c r="CC270" s="21">
        <v>0</v>
      </c>
      <c r="CD270" s="21">
        <v>0</v>
      </c>
      <c r="CE270" s="21">
        <f t="shared" si="196"/>
        <v>0</v>
      </c>
      <c r="CF270" s="58">
        <v>0</v>
      </c>
      <c r="CG270" s="31">
        <f t="shared" si="189"/>
        <v>0</v>
      </c>
      <c r="CH270" s="58">
        <v>0</v>
      </c>
      <c r="CI270" s="21">
        <f>IF(Table1[[#This Row],[Check 3 Status]]="Continued", Table1[[#This Row],[Check 3 Students Summer]], 0)</f>
        <v>0</v>
      </c>
      <c r="CJ270" s="31">
        <f>Table1[[#This Row],[Check 3 Per Student Savings]]*CI270</f>
        <v>0</v>
      </c>
      <c r="CK270" s="21">
        <f>IF(Table1[[#This Row],[Check 3 Status]]="Continued", Table1[[#This Row],[Check 3 Students Fall]], 0)</f>
        <v>0</v>
      </c>
      <c r="CL270" s="31">
        <f>Table1[[#This Row],[Check 3 Per Student Savings]]*CK270</f>
        <v>0</v>
      </c>
      <c r="CM270" s="21">
        <f>IF(Table1[[#This Row],[Check 3 Status]]="Continued", Table1[[#This Row],[Check 3 Students Spring]], 0)</f>
        <v>0</v>
      </c>
      <c r="CN270" s="31">
        <f>Table1[[#This Row],[Check 3 Per Student Savings]]*CM270</f>
        <v>0</v>
      </c>
      <c r="CO270" s="21">
        <f t="shared" si="190"/>
        <v>0</v>
      </c>
      <c r="CP270" s="31">
        <f t="shared" si="191"/>
        <v>0</v>
      </c>
      <c r="CQ270" s="31" t="s">
        <v>964</v>
      </c>
      <c r="CR270" s="21">
        <v>0</v>
      </c>
      <c r="CS270" s="21">
        <v>0</v>
      </c>
      <c r="CT270" s="21">
        <v>0</v>
      </c>
      <c r="CU270" s="21">
        <f t="shared" si="192"/>
        <v>0</v>
      </c>
      <c r="CV270" s="31">
        <v>0</v>
      </c>
      <c r="CW270" s="31">
        <f t="shared" si="193"/>
        <v>0</v>
      </c>
      <c r="CY270" s="21">
        <f>IF(Table1[[#This Row],[Check 4 Status]]="Continued", Table1[[#This Row],[Check 4 Students Summer]], 0)</f>
        <v>0</v>
      </c>
      <c r="CZ270" s="58">
        <f>Table1[[#This Row],[Check 4 Per Student Savings]]*CY270</f>
        <v>0</v>
      </c>
      <c r="DA270" s="21">
        <f>IF(Table1[[#This Row],[Check 4 Status]]="Continued", Table1[[#This Row],[Check 4 Students Fall]], 0)</f>
        <v>0</v>
      </c>
      <c r="DB270" s="31">
        <f>Table1[[#This Row],[Check 4 Per Student Savings]]*DA270</f>
        <v>0</v>
      </c>
      <c r="DC270" s="21">
        <f>IF(Table1[[#This Row],[Check 4 Status]]="Continued", Table1[[#This Row],[Check 4 Students Spring]], 0)</f>
        <v>0</v>
      </c>
      <c r="DD270" s="58">
        <f>Table1[[#This Row],[Check 4 Per Student Savings]]*DC270</f>
        <v>0</v>
      </c>
      <c r="DE270" s="58">
        <f t="shared" si="194"/>
        <v>0</v>
      </c>
      <c r="DF270" s="58">
        <f t="shared" si="195"/>
        <v>0</v>
      </c>
      <c r="DG27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7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70" s="58">
        <f>Table1[[#This Row],[Grand Total Savings]]/Table1[[#This Row],[Total Award]]</f>
        <v>0</v>
      </c>
      <c r="DJ270" s="17"/>
      <c r="DK270" s="17"/>
      <c r="DL270" s="17"/>
      <c r="DM270" s="17"/>
      <c r="EC270" s="17"/>
      <c r="ED270" s="17"/>
      <c r="EE270" s="17"/>
      <c r="EF270" s="17"/>
    </row>
    <row r="271" spans="1:136" ht="15.75" thickBot="1" x14ac:dyDescent="0.3">
      <c r="A271" s="185" t="s">
        <v>1243</v>
      </c>
      <c r="B271" s="181"/>
      <c r="C271" s="181"/>
      <c r="D271" s="97">
        <v>515313</v>
      </c>
      <c r="E271" s="158">
        <v>43480</v>
      </c>
      <c r="G271" s="95" t="s">
        <v>1109</v>
      </c>
      <c r="H271" s="95" t="s">
        <v>6</v>
      </c>
      <c r="I271" s="17" t="s">
        <v>962</v>
      </c>
      <c r="J271" s="17" t="s">
        <v>243</v>
      </c>
      <c r="K271" s="107">
        <v>4800</v>
      </c>
      <c r="L271" s="107"/>
      <c r="M271" s="101" t="s">
        <v>1244</v>
      </c>
      <c r="N271" s="101" t="s">
        <v>1245</v>
      </c>
      <c r="O271" s="101" t="s">
        <v>1086</v>
      </c>
      <c r="P271" s="101" t="s">
        <v>343</v>
      </c>
      <c r="Q271" s="101" t="s">
        <v>206</v>
      </c>
      <c r="R271" s="101" t="s">
        <v>129</v>
      </c>
      <c r="S271" s="101" t="s">
        <v>953</v>
      </c>
      <c r="T271" s="101" t="s">
        <v>953</v>
      </c>
      <c r="U271" s="101" t="s">
        <v>953</v>
      </c>
      <c r="V271" s="17" t="s">
        <v>140</v>
      </c>
      <c r="W271" s="17" t="s">
        <v>140</v>
      </c>
      <c r="X271" s="17" t="s">
        <v>140</v>
      </c>
      <c r="Y271" s="58">
        <v>0</v>
      </c>
      <c r="Z271" s="58">
        <v>0</v>
      </c>
      <c r="AA271" s="58">
        <v>0</v>
      </c>
      <c r="AB271" s="21">
        <v>0</v>
      </c>
      <c r="AC271" s="21">
        <v>0</v>
      </c>
      <c r="AD271" s="21">
        <v>0</v>
      </c>
      <c r="AE271" s="58" t="s">
        <v>13</v>
      </c>
      <c r="AF271" s="17" t="s">
        <v>129</v>
      </c>
      <c r="AG271" s="17"/>
      <c r="AI271" s="17" t="s">
        <v>964</v>
      </c>
      <c r="AJ271" s="21">
        <v>0</v>
      </c>
      <c r="AK271" s="31">
        <v>0</v>
      </c>
      <c r="AL271" s="21">
        <v>0</v>
      </c>
      <c r="AM271" s="31">
        <v>0</v>
      </c>
      <c r="AN271" s="21">
        <v>0</v>
      </c>
      <c r="AO271" s="31">
        <v>0</v>
      </c>
      <c r="AP271" s="21">
        <v>0</v>
      </c>
      <c r="AQ271" s="31">
        <v>0</v>
      </c>
      <c r="AR271" s="21">
        <v>0</v>
      </c>
      <c r="AS271" s="31">
        <v>0</v>
      </c>
      <c r="AT271" s="21">
        <v>0</v>
      </c>
      <c r="AU271" s="31">
        <v>0</v>
      </c>
      <c r="AV271" s="21">
        <v>0</v>
      </c>
      <c r="AW271" s="31">
        <v>0</v>
      </c>
      <c r="AX271" s="31">
        <v>0</v>
      </c>
      <c r="AY271" s="31">
        <v>0</v>
      </c>
      <c r="AZ271" s="31">
        <v>0</v>
      </c>
      <c r="BA271" s="31">
        <v>0</v>
      </c>
      <c r="BB271" s="31">
        <v>0</v>
      </c>
      <c r="BC271" s="31">
        <v>0</v>
      </c>
      <c r="BD271" s="31">
        <v>0</v>
      </c>
      <c r="BE271" s="31">
        <v>0</v>
      </c>
      <c r="BF271" s="31">
        <v>0</v>
      </c>
      <c r="BG271" s="31">
        <v>0</v>
      </c>
      <c r="BH271" s="31">
        <v>0</v>
      </c>
      <c r="BI271" s="31">
        <v>0</v>
      </c>
      <c r="BJ271" s="31">
        <v>0</v>
      </c>
      <c r="BK271" s="31">
        <v>0</v>
      </c>
      <c r="BL271" s="17" t="s">
        <v>964</v>
      </c>
      <c r="BM271" s="31">
        <v>0</v>
      </c>
      <c r="BN271" s="31">
        <v>0</v>
      </c>
      <c r="BO271" s="31">
        <v>0</v>
      </c>
      <c r="BP271" s="31">
        <v>0</v>
      </c>
      <c r="BQ271" s="58">
        <v>0</v>
      </c>
      <c r="BR271" s="58">
        <v>0</v>
      </c>
      <c r="BS271" s="31">
        <v>0</v>
      </c>
      <c r="BT271" s="31">
        <v>0</v>
      </c>
      <c r="BU271" s="31">
        <v>0</v>
      </c>
      <c r="BV271" s="31">
        <v>0</v>
      </c>
      <c r="BW271" s="21">
        <v>0</v>
      </c>
      <c r="BX271" s="31">
        <f>Table1[[#This Row],[Summer 2018 Price Check]]*Table1[[#This Row],[Spring 2019 Students]]</f>
        <v>0</v>
      </c>
      <c r="BY271" s="31">
        <f t="shared" si="187"/>
        <v>0</v>
      </c>
      <c r="BZ271" s="58">
        <f t="shared" si="188"/>
        <v>0</v>
      </c>
      <c r="CA271" s="17" t="s">
        <v>964</v>
      </c>
      <c r="CB271" s="21">
        <v>0</v>
      </c>
      <c r="CC271" s="21">
        <v>0</v>
      </c>
      <c r="CD271" s="21">
        <v>0</v>
      </c>
      <c r="CE271" s="21">
        <f t="shared" si="196"/>
        <v>0</v>
      </c>
      <c r="CF271" s="58">
        <v>0</v>
      </c>
      <c r="CG271" s="31">
        <f t="shared" si="189"/>
        <v>0</v>
      </c>
      <c r="CH271" s="58">
        <v>0</v>
      </c>
      <c r="CI271" s="21">
        <f>IF(Table1[[#This Row],[Check 3 Status]]="Continued", Table1[[#This Row],[Check 3 Students Summer]], 0)</f>
        <v>0</v>
      </c>
      <c r="CJ271" s="31">
        <f>Table1[[#This Row],[Check 3 Per Student Savings]]*CI271</f>
        <v>0</v>
      </c>
      <c r="CK271" s="21">
        <f>IF(Table1[[#This Row],[Check 3 Status]]="Continued", Table1[[#This Row],[Check 3 Students Fall]], 0)</f>
        <v>0</v>
      </c>
      <c r="CL271" s="31">
        <f>Table1[[#This Row],[Check 3 Per Student Savings]]*CK271</f>
        <v>0</v>
      </c>
      <c r="CM271" s="21">
        <f>IF(Table1[[#This Row],[Check 3 Status]]="Continued", Table1[[#This Row],[Check 3 Students Spring]], 0)</f>
        <v>0</v>
      </c>
      <c r="CN271" s="31">
        <f>Table1[[#This Row],[Check 3 Per Student Savings]]*CM271</f>
        <v>0</v>
      </c>
      <c r="CO271" s="21">
        <f t="shared" si="190"/>
        <v>0</v>
      </c>
      <c r="CP271" s="31">
        <f t="shared" si="191"/>
        <v>0</v>
      </c>
      <c r="CQ271" s="31" t="s">
        <v>964</v>
      </c>
      <c r="CR271" s="21">
        <v>0</v>
      </c>
      <c r="CS271" s="21">
        <v>0</v>
      </c>
      <c r="CT271" s="21">
        <v>0</v>
      </c>
      <c r="CU271" s="21">
        <f t="shared" si="192"/>
        <v>0</v>
      </c>
      <c r="CV271" s="31">
        <v>0</v>
      </c>
      <c r="CW271" s="31">
        <f t="shared" si="193"/>
        <v>0</v>
      </c>
      <c r="CY271" s="21">
        <f>IF(Table1[[#This Row],[Check 4 Status]]="Continued", Table1[[#This Row],[Check 4 Students Summer]], 0)</f>
        <v>0</v>
      </c>
      <c r="CZ271" s="58">
        <f>Table1[[#This Row],[Check 4 Per Student Savings]]*CY271</f>
        <v>0</v>
      </c>
      <c r="DA271" s="21">
        <f>IF(Table1[[#This Row],[Check 4 Status]]="Continued", Table1[[#This Row],[Check 4 Students Fall]], 0)</f>
        <v>0</v>
      </c>
      <c r="DB271" s="31">
        <f>Table1[[#This Row],[Check 4 Per Student Savings]]*DA271</f>
        <v>0</v>
      </c>
      <c r="DC271" s="21">
        <f>IF(Table1[[#This Row],[Check 4 Status]]="Continued", Table1[[#This Row],[Check 4 Students Spring]], 0)</f>
        <v>0</v>
      </c>
      <c r="DD271" s="58">
        <f>Table1[[#This Row],[Check 4 Per Student Savings]]*DC271</f>
        <v>0</v>
      </c>
      <c r="DE271" s="58">
        <f t="shared" si="194"/>
        <v>0</v>
      </c>
      <c r="DF271" s="58">
        <f t="shared" si="195"/>
        <v>0</v>
      </c>
      <c r="DG27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7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71" s="58">
        <f>Table1[[#This Row],[Grand Total Savings]]/Table1[[#This Row],[Total Award]]</f>
        <v>0</v>
      </c>
      <c r="DJ271" s="17"/>
      <c r="DK271" s="17"/>
      <c r="DL271" s="17"/>
      <c r="DM271" s="17"/>
      <c r="EC271" s="17"/>
      <c r="ED271" s="17"/>
      <c r="EE271" s="17"/>
      <c r="EF271" s="17"/>
    </row>
    <row r="272" spans="1:136" x14ac:dyDescent="0.25">
      <c r="A272" s="188" t="s">
        <v>1246</v>
      </c>
      <c r="B272" s="188"/>
      <c r="C272" s="188"/>
      <c r="D272" s="97">
        <v>515357</v>
      </c>
      <c r="E272" s="158">
        <v>43490</v>
      </c>
      <c r="G272" s="17" t="s">
        <v>1247</v>
      </c>
      <c r="H272" s="95" t="s">
        <v>6</v>
      </c>
      <c r="I272" s="226" t="s">
        <v>118</v>
      </c>
      <c r="J272" s="17" t="s">
        <v>210</v>
      </c>
      <c r="K272" s="107">
        <v>25000</v>
      </c>
      <c r="L272" s="107" t="s">
        <v>1287</v>
      </c>
      <c r="M272" s="101" t="s">
        <v>1249</v>
      </c>
      <c r="N272" s="101" t="s">
        <v>1250</v>
      </c>
      <c r="O272" s="101" t="s">
        <v>1251</v>
      </c>
      <c r="P272" s="101" t="s">
        <v>1252</v>
      </c>
      <c r="Q272" s="101" t="s">
        <v>714</v>
      </c>
      <c r="R272" s="101" t="s">
        <v>1253</v>
      </c>
      <c r="S272" s="101" t="s">
        <v>953</v>
      </c>
      <c r="T272" s="101" t="s">
        <v>953</v>
      </c>
      <c r="U272" s="101" t="s">
        <v>953</v>
      </c>
      <c r="V272" s="17" t="s">
        <v>1095</v>
      </c>
      <c r="W272" s="17" t="s">
        <v>1095</v>
      </c>
      <c r="X272" s="17" t="s">
        <v>1095</v>
      </c>
      <c r="Y272" s="58">
        <v>0</v>
      </c>
      <c r="Z272" s="58">
        <v>0</v>
      </c>
      <c r="AA272" s="58">
        <v>0</v>
      </c>
      <c r="AB272" s="21">
        <v>0</v>
      </c>
      <c r="AC272" s="21">
        <v>0</v>
      </c>
      <c r="AD272" s="21">
        <v>0</v>
      </c>
      <c r="AE272" s="58" t="s">
        <v>13</v>
      </c>
      <c r="AF272" s="17" t="s">
        <v>129</v>
      </c>
      <c r="AG272" s="17"/>
      <c r="AI272" s="17" t="s">
        <v>964</v>
      </c>
      <c r="AJ272" s="21">
        <v>0</v>
      </c>
      <c r="AK272" s="31">
        <v>0</v>
      </c>
      <c r="AL272" s="21">
        <v>0</v>
      </c>
      <c r="AM272" s="31">
        <v>0</v>
      </c>
      <c r="AN272" s="21">
        <v>0</v>
      </c>
      <c r="AO272" s="31">
        <v>0</v>
      </c>
      <c r="AP272" s="21">
        <v>0</v>
      </c>
      <c r="AQ272" s="31">
        <v>0</v>
      </c>
      <c r="AR272" s="21">
        <v>0</v>
      </c>
      <c r="AS272" s="31">
        <v>0</v>
      </c>
      <c r="AT272" s="21">
        <v>0</v>
      </c>
      <c r="AU272" s="31">
        <v>0</v>
      </c>
      <c r="AV272" s="21">
        <v>0</v>
      </c>
      <c r="AW272" s="31">
        <v>0</v>
      </c>
      <c r="AX272" s="31">
        <v>0</v>
      </c>
      <c r="AY272" s="31">
        <v>0</v>
      </c>
      <c r="AZ272" s="31">
        <v>0</v>
      </c>
      <c r="BA272" s="31">
        <v>0</v>
      </c>
      <c r="BB272" s="31">
        <v>0</v>
      </c>
      <c r="BC272" s="31">
        <v>0</v>
      </c>
      <c r="BD272" s="31">
        <v>0</v>
      </c>
      <c r="BE272" s="31">
        <v>0</v>
      </c>
      <c r="BF272" s="31">
        <v>0</v>
      </c>
      <c r="BG272" s="31">
        <v>0</v>
      </c>
      <c r="BH272" s="31">
        <v>0</v>
      </c>
      <c r="BI272" s="31">
        <v>0</v>
      </c>
      <c r="BJ272" s="31">
        <v>0</v>
      </c>
      <c r="BK272" s="31">
        <v>0</v>
      </c>
      <c r="BL272" s="17" t="s">
        <v>964</v>
      </c>
      <c r="BM272" s="31">
        <v>0</v>
      </c>
      <c r="BN272" s="31">
        <v>0</v>
      </c>
      <c r="BO272" s="31">
        <v>0</v>
      </c>
      <c r="BP272" s="31">
        <v>0</v>
      </c>
      <c r="BQ272" s="58">
        <v>0</v>
      </c>
      <c r="BR272" s="58">
        <v>0</v>
      </c>
      <c r="BS272" s="31">
        <v>0</v>
      </c>
      <c r="BT272" s="31">
        <v>0</v>
      </c>
      <c r="BU272" s="31">
        <v>0</v>
      </c>
      <c r="BV272" s="31">
        <v>0</v>
      </c>
      <c r="BW272" s="21">
        <v>0</v>
      </c>
      <c r="BX272" s="31">
        <f>Table1[[#This Row],[Summer 2018 Price Check]]*Table1[[#This Row],[Spring 2019 Students]]</f>
        <v>0</v>
      </c>
      <c r="BY272" s="31">
        <f t="shared" si="187"/>
        <v>0</v>
      </c>
      <c r="BZ272" s="58">
        <f t="shared" si="188"/>
        <v>0</v>
      </c>
      <c r="CA272" s="17" t="s">
        <v>964</v>
      </c>
      <c r="CB272" s="21">
        <v>0</v>
      </c>
      <c r="CC272" s="21">
        <v>0</v>
      </c>
      <c r="CD272" s="21">
        <v>0</v>
      </c>
      <c r="CE272" s="21">
        <f t="shared" si="196"/>
        <v>0</v>
      </c>
      <c r="CF272" s="58">
        <v>0</v>
      </c>
      <c r="CG272" s="31">
        <f t="shared" si="189"/>
        <v>0</v>
      </c>
      <c r="CH272" s="58">
        <v>0</v>
      </c>
      <c r="CI272" s="21">
        <f>IF(Table1[[#This Row],[Check 3 Status]]="Continued", Table1[[#This Row],[Check 3 Students Summer]], 0)</f>
        <v>0</v>
      </c>
      <c r="CJ272" s="31">
        <f>Table1[[#This Row],[Check 3 Per Student Savings]]*CI272</f>
        <v>0</v>
      </c>
      <c r="CK272" s="21">
        <f>IF(Table1[[#This Row],[Check 3 Status]]="Continued", Table1[[#This Row],[Check 3 Students Fall]], 0)</f>
        <v>0</v>
      </c>
      <c r="CL272" s="31">
        <f>Table1[[#This Row],[Check 3 Per Student Savings]]*CK272</f>
        <v>0</v>
      </c>
      <c r="CM272" s="21">
        <f>IF(Table1[[#This Row],[Check 3 Status]]="Continued", Table1[[#This Row],[Check 3 Students Spring]], 0)</f>
        <v>0</v>
      </c>
      <c r="CN272" s="31">
        <f>Table1[[#This Row],[Check 3 Per Student Savings]]*CM272</f>
        <v>0</v>
      </c>
      <c r="CO272" s="21">
        <f t="shared" si="190"/>
        <v>0</v>
      </c>
      <c r="CP272" s="31">
        <f t="shared" si="191"/>
        <v>0</v>
      </c>
      <c r="CQ272" s="31" t="s">
        <v>964</v>
      </c>
      <c r="CR272" s="21">
        <v>0</v>
      </c>
      <c r="CS272" s="21">
        <v>0</v>
      </c>
      <c r="CT272" s="21">
        <v>0</v>
      </c>
      <c r="CU272" s="21">
        <f t="shared" si="192"/>
        <v>0</v>
      </c>
      <c r="CV272" s="31">
        <v>0</v>
      </c>
      <c r="CW272" s="31">
        <f t="shared" si="193"/>
        <v>0</v>
      </c>
      <c r="CY272" s="21">
        <f>IF(Table1[[#This Row],[Check 4 Status]]="Continued", Table1[[#This Row],[Check 4 Students Summer]], 0)</f>
        <v>0</v>
      </c>
      <c r="CZ272" s="58">
        <f>Table1[[#This Row],[Check 4 Per Student Savings]]*CY272</f>
        <v>0</v>
      </c>
      <c r="DA272" s="21">
        <f>IF(Table1[[#This Row],[Check 4 Status]]="Continued", Table1[[#This Row],[Check 4 Students Fall]], 0)</f>
        <v>0</v>
      </c>
      <c r="DB272" s="31">
        <f>Table1[[#This Row],[Check 4 Per Student Savings]]*DA272</f>
        <v>0</v>
      </c>
      <c r="DC272" s="21">
        <f>IF(Table1[[#This Row],[Check 4 Status]]="Continued", Table1[[#This Row],[Check 4 Students Spring]], 0)</f>
        <v>0</v>
      </c>
      <c r="DD272" s="58">
        <f>Table1[[#This Row],[Check 4 Per Student Savings]]*DC272</f>
        <v>0</v>
      </c>
      <c r="DE272" s="58">
        <f t="shared" si="194"/>
        <v>0</v>
      </c>
      <c r="DF272" s="58">
        <f t="shared" si="195"/>
        <v>0</v>
      </c>
      <c r="DG27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7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72" s="58">
        <f>Table1[[#This Row],[Grand Total Savings]]/Table1[[#This Row],[Total Award]]</f>
        <v>0</v>
      </c>
      <c r="DJ272" s="17"/>
      <c r="DK272" s="17"/>
      <c r="DL272" s="17"/>
      <c r="DM272" s="17"/>
      <c r="DY272" s="21"/>
      <c r="DZ272" s="58"/>
      <c r="EA272" s="21"/>
      <c r="EB272" s="21"/>
      <c r="EC272" s="17"/>
      <c r="ED272" s="17"/>
      <c r="EE272" s="17"/>
      <c r="EF272" s="17"/>
    </row>
    <row r="273" spans="1:136" x14ac:dyDescent="0.25">
      <c r="A273" s="189" t="s">
        <v>1254</v>
      </c>
      <c r="B273" s="189"/>
      <c r="C273" s="189"/>
      <c r="D273" s="97">
        <v>515490</v>
      </c>
      <c r="E273" s="158">
        <v>43490</v>
      </c>
      <c r="G273" s="17" t="s">
        <v>1247</v>
      </c>
      <c r="H273" s="95" t="s">
        <v>6</v>
      </c>
      <c r="I273" s="226" t="s">
        <v>118</v>
      </c>
      <c r="J273" s="17" t="s">
        <v>172</v>
      </c>
      <c r="K273" s="107">
        <v>25000</v>
      </c>
      <c r="L273" s="107" t="s">
        <v>1096</v>
      </c>
      <c r="M273" s="101" t="s">
        <v>1255</v>
      </c>
      <c r="N273" s="101" t="s">
        <v>1256</v>
      </c>
      <c r="O273" s="101" t="s">
        <v>1257</v>
      </c>
      <c r="P273" s="101" t="s">
        <v>1258</v>
      </c>
      <c r="Q273" s="101" t="s">
        <v>714</v>
      </c>
      <c r="R273" s="101" t="s">
        <v>1259</v>
      </c>
      <c r="S273" s="101" t="s">
        <v>953</v>
      </c>
      <c r="T273" s="101" t="s">
        <v>953</v>
      </c>
      <c r="U273" s="101" t="s">
        <v>953</v>
      </c>
      <c r="V273" s="17" t="s">
        <v>1095</v>
      </c>
      <c r="W273" s="17" t="s">
        <v>1095</v>
      </c>
      <c r="X273" s="17" t="s">
        <v>1095</v>
      </c>
      <c r="Y273" s="58">
        <v>0</v>
      </c>
      <c r="Z273" s="58">
        <v>0</v>
      </c>
      <c r="AA273" s="58">
        <v>0</v>
      </c>
      <c r="AB273" s="21">
        <v>0</v>
      </c>
      <c r="AC273" s="21">
        <v>0</v>
      </c>
      <c r="AD273" s="21">
        <v>0</v>
      </c>
      <c r="AE273" s="58" t="s">
        <v>13</v>
      </c>
      <c r="AF273" s="17" t="s">
        <v>129</v>
      </c>
      <c r="AG273" s="17"/>
      <c r="AI273" s="17" t="s">
        <v>964</v>
      </c>
      <c r="AJ273" s="21">
        <v>0</v>
      </c>
      <c r="AK273" s="31">
        <v>0</v>
      </c>
      <c r="AL273" s="21">
        <v>0</v>
      </c>
      <c r="AM273" s="31">
        <v>0</v>
      </c>
      <c r="AN273" s="21">
        <v>0</v>
      </c>
      <c r="AO273" s="31">
        <v>0</v>
      </c>
      <c r="AP273" s="21">
        <v>0</v>
      </c>
      <c r="AQ273" s="31">
        <v>0</v>
      </c>
      <c r="AR273" s="21">
        <v>0</v>
      </c>
      <c r="AS273" s="31">
        <v>0</v>
      </c>
      <c r="AT273" s="21">
        <v>0</v>
      </c>
      <c r="AU273" s="31">
        <v>0</v>
      </c>
      <c r="AV273" s="21">
        <v>0</v>
      </c>
      <c r="AW273" s="31">
        <v>0</v>
      </c>
      <c r="AX273" s="31">
        <v>0</v>
      </c>
      <c r="AY273" s="31">
        <v>0</v>
      </c>
      <c r="AZ273" s="31">
        <v>0</v>
      </c>
      <c r="BA273" s="31">
        <v>0</v>
      </c>
      <c r="BB273" s="31">
        <v>0</v>
      </c>
      <c r="BC273" s="31">
        <v>0</v>
      </c>
      <c r="BD273" s="31">
        <v>0</v>
      </c>
      <c r="BE273" s="31">
        <v>0</v>
      </c>
      <c r="BF273" s="31">
        <v>0</v>
      </c>
      <c r="BG273" s="31">
        <v>0</v>
      </c>
      <c r="BH273" s="31">
        <v>0</v>
      </c>
      <c r="BI273" s="31">
        <v>0</v>
      </c>
      <c r="BJ273" s="31">
        <v>0</v>
      </c>
      <c r="BK273" s="31">
        <v>0</v>
      </c>
      <c r="BL273" s="17" t="s">
        <v>964</v>
      </c>
      <c r="BM273" s="31">
        <v>0</v>
      </c>
      <c r="BN273" s="31">
        <v>0</v>
      </c>
      <c r="BO273" s="31">
        <v>0</v>
      </c>
      <c r="BP273" s="31">
        <v>0</v>
      </c>
      <c r="BQ273" s="58">
        <v>0</v>
      </c>
      <c r="BR273" s="58">
        <v>0</v>
      </c>
      <c r="BS273" s="31">
        <v>0</v>
      </c>
      <c r="BT273" s="31">
        <v>0</v>
      </c>
      <c r="BU273" s="31">
        <v>0</v>
      </c>
      <c r="BV273" s="31">
        <v>0</v>
      </c>
      <c r="BW273" s="21">
        <v>0</v>
      </c>
      <c r="BX273" s="31">
        <f>Table1[[#This Row],[Summer 2018 Price Check]]*Table1[[#This Row],[Spring 2019 Students]]</f>
        <v>0</v>
      </c>
      <c r="BY273" s="31">
        <f t="shared" si="187"/>
        <v>0</v>
      </c>
      <c r="BZ273" s="58">
        <f t="shared" si="188"/>
        <v>0</v>
      </c>
      <c r="CA273" s="17" t="s">
        <v>964</v>
      </c>
      <c r="CB273" s="21">
        <v>0</v>
      </c>
      <c r="CC273" s="21">
        <v>0</v>
      </c>
      <c r="CD273" s="21">
        <v>0</v>
      </c>
      <c r="CE273" s="21">
        <f t="shared" si="196"/>
        <v>0</v>
      </c>
      <c r="CF273" s="58">
        <v>0</v>
      </c>
      <c r="CG273" s="31">
        <f t="shared" si="189"/>
        <v>0</v>
      </c>
      <c r="CH273" s="58">
        <v>0</v>
      </c>
      <c r="CI273" s="21">
        <f>IF(Table1[[#This Row],[Check 3 Status]]="Continued", Table1[[#This Row],[Check 3 Students Summer]], 0)</f>
        <v>0</v>
      </c>
      <c r="CJ273" s="31">
        <f>Table1[[#This Row],[Check 3 Per Student Savings]]*CI273</f>
        <v>0</v>
      </c>
      <c r="CK273" s="21">
        <f>IF(Table1[[#This Row],[Check 3 Status]]="Continued", Table1[[#This Row],[Check 3 Students Fall]], 0)</f>
        <v>0</v>
      </c>
      <c r="CL273" s="31">
        <f>Table1[[#This Row],[Check 3 Per Student Savings]]*CK273</f>
        <v>0</v>
      </c>
      <c r="CM273" s="21">
        <f>IF(Table1[[#This Row],[Check 3 Status]]="Continued", Table1[[#This Row],[Check 3 Students Spring]], 0)</f>
        <v>0</v>
      </c>
      <c r="CN273" s="31">
        <f>Table1[[#This Row],[Check 3 Per Student Savings]]*CM273</f>
        <v>0</v>
      </c>
      <c r="CO273" s="21">
        <f t="shared" si="190"/>
        <v>0</v>
      </c>
      <c r="CP273" s="31">
        <f t="shared" si="191"/>
        <v>0</v>
      </c>
      <c r="CQ273" s="31" t="s">
        <v>964</v>
      </c>
      <c r="CR273" s="21">
        <v>0</v>
      </c>
      <c r="CS273" s="21">
        <v>0</v>
      </c>
      <c r="CT273" s="21">
        <v>0</v>
      </c>
      <c r="CU273" s="21">
        <f t="shared" si="192"/>
        <v>0</v>
      </c>
      <c r="CV273" s="31">
        <v>0</v>
      </c>
      <c r="CW273" s="31">
        <f t="shared" si="193"/>
        <v>0</v>
      </c>
      <c r="CY273" s="21">
        <f>IF(Table1[[#This Row],[Check 4 Status]]="Continued", Table1[[#This Row],[Check 4 Students Summer]], 0)</f>
        <v>0</v>
      </c>
      <c r="CZ273" s="58">
        <f>Table1[[#This Row],[Check 4 Per Student Savings]]*CY273</f>
        <v>0</v>
      </c>
      <c r="DA273" s="21">
        <f>IF(Table1[[#This Row],[Check 4 Status]]="Continued", Table1[[#This Row],[Check 4 Students Fall]], 0)</f>
        <v>0</v>
      </c>
      <c r="DB273" s="31">
        <f>Table1[[#This Row],[Check 4 Per Student Savings]]*DA273</f>
        <v>0</v>
      </c>
      <c r="DC273" s="21">
        <f>IF(Table1[[#This Row],[Check 4 Status]]="Continued", Table1[[#This Row],[Check 4 Students Spring]], 0)</f>
        <v>0</v>
      </c>
      <c r="DD273" s="58">
        <f>Table1[[#This Row],[Check 4 Per Student Savings]]*DC273</f>
        <v>0</v>
      </c>
      <c r="DE273" s="58">
        <f t="shared" si="194"/>
        <v>0</v>
      </c>
      <c r="DF273" s="58">
        <f t="shared" si="195"/>
        <v>0</v>
      </c>
      <c r="DG27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7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73" s="58">
        <f>Table1[[#This Row],[Grand Total Savings]]/Table1[[#This Row],[Total Award]]</f>
        <v>0</v>
      </c>
      <c r="DJ273" s="17"/>
      <c r="DK273" s="17"/>
      <c r="DL273" s="17"/>
      <c r="DM273" s="17"/>
      <c r="DY273" s="21"/>
      <c r="DZ273" s="58"/>
      <c r="EA273" s="21"/>
      <c r="EB273" s="21"/>
      <c r="EC273" s="17"/>
      <c r="ED273" s="17"/>
      <c r="EE273" s="17"/>
      <c r="EF273" s="17"/>
    </row>
    <row r="274" spans="1:136" x14ac:dyDescent="0.25">
      <c r="A274" s="189" t="s">
        <v>1260</v>
      </c>
      <c r="B274" s="189"/>
      <c r="C274" s="189"/>
      <c r="D274" s="97">
        <v>515442</v>
      </c>
      <c r="E274" s="158">
        <v>43525</v>
      </c>
      <c r="G274" s="17" t="s">
        <v>1247</v>
      </c>
      <c r="H274" s="95" t="s">
        <v>6</v>
      </c>
      <c r="I274" s="226" t="s">
        <v>118</v>
      </c>
      <c r="J274" s="17" t="s">
        <v>159</v>
      </c>
      <c r="K274" s="107">
        <v>9000</v>
      </c>
      <c r="L274" s="107" t="s">
        <v>1287</v>
      </c>
      <c r="M274" s="101" t="s">
        <v>1261</v>
      </c>
      <c r="N274" s="101" t="s">
        <v>1262</v>
      </c>
      <c r="O274" s="101" t="s">
        <v>1263</v>
      </c>
      <c r="P274" s="101" t="s">
        <v>1264</v>
      </c>
      <c r="Q274" s="101" t="s">
        <v>467</v>
      </c>
      <c r="R274" s="101" t="s">
        <v>129</v>
      </c>
      <c r="S274" s="101" t="s">
        <v>953</v>
      </c>
      <c r="T274" s="101" t="s">
        <v>953</v>
      </c>
      <c r="U274" s="101" t="s">
        <v>953</v>
      </c>
      <c r="V274" s="17" t="s">
        <v>1095</v>
      </c>
      <c r="W274" s="17" t="s">
        <v>1095</v>
      </c>
      <c r="X274" s="17" t="s">
        <v>1095</v>
      </c>
      <c r="Y274" s="58">
        <v>0</v>
      </c>
      <c r="Z274" s="58">
        <v>0</v>
      </c>
      <c r="AA274" s="58">
        <v>0</v>
      </c>
      <c r="AB274" s="21">
        <v>0</v>
      </c>
      <c r="AC274" s="21">
        <v>0</v>
      </c>
      <c r="AD274" s="21">
        <v>0</v>
      </c>
      <c r="AE274" s="58" t="s">
        <v>13</v>
      </c>
      <c r="AF274" s="17" t="s">
        <v>129</v>
      </c>
      <c r="AG274" s="17"/>
      <c r="AI274" s="17" t="s">
        <v>964</v>
      </c>
      <c r="AJ274" s="21">
        <v>0</v>
      </c>
      <c r="AK274" s="31">
        <v>0</v>
      </c>
      <c r="AL274" s="21">
        <v>0</v>
      </c>
      <c r="AM274" s="31">
        <v>0</v>
      </c>
      <c r="AN274" s="21">
        <v>0</v>
      </c>
      <c r="AO274" s="31">
        <v>0</v>
      </c>
      <c r="AP274" s="21">
        <v>0</v>
      </c>
      <c r="AQ274" s="31">
        <v>0</v>
      </c>
      <c r="AR274" s="21">
        <v>0</v>
      </c>
      <c r="AS274" s="31">
        <v>0</v>
      </c>
      <c r="AT274" s="21">
        <v>0</v>
      </c>
      <c r="AU274" s="31">
        <v>0</v>
      </c>
      <c r="AV274" s="21">
        <v>0</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0</v>
      </c>
      <c r="BL274" s="17" t="s">
        <v>964</v>
      </c>
      <c r="BM274" s="31">
        <v>0</v>
      </c>
      <c r="BN274" s="31">
        <v>0</v>
      </c>
      <c r="BO274" s="31">
        <v>0</v>
      </c>
      <c r="BP274" s="31">
        <v>0</v>
      </c>
      <c r="BQ274" s="58">
        <v>0</v>
      </c>
      <c r="BR274" s="58">
        <v>0</v>
      </c>
      <c r="BS274" s="31">
        <v>0</v>
      </c>
      <c r="BT274" s="31">
        <v>0</v>
      </c>
      <c r="BU274" s="31">
        <v>0</v>
      </c>
      <c r="BV274" s="31">
        <v>0</v>
      </c>
      <c r="BW274" s="21">
        <v>0</v>
      </c>
      <c r="BX274" s="31">
        <f>Table1[[#This Row],[Summer 2018 Price Check]]*Table1[[#This Row],[Spring 2019 Students]]</f>
        <v>0</v>
      </c>
      <c r="BY274" s="31">
        <f t="shared" si="187"/>
        <v>0</v>
      </c>
      <c r="BZ274" s="58">
        <f t="shared" si="188"/>
        <v>0</v>
      </c>
      <c r="CA274" s="17" t="s">
        <v>964</v>
      </c>
      <c r="CB274" s="21">
        <v>0</v>
      </c>
      <c r="CC274" s="21">
        <v>0</v>
      </c>
      <c r="CD274" s="21">
        <v>0</v>
      </c>
      <c r="CE274" s="21">
        <f t="shared" si="196"/>
        <v>0</v>
      </c>
      <c r="CF274" s="58">
        <v>0</v>
      </c>
      <c r="CG274" s="31">
        <f t="shared" si="189"/>
        <v>0</v>
      </c>
      <c r="CH274" s="58">
        <v>0</v>
      </c>
      <c r="CI274" s="21">
        <f>IF(Table1[[#This Row],[Check 3 Status]]="Continued", Table1[[#This Row],[Check 3 Students Summer]], 0)</f>
        <v>0</v>
      </c>
      <c r="CJ274" s="31">
        <f>Table1[[#This Row],[Check 3 Per Student Savings]]*CI274</f>
        <v>0</v>
      </c>
      <c r="CK274" s="21">
        <f>IF(Table1[[#This Row],[Check 3 Status]]="Continued", Table1[[#This Row],[Check 3 Students Fall]], 0)</f>
        <v>0</v>
      </c>
      <c r="CL274" s="31">
        <f>Table1[[#This Row],[Check 3 Per Student Savings]]*CK274</f>
        <v>0</v>
      </c>
      <c r="CM274" s="21">
        <f>IF(Table1[[#This Row],[Check 3 Status]]="Continued", Table1[[#This Row],[Check 3 Students Spring]], 0)</f>
        <v>0</v>
      </c>
      <c r="CN274" s="31">
        <f>Table1[[#This Row],[Check 3 Per Student Savings]]*CM274</f>
        <v>0</v>
      </c>
      <c r="CO274" s="21">
        <f t="shared" si="190"/>
        <v>0</v>
      </c>
      <c r="CP274" s="31">
        <f t="shared" si="191"/>
        <v>0</v>
      </c>
      <c r="CQ274" s="31" t="s">
        <v>964</v>
      </c>
      <c r="CR274" s="21">
        <v>0</v>
      </c>
      <c r="CS274" s="21">
        <v>0</v>
      </c>
      <c r="CT274" s="21">
        <v>0</v>
      </c>
      <c r="CU274" s="21">
        <f t="shared" si="192"/>
        <v>0</v>
      </c>
      <c r="CV274" s="31">
        <v>0</v>
      </c>
      <c r="CW274" s="31">
        <f t="shared" si="193"/>
        <v>0</v>
      </c>
      <c r="CY274" s="21">
        <f>IF(Table1[[#This Row],[Check 4 Status]]="Continued", Table1[[#This Row],[Check 4 Students Summer]], 0)</f>
        <v>0</v>
      </c>
      <c r="CZ274" s="58">
        <f>Table1[[#This Row],[Check 4 Per Student Savings]]*CY274</f>
        <v>0</v>
      </c>
      <c r="DA274" s="21">
        <f>IF(Table1[[#This Row],[Check 4 Status]]="Continued", Table1[[#This Row],[Check 4 Students Fall]], 0)</f>
        <v>0</v>
      </c>
      <c r="DB274" s="31">
        <f>Table1[[#This Row],[Check 4 Per Student Savings]]*DA274</f>
        <v>0</v>
      </c>
      <c r="DC274" s="21">
        <f>IF(Table1[[#This Row],[Check 4 Status]]="Continued", Table1[[#This Row],[Check 4 Students Spring]], 0)</f>
        <v>0</v>
      </c>
      <c r="DD274" s="58">
        <f>Table1[[#This Row],[Check 4 Per Student Savings]]*DC274</f>
        <v>0</v>
      </c>
      <c r="DE274" s="58">
        <f t="shared" si="194"/>
        <v>0</v>
      </c>
      <c r="DF274" s="58">
        <f t="shared" si="195"/>
        <v>0</v>
      </c>
      <c r="DG27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7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74" s="58">
        <f>Table1[[#This Row],[Grand Total Savings]]/Table1[[#This Row],[Total Award]]</f>
        <v>0</v>
      </c>
      <c r="DJ274" s="17"/>
      <c r="DK274" s="17"/>
      <c r="DL274" s="17"/>
      <c r="DM274" s="17"/>
      <c r="DY274" s="21"/>
      <c r="DZ274" s="58"/>
      <c r="EA274" s="21"/>
      <c r="EB274" s="21"/>
      <c r="EC274" s="17"/>
      <c r="ED274" s="17"/>
      <c r="EE274" s="17"/>
      <c r="EF274" s="17"/>
    </row>
    <row r="275" spans="1:136" x14ac:dyDescent="0.25">
      <c r="A275" s="189" t="s">
        <v>1265</v>
      </c>
      <c r="B275" s="189"/>
      <c r="C275" s="189"/>
      <c r="D275" s="97">
        <v>515770</v>
      </c>
      <c r="E275" s="158"/>
      <c r="G275" s="17" t="s">
        <v>1247</v>
      </c>
      <c r="H275" s="95" t="s">
        <v>6</v>
      </c>
      <c r="I275" s="226" t="s">
        <v>118</v>
      </c>
      <c r="J275" s="17" t="s">
        <v>159</v>
      </c>
      <c r="K275" s="107">
        <v>25000</v>
      </c>
      <c r="L275" s="107" t="s">
        <v>1287</v>
      </c>
      <c r="M275" s="101" t="s">
        <v>1266</v>
      </c>
      <c r="N275" s="101" t="s">
        <v>1267</v>
      </c>
      <c r="O275" s="101" t="s">
        <v>1268</v>
      </c>
      <c r="P275" s="101" t="s">
        <v>1269</v>
      </c>
      <c r="Q275" s="101" t="s">
        <v>124</v>
      </c>
      <c r="R275" s="101" t="s">
        <v>129</v>
      </c>
      <c r="S275" s="101" t="s">
        <v>953</v>
      </c>
      <c r="T275" s="101" t="s">
        <v>953</v>
      </c>
      <c r="U275" s="101" t="s">
        <v>953</v>
      </c>
      <c r="V275" s="17" t="s">
        <v>1095</v>
      </c>
      <c r="W275" s="17" t="s">
        <v>1095</v>
      </c>
      <c r="X275" s="17" t="s">
        <v>1095</v>
      </c>
      <c r="Y275" s="58">
        <v>0</v>
      </c>
      <c r="Z275" s="58">
        <v>0</v>
      </c>
      <c r="AA275" s="58">
        <v>0</v>
      </c>
      <c r="AB275" s="21">
        <v>0</v>
      </c>
      <c r="AC275" s="21">
        <v>0</v>
      </c>
      <c r="AD275" s="21">
        <v>0</v>
      </c>
      <c r="AE275" s="58" t="s">
        <v>13</v>
      </c>
      <c r="AF275" s="17" t="s">
        <v>129</v>
      </c>
      <c r="AG275" s="17"/>
      <c r="AI275" s="17" t="s">
        <v>964</v>
      </c>
      <c r="AJ275" s="21">
        <v>0</v>
      </c>
      <c r="AK275" s="31">
        <v>0</v>
      </c>
      <c r="AL275" s="21">
        <v>0</v>
      </c>
      <c r="AM275" s="31">
        <v>0</v>
      </c>
      <c r="AN275" s="21">
        <v>0</v>
      </c>
      <c r="AO275" s="31">
        <v>0</v>
      </c>
      <c r="AP275" s="21">
        <v>0</v>
      </c>
      <c r="AQ275" s="31">
        <v>0</v>
      </c>
      <c r="AR275" s="21">
        <v>0</v>
      </c>
      <c r="AS275" s="31">
        <v>0</v>
      </c>
      <c r="AT275" s="21">
        <v>0</v>
      </c>
      <c r="AU275" s="31">
        <v>0</v>
      </c>
      <c r="AV275" s="21">
        <v>0</v>
      </c>
      <c r="AW275" s="31">
        <v>0</v>
      </c>
      <c r="AX275" s="31">
        <v>0</v>
      </c>
      <c r="AY275" s="31">
        <v>0</v>
      </c>
      <c r="AZ275" s="31">
        <v>0</v>
      </c>
      <c r="BA275" s="31">
        <v>0</v>
      </c>
      <c r="BB275" s="31">
        <v>0</v>
      </c>
      <c r="BC275" s="31">
        <v>0</v>
      </c>
      <c r="BD275" s="31">
        <v>0</v>
      </c>
      <c r="BE275" s="31">
        <v>0</v>
      </c>
      <c r="BF275" s="31">
        <v>0</v>
      </c>
      <c r="BG275" s="31">
        <v>0</v>
      </c>
      <c r="BH275" s="31">
        <v>0</v>
      </c>
      <c r="BI275" s="31">
        <v>0</v>
      </c>
      <c r="BJ275" s="31">
        <v>0</v>
      </c>
      <c r="BK275" s="31">
        <v>0</v>
      </c>
      <c r="BL275" s="17" t="s">
        <v>964</v>
      </c>
      <c r="BM275" s="31">
        <v>0</v>
      </c>
      <c r="BN275" s="31">
        <v>0</v>
      </c>
      <c r="BO275" s="31">
        <v>0</v>
      </c>
      <c r="BP275" s="31">
        <v>0</v>
      </c>
      <c r="BQ275" s="58">
        <v>0</v>
      </c>
      <c r="BR275" s="58">
        <v>0</v>
      </c>
      <c r="BS275" s="31">
        <v>0</v>
      </c>
      <c r="BT275" s="31">
        <v>0</v>
      </c>
      <c r="BU275" s="31">
        <v>0</v>
      </c>
      <c r="BV275" s="31">
        <v>0</v>
      </c>
      <c r="BW275" s="21">
        <v>0</v>
      </c>
      <c r="BX275" s="31">
        <f>Table1[[#This Row],[Summer 2018 Price Check]]*Table1[[#This Row],[Spring 2019 Students]]</f>
        <v>0</v>
      </c>
      <c r="BY275" s="31">
        <f t="shared" si="187"/>
        <v>0</v>
      </c>
      <c r="BZ275" s="58">
        <f t="shared" si="188"/>
        <v>0</v>
      </c>
      <c r="CA275" s="17" t="s">
        <v>964</v>
      </c>
      <c r="CB275" s="21">
        <v>0</v>
      </c>
      <c r="CC275" s="21">
        <v>0</v>
      </c>
      <c r="CD275" s="21">
        <v>0</v>
      </c>
      <c r="CE275" s="21">
        <f t="shared" si="196"/>
        <v>0</v>
      </c>
      <c r="CF275" s="58">
        <v>0</v>
      </c>
      <c r="CG275" s="31">
        <f t="shared" si="189"/>
        <v>0</v>
      </c>
      <c r="CH275" s="58">
        <v>0</v>
      </c>
      <c r="CI275" s="21">
        <f>IF(Table1[[#This Row],[Check 3 Status]]="Continued", Table1[[#This Row],[Check 3 Students Summer]], 0)</f>
        <v>0</v>
      </c>
      <c r="CJ275" s="31">
        <f>Table1[[#This Row],[Check 3 Per Student Savings]]*CI275</f>
        <v>0</v>
      </c>
      <c r="CK275" s="21">
        <f>IF(Table1[[#This Row],[Check 3 Status]]="Continued", Table1[[#This Row],[Check 3 Students Fall]], 0)</f>
        <v>0</v>
      </c>
      <c r="CL275" s="31">
        <f>Table1[[#This Row],[Check 3 Per Student Savings]]*CK275</f>
        <v>0</v>
      </c>
      <c r="CM275" s="21">
        <f>IF(Table1[[#This Row],[Check 3 Status]]="Continued", Table1[[#This Row],[Check 3 Students Spring]], 0)</f>
        <v>0</v>
      </c>
      <c r="CN275" s="31">
        <f>Table1[[#This Row],[Check 3 Per Student Savings]]*CM275</f>
        <v>0</v>
      </c>
      <c r="CO275" s="21">
        <f t="shared" si="190"/>
        <v>0</v>
      </c>
      <c r="CP275" s="31">
        <f t="shared" si="191"/>
        <v>0</v>
      </c>
      <c r="CQ275" s="31" t="s">
        <v>964</v>
      </c>
      <c r="CR275" s="21">
        <v>0</v>
      </c>
      <c r="CS275" s="21">
        <v>0</v>
      </c>
      <c r="CT275" s="21">
        <v>0</v>
      </c>
      <c r="CU275" s="21">
        <f t="shared" si="192"/>
        <v>0</v>
      </c>
      <c r="CV275" s="31">
        <v>0</v>
      </c>
      <c r="CW275" s="31">
        <f t="shared" si="193"/>
        <v>0</v>
      </c>
      <c r="CY275" s="21">
        <f>IF(Table1[[#This Row],[Check 4 Status]]="Continued", Table1[[#This Row],[Check 4 Students Summer]], 0)</f>
        <v>0</v>
      </c>
      <c r="CZ275" s="58">
        <f>Table1[[#This Row],[Check 4 Per Student Savings]]*CY275</f>
        <v>0</v>
      </c>
      <c r="DA275" s="21">
        <f>IF(Table1[[#This Row],[Check 4 Status]]="Continued", Table1[[#This Row],[Check 4 Students Fall]], 0)</f>
        <v>0</v>
      </c>
      <c r="DB275" s="31">
        <f>Table1[[#This Row],[Check 4 Per Student Savings]]*DA275</f>
        <v>0</v>
      </c>
      <c r="DC275" s="21">
        <f>IF(Table1[[#This Row],[Check 4 Status]]="Continued", Table1[[#This Row],[Check 4 Students Spring]], 0)</f>
        <v>0</v>
      </c>
      <c r="DD275" s="58">
        <f>Table1[[#This Row],[Check 4 Per Student Savings]]*DC275</f>
        <v>0</v>
      </c>
      <c r="DE275" s="58">
        <f t="shared" si="194"/>
        <v>0</v>
      </c>
      <c r="DF275" s="58">
        <f t="shared" si="195"/>
        <v>0</v>
      </c>
      <c r="DG27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7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75" s="58">
        <f>Table1[[#This Row],[Grand Total Savings]]/Table1[[#This Row],[Total Award]]</f>
        <v>0</v>
      </c>
      <c r="DJ275" s="17"/>
      <c r="DK275" s="17"/>
      <c r="DL275" s="17"/>
      <c r="DM275" s="17"/>
      <c r="DY275" s="21"/>
      <c r="DZ275" s="58"/>
      <c r="EA275" s="21"/>
      <c r="EB275" s="21"/>
      <c r="EC275" s="17"/>
      <c r="ED275" s="17"/>
      <c r="EE275" s="17"/>
      <c r="EF275" s="17"/>
    </row>
    <row r="276" spans="1:136" x14ac:dyDescent="0.25">
      <c r="A276" s="189" t="s">
        <v>1270</v>
      </c>
      <c r="B276" s="189"/>
      <c r="C276" s="189"/>
      <c r="D276" s="97">
        <v>515352</v>
      </c>
      <c r="E276" s="158">
        <v>43518</v>
      </c>
      <c r="G276" s="17" t="s">
        <v>1247</v>
      </c>
      <c r="H276" s="95" t="s">
        <v>6</v>
      </c>
      <c r="I276" s="226" t="s">
        <v>118</v>
      </c>
      <c r="J276" s="17" t="s">
        <v>159</v>
      </c>
      <c r="K276" s="107">
        <v>8500</v>
      </c>
      <c r="L276" s="107" t="s">
        <v>1287</v>
      </c>
      <c r="M276" s="101" t="s">
        <v>1271</v>
      </c>
      <c r="N276" s="101" t="s">
        <v>1272</v>
      </c>
      <c r="O276" s="101" t="s">
        <v>1273</v>
      </c>
      <c r="P276" s="101" t="s">
        <v>1274</v>
      </c>
      <c r="Q276" s="101" t="s">
        <v>714</v>
      </c>
      <c r="R276" s="101" t="s">
        <v>129</v>
      </c>
      <c r="S276" s="101" t="s">
        <v>953</v>
      </c>
      <c r="T276" s="101" t="s">
        <v>953</v>
      </c>
      <c r="U276" s="101" t="s">
        <v>953</v>
      </c>
      <c r="V276" s="17" t="s">
        <v>1095</v>
      </c>
      <c r="W276" s="17" t="s">
        <v>1095</v>
      </c>
      <c r="X276" s="17" t="s">
        <v>1095</v>
      </c>
      <c r="Y276" s="58">
        <v>0</v>
      </c>
      <c r="Z276" s="58">
        <v>0</v>
      </c>
      <c r="AA276" s="58">
        <v>0</v>
      </c>
      <c r="AB276" s="21">
        <v>0</v>
      </c>
      <c r="AC276" s="21">
        <v>0</v>
      </c>
      <c r="AD276" s="21">
        <v>0</v>
      </c>
      <c r="AE276" s="58" t="s">
        <v>13</v>
      </c>
      <c r="AF276" s="17" t="s">
        <v>129</v>
      </c>
      <c r="AG276" s="17"/>
      <c r="AI276" s="17" t="s">
        <v>964</v>
      </c>
      <c r="AJ276" s="21">
        <v>0</v>
      </c>
      <c r="AK276" s="31">
        <v>0</v>
      </c>
      <c r="AL276" s="21">
        <v>0</v>
      </c>
      <c r="AM276" s="31">
        <v>0</v>
      </c>
      <c r="AN276" s="21">
        <v>0</v>
      </c>
      <c r="AO276" s="31">
        <v>0</v>
      </c>
      <c r="AP276" s="21">
        <v>0</v>
      </c>
      <c r="AQ276" s="31">
        <v>0</v>
      </c>
      <c r="AR276" s="21">
        <v>0</v>
      </c>
      <c r="AS276" s="31">
        <v>0</v>
      </c>
      <c r="AT276" s="21">
        <v>0</v>
      </c>
      <c r="AU276" s="31">
        <v>0</v>
      </c>
      <c r="AV276" s="21">
        <v>0</v>
      </c>
      <c r="AW276" s="31">
        <v>0</v>
      </c>
      <c r="AX276" s="31">
        <v>0</v>
      </c>
      <c r="AY276" s="31">
        <v>0</v>
      </c>
      <c r="AZ276" s="31">
        <v>0</v>
      </c>
      <c r="BA276" s="31">
        <v>0</v>
      </c>
      <c r="BB276" s="31">
        <v>0</v>
      </c>
      <c r="BC276" s="31">
        <v>0</v>
      </c>
      <c r="BD276" s="31">
        <v>0</v>
      </c>
      <c r="BE276" s="31">
        <v>0</v>
      </c>
      <c r="BF276" s="31">
        <v>0</v>
      </c>
      <c r="BG276" s="31">
        <v>0</v>
      </c>
      <c r="BH276" s="31">
        <v>0</v>
      </c>
      <c r="BI276" s="31">
        <v>0</v>
      </c>
      <c r="BJ276" s="31">
        <v>0</v>
      </c>
      <c r="BK276" s="31">
        <v>0</v>
      </c>
      <c r="BL276" s="17" t="s">
        <v>964</v>
      </c>
      <c r="BM276" s="31">
        <v>0</v>
      </c>
      <c r="BN276" s="31">
        <v>0</v>
      </c>
      <c r="BO276" s="31">
        <v>0</v>
      </c>
      <c r="BP276" s="31">
        <v>0</v>
      </c>
      <c r="BQ276" s="58">
        <v>0</v>
      </c>
      <c r="BR276" s="58">
        <v>0</v>
      </c>
      <c r="BS276" s="31">
        <v>0</v>
      </c>
      <c r="BT276" s="31">
        <v>0</v>
      </c>
      <c r="BU276" s="31">
        <v>0</v>
      </c>
      <c r="BV276" s="31">
        <v>0</v>
      </c>
      <c r="BW276" s="21">
        <v>0</v>
      </c>
      <c r="BX276" s="31">
        <f>Table1[[#This Row],[Summer 2018 Price Check]]*Table1[[#This Row],[Spring 2019 Students]]</f>
        <v>0</v>
      </c>
      <c r="BY276" s="31">
        <f t="shared" si="187"/>
        <v>0</v>
      </c>
      <c r="BZ276" s="58">
        <f t="shared" si="188"/>
        <v>0</v>
      </c>
      <c r="CA276" s="17" t="s">
        <v>964</v>
      </c>
      <c r="CB276" s="21">
        <v>0</v>
      </c>
      <c r="CC276" s="21">
        <v>0</v>
      </c>
      <c r="CD276" s="21">
        <v>0</v>
      </c>
      <c r="CE276" s="21">
        <f t="shared" si="196"/>
        <v>0</v>
      </c>
      <c r="CF276" s="58">
        <v>0</v>
      </c>
      <c r="CG276" s="31">
        <f t="shared" si="189"/>
        <v>0</v>
      </c>
      <c r="CH276" s="58">
        <v>0</v>
      </c>
      <c r="CI276" s="21">
        <f>IF(Table1[[#This Row],[Check 3 Status]]="Continued", Table1[[#This Row],[Check 3 Students Summer]], 0)</f>
        <v>0</v>
      </c>
      <c r="CJ276" s="31">
        <f>Table1[[#This Row],[Check 3 Per Student Savings]]*CI276</f>
        <v>0</v>
      </c>
      <c r="CK276" s="21">
        <f>IF(Table1[[#This Row],[Check 3 Status]]="Continued", Table1[[#This Row],[Check 3 Students Fall]], 0)</f>
        <v>0</v>
      </c>
      <c r="CL276" s="31">
        <f>Table1[[#This Row],[Check 3 Per Student Savings]]*CK276</f>
        <v>0</v>
      </c>
      <c r="CM276" s="21">
        <f>IF(Table1[[#This Row],[Check 3 Status]]="Continued", Table1[[#This Row],[Check 3 Students Spring]], 0)</f>
        <v>0</v>
      </c>
      <c r="CN276" s="31">
        <f>Table1[[#This Row],[Check 3 Per Student Savings]]*CM276</f>
        <v>0</v>
      </c>
      <c r="CO276" s="21">
        <f t="shared" si="190"/>
        <v>0</v>
      </c>
      <c r="CP276" s="31">
        <f t="shared" si="191"/>
        <v>0</v>
      </c>
      <c r="CQ276" s="31" t="s">
        <v>964</v>
      </c>
      <c r="CR276" s="21">
        <v>0</v>
      </c>
      <c r="CS276" s="21">
        <v>0</v>
      </c>
      <c r="CT276" s="21">
        <v>0</v>
      </c>
      <c r="CU276" s="21">
        <f t="shared" si="192"/>
        <v>0</v>
      </c>
      <c r="CV276" s="31">
        <v>0</v>
      </c>
      <c r="CW276" s="31">
        <f t="shared" si="193"/>
        <v>0</v>
      </c>
      <c r="CY276" s="21">
        <f>IF(Table1[[#This Row],[Check 4 Status]]="Continued", Table1[[#This Row],[Check 4 Students Summer]], 0)</f>
        <v>0</v>
      </c>
      <c r="CZ276" s="58">
        <f>Table1[[#This Row],[Check 4 Per Student Savings]]*CY276</f>
        <v>0</v>
      </c>
      <c r="DA276" s="21">
        <f>IF(Table1[[#This Row],[Check 4 Status]]="Continued", Table1[[#This Row],[Check 4 Students Fall]], 0)</f>
        <v>0</v>
      </c>
      <c r="DB276" s="31">
        <f>Table1[[#This Row],[Check 4 Per Student Savings]]*DA276</f>
        <v>0</v>
      </c>
      <c r="DC276" s="21">
        <f>IF(Table1[[#This Row],[Check 4 Status]]="Continued", Table1[[#This Row],[Check 4 Students Spring]], 0)</f>
        <v>0</v>
      </c>
      <c r="DD276" s="58">
        <f>Table1[[#This Row],[Check 4 Per Student Savings]]*DC276</f>
        <v>0</v>
      </c>
      <c r="DE276" s="58">
        <f t="shared" si="194"/>
        <v>0</v>
      </c>
      <c r="DF276" s="58">
        <f t="shared" si="195"/>
        <v>0</v>
      </c>
      <c r="DG27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7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76" s="58">
        <f>Table1[[#This Row],[Grand Total Savings]]/Table1[[#This Row],[Total Award]]</f>
        <v>0</v>
      </c>
      <c r="DJ276" s="17"/>
      <c r="DK276" s="17"/>
      <c r="DL276" s="17"/>
      <c r="DM276" s="17"/>
      <c r="DY276" s="21"/>
      <c r="DZ276" s="58"/>
      <c r="EA276" s="21"/>
      <c r="EB276" s="21"/>
      <c r="EC276" s="17"/>
      <c r="ED276" s="17"/>
      <c r="EE276" s="17"/>
      <c r="EF276" s="17"/>
    </row>
    <row r="277" spans="1:136" ht="15.75" thickBot="1" x14ac:dyDescent="0.3">
      <c r="A277" s="189" t="s">
        <v>1275</v>
      </c>
      <c r="B277" s="189"/>
      <c r="C277" s="189"/>
      <c r="D277" s="97">
        <v>515354</v>
      </c>
      <c r="E277" s="158">
        <v>43480</v>
      </c>
      <c r="G277" s="17" t="s">
        <v>1247</v>
      </c>
      <c r="H277" s="95" t="s">
        <v>6</v>
      </c>
      <c r="I277" s="226" t="s">
        <v>118</v>
      </c>
      <c r="J277" s="17" t="s">
        <v>2000</v>
      </c>
      <c r="K277" s="107">
        <v>7500</v>
      </c>
      <c r="L277" s="107" t="s">
        <v>1287</v>
      </c>
      <c r="M277" s="101" t="s">
        <v>1276</v>
      </c>
      <c r="N277" s="101" t="s">
        <v>1277</v>
      </c>
      <c r="O277" s="101" t="s">
        <v>1278</v>
      </c>
      <c r="P277" s="101" t="s">
        <v>1279</v>
      </c>
      <c r="Q277" s="101" t="s">
        <v>714</v>
      </c>
      <c r="R277" s="101" t="s">
        <v>129</v>
      </c>
      <c r="S277" s="101" t="s">
        <v>953</v>
      </c>
      <c r="T277" s="101" t="s">
        <v>953</v>
      </c>
      <c r="U277" s="101" t="s">
        <v>953</v>
      </c>
      <c r="V277" s="17" t="s">
        <v>1095</v>
      </c>
      <c r="W277" s="17" t="s">
        <v>1095</v>
      </c>
      <c r="X277" s="17" t="s">
        <v>1095</v>
      </c>
      <c r="Y277" s="58">
        <v>0</v>
      </c>
      <c r="Z277" s="58">
        <v>0</v>
      </c>
      <c r="AA277" s="58">
        <v>0</v>
      </c>
      <c r="AB277" s="21">
        <v>0</v>
      </c>
      <c r="AC277" s="21">
        <v>0</v>
      </c>
      <c r="AD277" s="21">
        <v>0</v>
      </c>
      <c r="AE277" s="58" t="s">
        <v>13</v>
      </c>
      <c r="AF277" s="17" t="s">
        <v>129</v>
      </c>
      <c r="AG277" s="17"/>
      <c r="AI277" s="17" t="s">
        <v>964</v>
      </c>
      <c r="AJ277" s="21">
        <v>0</v>
      </c>
      <c r="AK277" s="31">
        <v>0</v>
      </c>
      <c r="AL277" s="21">
        <v>0</v>
      </c>
      <c r="AM277" s="31">
        <v>0</v>
      </c>
      <c r="AN277" s="21">
        <v>0</v>
      </c>
      <c r="AO277" s="31">
        <v>0</v>
      </c>
      <c r="AP277" s="21">
        <v>0</v>
      </c>
      <c r="AQ277" s="31">
        <v>0</v>
      </c>
      <c r="AR277" s="21">
        <v>0</v>
      </c>
      <c r="AS277" s="31">
        <v>0</v>
      </c>
      <c r="AT277" s="21">
        <v>0</v>
      </c>
      <c r="AU277" s="31">
        <v>0</v>
      </c>
      <c r="AV277" s="21">
        <v>0</v>
      </c>
      <c r="AW277" s="31">
        <v>0</v>
      </c>
      <c r="AX277" s="31">
        <v>0</v>
      </c>
      <c r="AY277" s="31">
        <v>0</v>
      </c>
      <c r="AZ277" s="31">
        <v>0</v>
      </c>
      <c r="BA277" s="31">
        <v>0</v>
      </c>
      <c r="BB277" s="31">
        <v>0</v>
      </c>
      <c r="BC277" s="31">
        <v>0</v>
      </c>
      <c r="BD277" s="31">
        <v>0</v>
      </c>
      <c r="BE277" s="31">
        <v>0</v>
      </c>
      <c r="BF277" s="31">
        <v>0</v>
      </c>
      <c r="BG277" s="31">
        <v>0</v>
      </c>
      <c r="BH277" s="31">
        <v>0</v>
      </c>
      <c r="BI277" s="31">
        <v>0</v>
      </c>
      <c r="BJ277" s="31">
        <v>0</v>
      </c>
      <c r="BK277" s="31">
        <v>0</v>
      </c>
      <c r="BL277" s="17" t="s">
        <v>964</v>
      </c>
      <c r="BM277" s="31">
        <v>0</v>
      </c>
      <c r="BN277" s="31">
        <v>0</v>
      </c>
      <c r="BO277" s="31">
        <v>0</v>
      </c>
      <c r="BP277" s="31">
        <v>0</v>
      </c>
      <c r="BQ277" s="58">
        <v>0</v>
      </c>
      <c r="BR277" s="58">
        <v>0</v>
      </c>
      <c r="BS277" s="31">
        <v>0</v>
      </c>
      <c r="BT277" s="31">
        <v>0</v>
      </c>
      <c r="BU277" s="31">
        <v>0</v>
      </c>
      <c r="BV277" s="31">
        <v>0</v>
      </c>
      <c r="BW277" s="21">
        <v>0</v>
      </c>
      <c r="BX277" s="31">
        <f>Table1[[#This Row],[Summer 2018 Price Check]]*Table1[[#This Row],[Spring 2019 Students]]</f>
        <v>0</v>
      </c>
      <c r="BY277" s="31">
        <f t="shared" si="187"/>
        <v>0</v>
      </c>
      <c r="BZ277" s="58">
        <f t="shared" si="188"/>
        <v>0</v>
      </c>
      <c r="CA277" s="17" t="s">
        <v>964</v>
      </c>
      <c r="CB277" s="21">
        <v>0</v>
      </c>
      <c r="CC277" s="21">
        <v>0</v>
      </c>
      <c r="CD277" s="21">
        <v>0</v>
      </c>
      <c r="CE277" s="21">
        <f t="shared" si="196"/>
        <v>0</v>
      </c>
      <c r="CF277" s="58">
        <v>0</v>
      </c>
      <c r="CG277" s="31">
        <f t="shared" si="189"/>
        <v>0</v>
      </c>
      <c r="CH277" s="58">
        <v>0</v>
      </c>
      <c r="CI277" s="21">
        <f>IF(Table1[[#This Row],[Check 3 Status]]="Continued", Table1[[#This Row],[Check 3 Students Summer]], 0)</f>
        <v>0</v>
      </c>
      <c r="CJ277" s="31">
        <f>Table1[[#This Row],[Check 3 Per Student Savings]]*CI277</f>
        <v>0</v>
      </c>
      <c r="CK277" s="21">
        <f>IF(Table1[[#This Row],[Check 3 Status]]="Continued", Table1[[#This Row],[Check 3 Students Fall]], 0)</f>
        <v>0</v>
      </c>
      <c r="CL277" s="31">
        <f>Table1[[#This Row],[Check 3 Per Student Savings]]*CK277</f>
        <v>0</v>
      </c>
      <c r="CM277" s="21">
        <f>IF(Table1[[#This Row],[Check 3 Status]]="Continued", Table1[[#This Row],[Check 3 Students Spring]], 0)</f>
        <v>0</v>
      </c>
      <c r="CN277" s="31">
        <f>Table1[[#This Row],[Check 3 Per Student Savings]]*CM277</f>
        <v>0</v>
      </c>
      <c r="CO277" s="21">
        <f t="shared" si="190"/>
        <v>0</v>
      </c>
      <c r="CP277" s="31">
        <f t="shared" si="191"/>
        <v>0</v>
      </c>
      <c r="CQ277" s="31" t="s">
        <v>964</v>
      </c>
      <c r="CR277" s="21">
        <v>0</v>
      </c>
      <c r="CS277" s="21">
        <v>0</v>
      </c>
      <c r="CT277" s="21">
        <v>0</v>
      </c>
      <c r="CU277" s="21">
        <f t="shared" si="192"/>
        <v>0</v>
      </c>
      <c r="CV277" s="31">
        <v>0</v>
      </c>
      <c r="CW277" s="31">
        <f t="shared" si="193"/>
        <v>0</v>
      </c>
      <c r="CY277" s="21">
        <f>IF(Table1[[#This Row],[Check 4 Status]]="Continued", Table1[[#This Row],[Check 4 Students Summer]], 0)</f>
        <v>0</v>
      </c>
      <c r="CZ277" s="58">
        <f>Table1[[#This Row],[Check 4 Per Student Savings]]*CY277</f>
        <v>0</v>
      </c>
      <c r="DA277" s="21">
        <f>IF(Table1[[#This Row],[Check 4 Status]]="Continued", Table1[[#This Row],[Check 4 Students Fall]], 0)</f>
        <v>0</v>
      </c>
      <c r="DB277" s="31">
        <f>Table1[[#This Row],[Check 4 Per Student Savings]]*DA277</f>
        <v>0</v>
      </c>
      <c r="DC277" s="21">
        <f>IF(Table1[[#This Row],[Check 4 Status]]="Continued", Table1[[#This Row],[Check 4 Students Spring]], 0)</f>
        <v>0</v>
      </c>
      <c r="DD277" s="58">
        <f>Table1[[#This Row],[Check 4 Per Student Savings]]*DC277</f>
        <v>0</v>
      </c>
      <c r="DE277" s="58">
        <f t="shared" si="194"/>
        <v>0</v>
      </c>
      <c r="DF277" s="58">
        <f t="shared" si="195"/>
        <v>0</v>
      </c>
      <c r="DG27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7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77" s="58">
        <f>Table1[[#This Row],[Grand Total Savings]]/Table1[[#This Row],[Total Award]]</f>
        <v>0</v>
      </c>
      <c r="DJ277" s="17"/>
      <c r="DK277" s="17"/>
      <c r="DL277" s="17"/>
      <c r="DM277" s="17"/>
      <c r="DY277" s="21"/>
      <c r="DZ277" s="58"/>
      <c r="EA277" s="21"/>
      <c r="EB277" s="21"/>
      <c r="EC277" s="17"/>
      <c r="ED277" s="17"/>
      <c r="EE277" s="17"/>
      <c r="EF277" s="17"/>
    </row>
    <row r="278" spans="1:136" ht="15.75" thickBot="1" x14ac:dyDescent="0.3">
      <c r="A278" s="190">
        <v>403</v>
      </c>
      <c r="B278" s="191"/>
      <c r="C278" s="191" t="s">
        <v>129</v>
      </c>
      <c r="D278" s="108">
        <v>515678</v>
      </c>
      <c r="E278" s="192">
        <v>43552</v>
      </c>
      <c r="F278" s="193"/>
      <c r="G278" s="194" t="s">
        <v>1280</v>
      </c>
      <c r="H278" s="95" t="s">
        <v>6</v>
      </c>
      <c r="I278" s="228" t="s">
        <v>118</v>
      </c>
      <c r="J278" s="17" t="s">
        <v>499</v>
      </c>
      <c r="K278" s="109">
        <v>30000</v>
      </c>
      <c r="L278" s="109" t="s">
        <v>1287</v>
      </c>
      <c r="M278" s="193" t="s">
        <v>1281</v>
      </c>
      <c r="N278" s="193" t="s">
        <v>1282</v>
      </c>
      <c r="O278" s="193" t="s">
        <v>1283</v>
      </c>
      <c r="P278" s="193" t="s">
        <v>1284</v>
      </c>
      <c r="Q278" s="193" t="s">
        <v>177</v>
      </c>
      <c r="R278" s="193" t="s">
        <v>129</v>
      </c>
      <c r="S278" s="193"/>
      <c r="T278" s="17" t="s">
        <v>129</v>
      </c>
      <c r="U278" s="17" t="s">
        <v>1095</v>
      </c>
      <c r="V278" s="17" t="s">
        <v>1095</v>
      </c>
      <c r="W278" s="17" t="s">
        <v>1095</v>
      </c>
      <c r="X278" s="17" t="s">
        <v>1095</v>
      </c>
      <c r="Y278" s="58">
        <v>109200</v>
      </c>
      <c r="Z278" s="17">
        <v>624</v>
      </c>
      <c r="AA278" s="58">
        <v>175</v>
      </c>
      <c r="AB278" s="110" t="s">
        <v>1285</v>
      </c>
      <c r="AC278" s="110" t="s">
        <v>1286</v>
      </c>
      <c r="AD278" s="110" t="s">
        <v>1286</v>
      </c>
      <c r="AE278" s="17" t="s">
        <v>1287</v>
      </c>
      <c r="AF278" s="17" t="s">
        <v>129</v>
      </c>
      <c r="AG278" s="111"/>
      <c r="AH278" s="111"/>
      <c r="AI278" s="111" t="s">
        <v>130</v>
      </c>
      <c r="AJ278" s="110">
        <v>0</v>
      </c>
      <c r="AK278" s="112">
        <v>0</v>
      </c>
      <c r="AL278" s="110">
        <v>0</v>
      </c>
      <c r="AM278" s="112">
        <v>0</v>
      </c>
      <c r="AN278" s="110">
        <v>0</v>
      </c>
      <c r="AO278" s="112">
        <v>0</v>
      </c>
      <c r="AP278" s="110">
        <v>0</v>
      </c>
      <c r="AQ278" s="112">
        <v>0</v>
      </c>
      <c r="AR278" s="110">
        <v>0</v>
      </c>
      <c r="AS278" s="112">
        <v>0</v>
      </c>
      <c r="AT278" s="110">
        <v>0</v>
      </c>
      <c r="AU278" s="112">
        <v>0</v>
      </c>
      <c r="AV278" s="110">
        <v>0</v>
      </c>
      <c r="AW278" s="112">
        <v>0</v>
      </c>
      <c r="AX278" s="112">
        <v>0</v>
      </c>
      <c r="AY278" s="112">
        <v>0</v>
      </c>
      <c r="AZ278" s="112">
        <v>0</v>
      </c>
      <c r="BA278" s="112">
        <v>0</v>
      </c>
      <c r="BB278" s="112">
        <v>0</v>
      </c>
      <c r="BC278" s="112">
        <v>0</v>
      </c>
      <c r="BD278" s="112">
        <v>0</v>
      </c>
      <c r="BE278" s="112">
        <v>0</v>
      </c>
      <c r="BF278" s="112">
        <v>0</v>
      </c>
      <c r="BG278" s="112">
        <v>0</v>
      </c>
      <c r="BH278" s="112">
        <v>0</v>
      </c>
      <c r="BI278" s="112">
        <v>0</v>
      </c>
      <c r="BJ278" s="112">
        <v>0</v>
      </c>
      <c r="BK278" s="112">
        <v>0</v>
      </c>
      <c r="BL278" s="161" t="s">
        <v>130</v>
      </c>
      <c r="BM278" s="17">
        <v>48</v>
      </c>
      <c r="BN278" s="17">
        <v>288</v>
      </c>
      <c r="BO278" s="17">
        <v>288</v>
      </c>
      <c r="BP278" s="31">
        <f t="shared" ref="BP278:BP296" si="197">SUM(BM278:BO278)</f>
        <v>624</v>
      </c>
      <c r="BQ278" s="58">
        <v>175</v>
      </c>
      <c r="BR278" s="111">
        <f>Table1[[#This Row],[Check 2 Students Total]]*Table1[[#This Row],[Summer 2018 Price Check]]</f>
        <v>109200</v>
      </c>
      <c r="BS278" s="31">
        <v>0</v>
      </c>
      <c r="BT278" s="58">
        <f>Table1[[#This Row],[Summer 2018 Price Check]]*BS278</f>
        <v>0</v>
      </c>
      <c r="BU278" s="31">
        <v>0</v>
      </c>
      <c r="BV278" s="58">
        <v>0</v>
      </c>
      <c r="BW278" s="21">
        <v>0</v>
      </c>
      <c r="BX278" s="58">
        <f>Table1[[#This Row],[Summer 2018 Price Check]]*Table1[[#This Row],[Spring 2019 Students]]</f>
        <v>0</v>
      </c>
      <c r="BY278" s="31">
        <f t="shared" si="187"/>
        <v>0</v>
      </c>
      <c r="BZ278" s="58">
        <f t="shared" si="188"/>
        <v>0</v>
      </c>
      <c r="CA278" s="17" t="s">
        <v>130</v>
      </c>
      <c r="CB278" s="17">
        <v>48</v>
      </c>
      <c r="CC278" s="17">
        <v>288</v>
      </c>
      <c r="CD278" s="17">
        <v>288</v>
      </c>
      <c r="CE278" s="21">
        <f t="shared" si="196"/>
        <v>624</v>
      </c>
      <c r="CF278" s="58">
        <v>175</v>
      </c>
      <c r="CG278" s="58">
        <f t="shared" si="189"/>
        <v>109200</v>
      </c>
      <c r="CH278" s="17" t="s">
        <v>1287</v>
      </c>
      <c r="CI278" s="21">
        <v>0</v>
      </c>
      <c r="CJ278" s="58">
        <f>Table1[[#This Row],[Check 3 Per Student Savings]]*CI278</f>
        <v>0</v>
      </c>
      <c r="CK278" s="21">
        <v>0</v>
      </c>
      <c r="CL278" s="58">
        <f>Table1[[#This Row],[Check 3 Per Student Savings]]*CK278</f>
        <v>0</v>
      </c>
      <c r="CM278" s="21">
        <f>IF(Table1[[#This Row],[Check 3 Status]]="Continued", Table1[[#This Row],[Check 3 Students Spring]], 0)</f>
        <v>288</v>
      </c>
      <c r="CN278" s="58">
        <f>Table1[[#This Row],[Check 3 Per Student Savings]]*CM278</f>
        <v>50400</v>
      </c>
      <c r="CO278" s="21">
        <f t="shared" si="190"/>
        <v>288</v>
      </c>
      <c r="CP278" s="58">
        <f t="shared" si="191"/>
        <v>50400</v>
      </c>
      <c r="CQ278" s="221" t="s">
        <v>130</v>
      </c>
      <c r="CR278" s="21">
        <v>48</v>
      </c>
      <c r="CS278" s="21">
        <v>288</v>
      </c>
      <c r="CT278" s="21">
        <v>288</v>
      </c>
      <c r="CU278" s="21">
        <f t="shared" si="192"/>
        <v>624</v>
      </c>
      <c r="CV278" s="58">
        <v>175</v>
      </c>
      <c r="CW278" s="58">
        <f t="shared" si="193"/>
        <v>109200</v>
      </c>
      <c r="CX278" s="58"/>
      <c r="CY278" s="21">
        <f>IF(Table1[[#This Row],[Check 4 Status]]="Continued", Table1[[#This Row],[Check 4 Students Summer]], 0)</f>
        <v>48</v>
      </c>
      <c r="CZ278" s="58">
        <f>Table1[[#This Row],[Check 4 Per Student Savings]]*CY278</f>
        <v>8400</v>
      </c>
      <c r="DA278" s="21">
        <f>IF(Table1[[#This Row],[Check 4 Status]]="Continued", Table1[[#This Row],[Check 4 Students Fall]], 0)</f>
        <v>288</v>
      </c>
      <c r="DB278" s="58">
        <f>Table1[[#This Row],[Check 4 Per Student Savings]]*DA278</f>
        <v>50400</v>
      </c>
      <c r="DC278" s="21">
        <f>IF(Table1[[#This Row],[Check 4 Status]]="Continued", Table1[[#This Row],[Check 4 Students Spring]], 0)</f>
        <v>288</v>
      </c>
      <c r="DD278" s="58">
        <f>Table1[[#This Row],[Check 4 Per Student Savings]]*DC278</f>
        <v>50400</v>
      </c>
      <c r="DE278" s="58">
        <f t="shared" si="194"/>
        <v>624</v>
      </c>
      <c r="DF278" s="58">
        <f t="shared" si="195"/>
        <v>109200</v>
      </c>
      <c r="DG27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912</v>
      </c>
      <c r="DH27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159600</v>
      </c>
      <c r="DI278" s="111">
        <f>Table1[[#This Row],[Grand Total Savings]]/Table1[[#This Row],[Total Award]]</f>
        <v>5.32</v>
      </c>
      <c r="DJ278" s="17"/>
      <c r="DK278" s="17"/>
      <c r="DL278" s="17"/>
      <c r="DM278" s="17"/>
      <c r="EC278" s="17"/>
      <c r="ED278" s="17"/>
      <c r="EE278" s="17"/>
      <c r="EF278" s="17"/>
    </row>
    <row r="279" spans="1:136" ht="15.75" thickBot="1" x14ac:dyDescent="0.3">
      <c r="A279" s="190">
        <v>404</v>
      </c>
      <c r="B279" s="191"/>
      <c r="C279" s="191" t="s">
        <v>129</v>
      </c>
      <c r="D279" s="108">
        <v>515679</v>
      </c>
      <c r="E279" s="196">
        <v>43552</v>
      </c>
      <c r="F279" s="197"/>
      <c r="G279" s="198" t="s">
        <v>1280</v>
      </c>
      <c r="H279" s="95" t="s">
        <v>6</v>
      </c>
      <c r="I279" s="229" t="s">
        <v>118</v>
      </c>
      <c r="J279" s="17" t="s">
        <v>499</v>
      </c>
      <c r="K279" s="113">
        <v>10800</v>
      </c>
      <c r="L279" s="113" t="s">
        <v>1287</v>
      </c>
      <c r="M279" s="197" t="s">
        <v>1288</v>
      </c>
      <c r="N279" s="197" t="s">
        <v>1289</v>
      </c>
      <c r="O279" s="197" t="s">
        <v>1290</v>
      </c>
      <c r="P279" s="197" t="s">
        <v>1291</v>
      </c>
      <c r="Q279" s="101" t="s">
        <v>177</v>
      </c>
      <c r="R279" s="197" t="s">
        <v>129</v>
      </c>
      <c r="S279" s="197"/>
      <c r="T279" s="17" t="s">
        <v>129</v>
      </c>
      <c r="U279" s="17" t="s">
        <v>1095</v>
      </c>
      <c r="V279" s="17" t="s">
        <v>1095</v>
      </c>
      <c r="W279" s="17" t="s">
        <v>1095</v>
      </c>
      <c r="X279" s="17" t="s">
        <v>1095</v>
      </c>
      <c r="Y279" s="58">
        <v>48048</v>
      </c>
      <c r="Z279" s="17">
        <v>364</v>
      </c>
      <c r="AA279" s="58">
        <v>132</v>
      </c>
      <c r="AB279" s="114" t="s">
        <v>1292</v>
      </c>
      <c r="AC279" s="114" t="s">
        <v>1293</v>
      </c>
      <c r="AD279" s="114" t="s">
        <v>1293</v>
      </c>
      <c r="AE279" s="17" t="s">
        <v>1287</v>
      </c>
      <c r="AF279" s="17" t="s">
        <v>129</v>
      </c>
      <c r="AG279" s="115"/>
      <c r="AH279" s="115"/>
      <c r="AI279" s="111" t="s">
        <v>130</v>
      </c>
      <c r="AJ279" s="110">
        <v>0</v>
      </c>
      <c r="AK279" s="112">
        <v>0</v>
      </c>
      <c r="AL279" s="110">
        <v>0</v>
      </c>
      <c r="AM279" s="112">
        <v>0</v>
      </c>
      <c r="AN279" s="110">
        <v>0</v>
      </c>
      <c r="AO279" s="112">
        <v>0</v>
      </c>
      <c r="AP279" s="110">
        <v>0</v>
      </c>
      <c r="AQ279" s="112">
        <v>0</v>
      </c>
      <c r="AR279" s="110">
        <v>0</v>
      </c>
      <c r="AS279" s="112">
        <v>0</v>
      </c>
      <c r="AT279" s="110">
        <v>0</v>
      </c>
      <c r="AU279" s="112">
        <v>0</v>
      </c>
      <c r="AV279" s="110">
        <v>0</v>
      </c>
      <c r="AW279" s="112">
        <v>0</v>
      </c>
      <c r="AX279" s="112">
        <v>0</v>
      </c>
      <c r="AY279" s="112">
        <v>0</v>
      </c>
      <c r="AZ279" s="112">
        <v>0</v>
      </c>
      <c r="BA279" s="112">
        <v>0</v>
      </c>
      <c r="BB279" s="112">
        <v>0</v>
      </c>
      <c r="BC279" s="112">
        <v>0</v>
      </c>
      <c r="BD279" s="112">
        <v>0</v>
      </c>
      <c r="BE279" s="112">
        <v>0</v>
      </c>
      <c r="BF279" s="112">
        <v>0</v>
      </c>
      <c r="BG279" s="112">
        <v>0</v>
      </c>
      <c r="BH279" s="112">
        <v>0</v>
      </c>
      <c r="BI279" s="112">
        <v>0</v>
      </c>
      <c r="BJ279" s="112">
        <v>0</v>
      </c>
      <c r="BK279" s="112">
        <v>0</v>
      </c>
      <c r="BL279" s="161" t="s">
        <v>130</v>
      </c>
      <c r="BM279" s="17">
        <v>28</v>
      </c>
      <c r="BN279" s="17">
        <v>168</v>
      </c>
      <c r="BO279" s="17">
        <v>168</v>
      </c>
      <c r="BP279" s="31">
        <f t="shared" si="197"/>
        <v>364</v>
      </c>
      <c r="BQ279" s="58">
        <v>132</v>
      </c>
      <c r="BR279" s="115">
        <f>Table1[[#This Row],[Check 2 Students Total]]*Table1[[#This Row],[Summer 2018 Price Check]]</f>
        <v>48048</v>
      </c>
      <c r="BS279" s="31">
        <v>0</v>
      </c>
      <c r="BT279" s="58">
        <f>Table1[[#This Row],[Summer 2018 Price Check]]*BS279</f>
        <v>0</v>
      </c>
      <c r="BU279" s="31">
        <v>0</v>
      </c>
      <c r="BV279" s="58">
        <v>0</v>
      </c>
      <c r="BW279" s="21">
        <v>0</v>
      </c>
      <c r="BX279" s="58">
        <f>Table1[[#This Row],[Summer 2018 Price Check]]*Table1[[#This Row],[Spring 2019 Students]]</f>
        <v>0</v>
      </c>
      <c r="BY279" s="31">
        <f t="shared" si="187"/>
        <v>0</v>
      </c>
      <c r="BZ279" s="58">
        <f t="shared" si="188"/>
        <v>0</v>
      </c>
      <c r="CA279" s="17" t="s">
        <v>130</v>
      </c>
      <c r="CB279" s="17">
        <v>28</v>
      </c>
      <c r="CC279" s="17">
        <v>168</v>
      </c>
      <c r="CD279" s="17">
        <v>168</v>
      </c>
      <c r="CE279" s="21">
        <f t="shared" si="196"/>
        <v>364</v>
      </c>
      <c r="CF279" s="58">
        <v>132</v>
      </c>
      <c r="CG279" s="58">
        <f t="shared" si="189"/>
        <v>48048</v>
      </c>
      <c r="CH279" s="17" t="s">
        <v>1287</v>
      </c>
      <c r="CI279" s="21">
        <v>0</v>
      </c>
      <c r="CJ279" s="58">
        <f>Table1[[#This Row],[Check 3 Per Student Savings]]*CI279</f>
        <v>0</v>
      </c>
      <c r="CK279" s="21">
        <v>0</v>
      </c>
      <c r="CL279" s="58">
        <f>Table1[[#This Row],[Check 3 Per Student Savings]]*CK279</f>
        <v>0</v>
      </c>
      <c r="CM279" s="21">
        <f>IF(Table1[[#This Row],[Check 3 Status]]="Continued", Table1[[#This Row],[Check 3 Students Spring]], 0)</f>
        <v>168</v>
      </c>
      <c r="CN279" s="58">
        <f>Table1[[#This Row],[Check 3 Per Student Savings]]*CM279</f>
        <v>22176</v>
      </c>
      <c r="CO279" s="21">
        <f t="shared" si="190"/>
        <v>168</v>
      </c>
      <c r="CP279" s="58">
        <f t="shared" si="191"/>
        <v>22176</v>
      </c>
      <c r="CQ279" s="221" t="s">
        <v>130</v>
      </c>
      <c r="CR279" s="21">
        <v>28</v>
      </c>
      <c r="CS279" s="21">
        <v>168</v>
      </c>
      <c r="CT279" s="21">
        <v>168</v>
      </c>
      <c r="CU279" s="21">
        <f t="shared" si="192"/>
        <v>364</v>
      </c>
      <c r="CV279" s="58">
        <v>132</v>
      </c>
      <c r="CW279" s="58">
        <f t="shared" si="193"/>
        <v>48048</v>
      </c>
      <c r="CX279" s="58"/>
      <c r="CY279" s="21">
        <f>IF(Table1[[#This Row],[Check 4 Status]]="Continued", Table1[[#This Row],[Check 4 Students Summer]], 0)</f>
        <v>28</v>
      </c>
      <c r="CZ279" s="58">
        <f>Table1[[#This Row],[Check 4 Per Student Savings]]*CY279</f>
        <v>3696</v>
      </c>
      <c r="DA279" s="21">
        <f>IF(Table1[[#This Row],[Check 4 Status]]="Continued", Table1[[#This Row],[Check 4 Students Fall]], 0)</f>
        <v>168</v>
      </c>
      <c r="DB279" s="58">
        <f>Table1[[#This Row],[Check 4 Per Student Savings]]*DA279</f>
        <v>22176</v>
      </c>
      <c r="DC279" s="21">
        <f>IF(Table1[[#This Row],[Check 4 Status]]="Continued", Table1[[#This Row],[Check 4 Students Spring]], 0)</f>
        <v>168</v>
      </c>
      <c r="DD279" s="58">
        <f>Table1[[#This Row],[Check 4 Per Student Savings]]*DC279</f>
        <v>22176</v>
      </c>
      <c r="DE279" s="58">
        <f t="shared" si="194"/>
        <v>364</v>
      </c>
      <c r="DF279" s="58">
        <f t="shared" si="195"/>
        <v>48048</v>
      </c>
      <c r="DG27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532</v>
      </c>
      <c r="DH27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70224</v>
      </c>
      <c r="DI279" s="58">
        <f>Table1[[#This Row],[Grand Total Savings]]/Table1[[#This Row],[Total Award]]</f>
        <v>6.5022222222222226</v>
      </c>
      <c r="DJ279" s="17"/>
      <c r="DK279" s="17"/>
      <c r="DL279" s="17"/>
      <c r="DM279" s="17"/>
      <c r="EC279" s="17"/>
      <c r="ED279" s="17"/>
      <c r="EE279" s="17"/>
      <c r="EF279" s="17"/>
    </row>
    <row r="280" spans="1:136" ht="15.75" thickBot="1" x14ac:dyDescent="0.3">
      <c r="A280" s="190">
        <v>405</v>
      </c>
      <c r="B280" s="191"/>
      <c r="C280" s="191" t="s">
        <v>129</v>
      </c>
      <c r="D280" s="108">
        <v>515680</v>
      </c>
      <c r="E280" s="196">
        <v>43552</v>
      </c>
      <c r="F280" s="197"/>
      <c r="G280" s="198" t="s">
        <v>1280</v>
      </c>
      <c r="H280" s="95" t="s">
        <v>6</v>
      </c>
      <c r="I280" s="229" t="s">
        <v>118</v>
      </c>
      <c r="J280" s="17" t="s">
        <v>499</v>
      </c>
      <c r="K280" s="113">
        <v>10800</v>
      </c>
      <c r="L280" s="113" t="s">
        <v>1287</v>
      </c>
      <c r="M280" s="197" t="s">
        <v>1294</v>
      </c>
      <c r="N280" s="197" t="s">
        <v>1295</v>
      </c>
      <c r="O280" s="197" t="s">
        <v>1296</v>
      </c>
      <c r="P280" s="197" t="s">
        <v>1297</v>
      </c>
      <c r="Q280" s="101" t="s">
        <v>1298</v>
      </c>
      <c r="R280" s="197" t="s">
        <v>1296</v>
      </c>
      <c r="S280" s="197"/>
      <c r="T280" s="17" t="s">
        <v>129</v>
      </c>
      <c r="U280" s="17" t="s">
        <v>1095</v>
      </c>
      <c r="V280" s="17" t="s">
        <v>1095</v>
      </c>
      <c r="W280" s="17" t="s">
        <v>1095</v>
      </c>
      <c r="X280" s="17" t="s">
        <v>1095</v>
      </c>
      <c r="Y280" s="58">
        <v>67424</v>
      </c>
      <c r="Z280" s="17">
        <v>392</v>
      </c>
      <c r="AA280" s="58">
        <v>172</v>
      </c>
      <c r="AB280" s="114" t="s">
        <v>1299</v>
      </c>
      <c r="AC280" s="114" t="s">
        <v>1300</v>
      </c>
      <c r="AD280" s="114" t="s">
        <v>1300</v>
      </c>
      <c r="AE280" s="17" t="s">
        <v>1287</v>
      </c>
      <c r="AF280" s="17" t="s">
        <v>129</v>
      </c>
      <c r="AG280" s="115"/>
      <c r="AH280" s="115"/>
      <c r="AI280" s="111" t="s">
        <v>130</v>
      </c>
      <c r="AJ280" s="110">
        <v>0</v>
      </c>
      <c r="AK280" s="112">
        <v>0</v>
      </c>
      <c r="AL280" s="110">
        <v>0</v>
      </c>
      <c r="AM280" s="112">
        <v>0</v>
      </c>
      <c r="AN280" s="110">
        <v>0</v>
      </c>
      <c r="AO280" s="112">
        <v>0</v>
      </c>
      <c r="AP280" s="110">
        <v>0</v>
      </c>
      <c r="AQ280" s="112">
        <v>0</v>
      </c>
      <c r="AR280" s="110">
        <v>0</v>
      </c>
      <c r="AS280" s="112">
        <v>0</v>
      </c>
      <c r="AT280" s="110">
        <v>0</v>
      </c>
      <c r="AU280" s="112">
        <v>0</v>
      </c>
      <c r="AV280" s="110">
        <v>0</v>
      </c>
      <c r="AW280" s="112">
        <v>0</v>
      </c>
      <c r="AX280" s="112">
        <v>0</v>
      </c>
      <c r="AY280" s="112">
        <v>0</v>
      </c>
      <c r="AZ280" s="112">
        <v>0</v>
      </c>
      <c r="BA280" s="112">
        <v>0</v>
      </c>
      <c r="BB280" s="112">
        <v>0</v>
      </c>
      <c r="BC280" s="112">
        <v>0</v>
      </c>
      <c r="BD280" s="112">
        <v>0</v>
      </c>
      <c r="BE280" s="112">
        <v>0</v>
      </c>
      <c r="BF280" s="112">
        <v>0</v>
      </c>
      <c r="BG280" s="112">
        <v>0</v>
      </c>
      <c r="BH280" s="112">
        <v>0</v>
      </c>
      <c r="BI280" s="112">
        <v>0</v>
      </c>
      <c r="BJ280" s="112">
        <v>0</v>
      </c>
      <c r="BK280" s="112">
        <v>0</v>
      </c>
      <c r="BL280" s="161" t="s">
        <v>130</v>
      </c>
      <c r="BM280" s="17">
        <v>0</v>
      </c>
      <c r="BN280" s="17">
        <v>196</v>
      </c>
      <c r="BO280" s="17">
        <v>196</v>
      </c>
      <c r="BP280" s="31">
        <f t="shared" si="197"/>
        <v>392</v>
      </c>
      <c r="BQ280" s="58">
        <v>172</v>
      </c>
      <c r="BR280" s="115">
        <f>Table1[[#This Row],[Check 2 Students Total]]*Table1[[#This Row],[Summer 2018 Price Check]]</f>
        <v>67424</v>
      </c>
      <c r="BS280" s="31">
        <v>0</v>
      </c>
      <c r="BT280" s="58">
        <f>Table1[[#This Row],[Summer 2018 Price Check]]*BS280</f>
        <v>0</v>
      </c>
      <c r="BU280" s="31">
        <v>0</v>
      </c>
      <c r="BV280" s="58">
        <v>0</v>
      </c>
      <c r="BW280" s="21">
        <v>0</v>
      </c>
      <c r="BX280" s="58">
        <f>Table1[[#This Row],[Summer 2018 Price Check]]*Table1[[#This Row],[Spring 2019 Students]]</f>
        <v>0</v>
      </c>
      <c r="BY280" s="31">
        <f t="shared" si="187"/>
        <v>0</v>
      </c>
      <c r="BZ280" s="58">
        <f t="shared" si="188"/>
        <v>0</v>
      </c>
      <c r="CA280" s="17" t="s">
        <v>130</v>
      </c>
      <c r="CB280" s="17">
        <v>0</v>
      </c>
      <c r="CC280" s="17">
        <v>196</v>
      </c>
      <c r="CD280" s="17">
        <v>196</v>
      </c>
      <c r="CE280" s="21">
        <f t="shared" si="196"/>
        <v>392</v>
      </c>
      <c r="CF280" s="58">
        <v>172</v>
      </c>
      <c r="CG280" s="58">
        <f t="shared" si="189"/>
        <v>67424</v>
      </c>
      <c r="CH280" s="17" t="s">
        <v>1287</v>
      </c>
      <c r="CI280" s="21">
        <v>0</v>
      </c>
      <c r="CJ280" s="58">
        <f>Table1[[#This Row],[Check 3 Per Student Savings]]*CI280</f>
        <v>0</v>
      </c>
      <c r="CK280" s="21">
        <v>0</v>
      </c>
      <c r="CL280" s="58">
        <f>Table1[[#This Row],[Check 3 Per Student Savings]]*CK280</f>
        <v>0</v>
      </c>
      <c r="CM280" s="21">
        <f>IF(Table1[[#This Row],[Check 3 Status]]="Continued", Table1[[#This Row],[Check 3 Students Spring]], 0)</f>
        <v>196</v>
      </c>
      <c r="CN280" s="58">
        <f>Table1[[#This Row],[Check 3 Per Student Savings]]*CM280</f>
        <v>33712</v>
      </c>
      <c r="CO280" s="21">
        <f t="shared" si="190"/>
        <v>196</v>
      </c>
      <c r="CP280" s="58">
        <f t="shared" si="191"/>
        <v>33712</v>
      </c>
      <c r="CQ280" s="221" t="s">
        <v>130</v>
      </c>
      <c r="CR280" s="21">
        <v>0</v>
      </c>
      <c r="CS280" s="21">
        <v>196</v>
      </c>
      <c r="CT280" s="21">
        <v>196</v>
      </c>
      <c r="CU280" s="21">
        <f t="shared" si="192"/>
        <v>392</v>
      </c>
      <c r="CV280" s="58">
        <v>172</v>
      </c>
      <c r="CW280" s="58">
        <f t="shared" si="193"/>
        <v>67424</v>
      </c>
      <c r="CX280" s="58"/>
      <c r="CY280" s="21">
        <f>IF(Table1[[#This Row],[Check 4 Status]]="Continued", Table1[[#This Row],[Check 4 Students Summer]], 0)</f>
        <v>0</v>
      </c>
      <c r="CZ280" s="58">
        <f>Table1[[#This Row],[Check 4 Per Student Savings]]*CY280</f>
        <v>0</v>
      </c>
      <c r="DA280" s="21">
        <f>IF(Table1[[#This Row],[Check 4 Status]]="Continued", Table1[[#This Row],[Check 4 Students Fall]], 0)</f>
        <v>196</v>
      </c>
      <c r="DB280" s="58">
        <f>Table1[[#This Row],[Check 4 Per Student Savings]]*DA280</f>
        <v>33712</v>
      </c>
      <c r="DC280" s="21">
        <f>IF(Table1[[#This Row],[Check 4 Status]]="Continued", Table1[[#This Row],[Check 4 Students Spring]], 0)</f>
        <v>196</v>
      </c>
      <c r="DD280" s="58">
        <f>Table1[[#This Row],[Check 4 Per Student Savings]]*DC280</f>
        <v>33712</v>
      </c>
      <c r="DE280" s="58">
        <f t="shared" si="194"/>
        <v>392</v>
      </c>
      <c r="DF280" s="58">
        <f t="shared" si="195"/>
        <v>67424</v>
      </c>
      <c r="DG28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588</v>
      </c>
      <c r="DH28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101136</v>
      </c>
      <c r="DI280" s="58">
        <f>Table1[[#This Row],[Grand Total Savings]]/Table1[[#This Row],[Total Award]]</f>
        <v>9.3644444444444446</v>
      </c>
      <c r="DJ280" s="17"/>
      <c r="DK280" s="17"/>
      <c r="DL280" s="17"/>
      <c r="DM280" s="17"/>
      <c r="EC280" s="17"/>
      <c r="ED280" s="17"/>
      <c r="EE280" s="17"/>
      <c r="EF280" s="17"/>
    </row>
    <row r="281" spans="1:136" ht="15.75" thickBot="1" x14ac:dyDescent="0.3">
      <c r="A281" s="190">
        <v>406</v>
      </c>
      <c r="B281" s="191"/>
      <c r="C281" s="191" t="s">
        <v>129</v>
      </c>
      <c r="D281" s="108">
        <v>515681</v>
      </c>
      <c r="E281" s="196">
        <v>43552</v>
      </c>
      <c r="F281" s="197"/>
      <c r="G281" s="198" t="s">
        <v>1280</v>
      </c>
      <c r="H281" s="95" t="s">
        <v>6</v>
      </c>
      <c r="I281" s="229" t="s">
        <v>118</v>
      </c>
      <c r="J281" s="17" t="s">
        <v>499</v>
      </c>
      <c r="K281" s="113">
        <v>10800</v>
      </c>
      <c r="L281" s="113" t="s">
        <v>1287</v>
      </c>
      <c r="M281" s="197" t="s">
        <v>1301</v>
      </c>
      <c r="N281" s="197" t="s">
        <v>1302</v>
      </c>
      <c r="O281" s="197" t="s">
        <v>1303</v>
      </c>
      <c r="P281" s="197" t="s">
        <v>1304</v>
      </c>
      <c r="Q281" s="101" t="s">
        <v>177</v>
      </c>
      <c r="R281" s="197" t="s">
        <v>129</v>
      </c>
      <c r="S281" s="197"/>
      <c r="T281" s="17" t="s">
        <v>129</v>
      </c>
      <c r="U281" s="17" t="s">
        <v>1095</v>
      </c>
      <c r="V281" s="17" t="s">
        <v>1095</v>
      </c>
      <c r="W281" s="17" t="s">
        <v>1095</v>
      </c>
      <c r="X281" s="17" t="s">
        <v>1095</v>
      </c>
      <c r="Y281" s="58">
        <v>61365</v>
      </c>
      <c r="Z281" s="17">
        <v>360</v>
      </c>
      <c r="AA281" s="58">
        <v>154.28</v>
      </c>
      <c r="AB281" s="114" t="s">
        <v>1305</v>
      </c>
      <c r="AC281" s="114" t="s">
        <v>1306</v>
      </c>
      <c r="AD281" s="114" t="s">
        <v>1306</v>
      </c>
      <c r="AE281" s="17" t="s">
        <v>1287</v>
      </c>
      <c r="AF281" s="17" t="s">
        <v>129</v>
      </c>
      <c r="AG281" s="115"/>
      <c r="AH281" s="115"/>
      <c r="AI281" s="111" t="s">
        <v>130</v>
      </c>
      <c r="AJ281" s="110">
        <v>0</v>
      </c>
      <c r="AK281" s="112">
        <v>0</v>
      </c>
      <c r="AL281" s="110">
        <v>0</v>
      </c>
      <c r="AM281" s="112">
        <v>0</v>
      </c>
      <c r="AN281" s="110">
        <v>0</v>
      </c>
      <c r="AO281" s="112">
        <v>0</v>
      </c>
      <c r="AP281" s="110">
        <v>0</v>
      </c>
      <c r="AQ281" s="112">
        <v>0</v>
      </c>
      <c r="AR281" s="110">
        <v>0</v>
      </c>
      <c r="AS281" s="112">
        <v>0</v>
      </c>
      <c r="AT281" s="110">
        <v>0</v>
      </c>
      <c r="AU281" s="112">
        <v>0</v>
      </c>
      <c r="AV281" s="110">
        <v>0</v>
      </c>
      <c r="AW281" s="112">
        <v>0</v>
      </c>
      <c r="AX281" s="112">
        <v>0</v>
      </c>
      <c r="AY281" s="112">
        <v>0</v>
      </c>
      <c r="AZ281" s="112">
        <v>0</v>
      </c>
      <c r="BA281" s="112">
        <v>0</v>
      </c>
      <c r="BB281" s="112">
        <v>0</v>
      </c>
      <c r="BC281" s="112">
        <v>0</v>
      </c>
      <c r="BD281" s="112">
        <v>0</v>
      </c>
      <c r="BE281" s="112">
        <v>0</v>
      </c>
      <c r="BF281" s="112">
        <v>0</v>
      </c>
      <c r="BG281" s="112">
        <v>0</v>
      </c>
      <c r="BH281" s="112">
        <v>0</v>
      </c>
      <c r="BI281" s="112">
        <v>0</v>
      </c>
      <c r="BJ281" s="112">
        <v>0</v>
      </c>
      <c r="BK281" s="112">
        <v>0</v>
      </c>
      <c r="BL281" s="161" t="s">
        <v>130</v>
      </c>
      <c r="BM281" s="17">
        <v>40</v>
      </c>
      <c r="BN281" s="17">
        <v>160</v>
      </c>
      <c r="BO281" s="17">
        <v>160</v>
      </c>
      <c r="BP281" s="31">
        <f t="shared" si="197"/>
        <v>360</v>
      </c>
      <c r="BQ281" s="58">
        <v>154.28</v>
      </c>
      <c r="BR281" s="115">
        <f>Table1[[#This Row],[Check 2 Students Total]]*Table1[[#This Row],[Summer 2018 Price Check]]</f>
        <v>55540.800000000003</v>
      </c>
      <c r="BS281" s="31">
        <v>0</v>
      </c>
      <c r="BT281" s="58">
        <f>Table1[[#This Row],[Summer 2018 Price Check]]*BS281</f>
        <v>0</v>
      </c>
      <c r="BU281" s="31">
        <v>0</v>
      </c>
      <c r="BV281" s="58">
        <v>0</v>
      </c>
      <c r="BW281" s="21">
        <v>0</v>
      </c>
      <c r="BX281" s="58">
        <f>Table1[[#This Row],[Summer 2018 Price Check]]*Table1[[#This Row],[Spring 2019 Students]]</f>
        <v>0</v>
      </c>
      <c r="BY281" s="31">
        <f t="shared" si="187"/>
        <v>0</v>
      </c>
      <c r="BZ281" s="58">
        <f t="shared" si="188"/>
        <v>0</v>
      </c>
      <c r="CA281" s="17" t="s">
        <v>130</v>
      </c>
      <c r="CB281" s="17">
        <v>40</v>
      </c>
      <c r="CC281" s="17">
        <v>160</v>
      </c>
      <c r="CD281" s="17">
        <v>160</v>
      </c>
      <c r="CE281" s="21">
        <f t="shared" si="196"/>
        <v>360</v>
      </c>
      <c r="CF281" s="58">
        <v>154.28</v>
      </c>
      <c r="CG281" s="58">
        <f t="shared" si="189"/>
        <v>55540.800000000003</v>
      </c>
      <c r="CH281" s="17" t="s">
        <v>1287</v>
      </c>
      <c r="CI281" s="21">
        <v>0</v>
      </c>
      <c r="CJ281" s="58">
        <f>Table1[[#This Row],[Check 3 Per Student Savings]]*CI281</f>
        <v>0</v>
      </c>
      <c r="CK281" s="21">
        <v>0</v>
      </c>
      <c r="CL281" s="58">
        <f>Table1[[#This Row],[Check 3 Per Student Savings]]*CK281</f>
        <v>0</v>
      </c>
      <c r="CM281" s="21">
        <f>IF(Table1[[#This Row],[Check 3 Status]]="Continued", Table1[[#This Row],[Check 3 Students Spring]], 0)</f>
        <v>160</v>
      </c>
      <c r="CN281" s="58">
        <f>Table1[[#This Row],[Check 3 Per Student Savings]]*CM281</f>
        <v>24684.799999999999</v>
      </c>
      <c r="CO281" s="21">
        <f t="shared" si="190"/>
        <v>160</v>
      </c>
      <c r="CP281" s="58">
        <f t="shared" si="191"/>
        <v>24684.799999999999</v>
      </c>
      <c r="CQ281" s="221" t="s">
        <v>130</v>
      </c>
      <c r="CR281" s="21">
        <v>40</v>
      </c>
      <c r="CS281" s="21">
        <v>160</v>
      </c>
      <c r="CT281" s="21">
        <v>160</v>
      </c>
      <c r="CU281" s="21">
        <f t="shared" si="192"/>
        <v>360</v>
      </c>
      <c r="CV281" s="58">
        <v>154.28</v>
      </c>
      <c r="CW281" s="58">
        <f t="shared" si="193"/>
        <v>55540.800000000003</v>
      </c>
      <c r="CX281" s="58"/>
      <c r="CY281" s="21">
        <f>IF(Table1[[#This Row],[Check 4 Status]]="Continued", Table1[[#This Row],[Check 4 Students Summer]], 0)</f>
        <v>40</v>
      </c>
      <c r="CZ281" s="58">
        <f>Table1[[#This Row],[Check 4 Per Student Savings]]*CY281</f>
        <v>6171.2</v>
      </c>
      <c r="DA281" s="21">
        <f>IF(Table1[[#This Row],[Check 4 Status]]="Continued", Table1[[#This Row],[Check 4 Students Fall]], 0)</f>
        <v>160</v>
      </c>
      <c r="DB281" s="58">
        <f>Table1[[#This Row],[Check 4 Per Student Savings]]*DA281</f>
        <v>24684.799999999999</v>
      </c>
      <c r="DC281" s="21">
        <f>IF(Table1[[#This Row],[Check 4 Status]]="Continued", Table1[[#This Row],[Check 4 Students Spring]], 0)</f>
        <v>160</v>
      </c>
      <c r="DD281" s="58">
        <f>Table1[[#This Row],[Check 4 Per Student Savings]]*DC281</f>
        <v>24684.799999999999</v>
      </c>
      <c r="DE281" s="58">
        <f t="shared" si="194"/>
        <v>360</v>
      </c>
      <c r="DF281" s="58">
        <f t="shared" si="195"/>
        <v>55540.800000000003</v>
      </c>
      <c r="DG28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520</v>
      </c>
      <c r="DH28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80225.600000000006</v>
      </c>
      <c r="DI281" s="58">
        <f>Table1[[#This Row],[Grand Total Savings]]/Table1[[#This Row],[Total Award]]</f>
        <v>7.4282962962962964</v>
      </c>
      <c r="DJ281" s="17"/>
      <c r="DK281" s="17"/>
      <c r="DL281" s="17"/>
      <c r="DM281" s="17"/>
      <c r="EC281" s="17"/>
      <c r="ED281" s="17"/>
      <c r="EE281" s="17"/>
      <c r="EF281" s="17"/>
    </row>
    <row r="282" spans="1:136" ht="15.75" thickBot="1" x14ac:dyDescent="0.3">
      <c r="A282" s="190">
        <v>408</v>
      </c>
      <c r="B282" s="191"/>
      <c r="C282" s="191" t="s">
        <v>129</v>
      </c>
      <c r="D282" s="108">
        <v>515677</v>
      </c>
      <c r="E282" s="196">
        <v>43559</v>
      </c>
      <c r="F282" s="197"/>
      <c r="G282" s="198" t="s">
        <v>1280</v>
      </c>
      <c r="H282" s="95" t="s">
        <v>6</v>
      </c>
      <c r="I282" s="229" t="s">
        <v>118</v>
      </c>
      <c r="J282" s="17" t="s">
        <v>210</v>
      </c>
      <c r="K282" s="113">
        <v>10800</v>
      </c>
      <c r="L282" s="113" t="s">
        <v>1287</v>
      </c>
      <c r="M282" s="197" t="s">
        <v>1307</v>
      </c>
      <c r="N282" s="160" t="s">
        <v>1308</v>
      </c>
      <c r="O282" s="197" t="s">
        <v>1309</v>
      </c>
      <c r="P282" s="197" t="s">
        <v>1310</v>
      </c>
      <c r="Q282" s="101" t="s">
        <v>177</v>
      </c>
      <c r="R282" s="197" t="s">
        <v>129</v>
      </c>
      <c r="S282" s="197"/>
      <c r="T282" s="17" t="s">
        <v>129</v>
      </c>
      <c r="U282" s="17" t="s">
        <v>1095</v>
      </c>
      <c r="V282" s="17" t="s">
        <v>1095</v>
      </c>
      <c r="W282" s="17" t="s">
        <v>1095</v>
      </c>
      <c r="X282" s="17" t="s">
        <v>1095</v>
      </c>
      <c r="Y282" s="58">
        <v>30000</v>
      </c>
      <c r="Z282" s="17">
        <v>85</v>
      </c>
      <c r="AA282" s="58">
        <v>148</v>
      </c>
      <c r="AB282" s="114" t="s">
        <v>1311</v>
      </c>
      <c r="AC282" s="114" t="s">
        <v>1312</v>
      </c>
      <c r="AD282" s="114" t="s">
        <v>1313</v>
      </c>
      <c r="AE282" s="17" t="s">
        <v>1287</v>
      </c>
      <c r="AF282" s="17" t="s">
        <v>129</v>
      </c>
      <c r="AG282" s="115"/>
      <c r="AH282" s="115"/>
      <c r="AI282" s="111" t="s">
        <v>130</v>
      </c>
      <c r="AJ282" s="110">
        <v>0</v>
      </c>
      <c r="AK282" s="112">
        <v>0</v>
      </c>
      <c r="AL282" s="110">
        <v>0</v>
      </c>
      <c r="AM282" s="112">
        <v>0</v>
      </c>
      <c r="AN282" s="110">
        <v>0</v>
      </c>
      <c r="AO282" s="112">
        <v>0</v>
      </c>
      <c r="AP282" s="110">
        <v>0</v>
      </c>
      <c r="AQ282" s="112">
        <v>0</v>
      </c>
      <c r="AR282" s="110">
        <v>0</v>
      </c>
      <c r="AS282" s="112">
        <v>0</v>
      </c>
      <c r="AT282" s="110">
        <v>0</v>
      </c>
      <c r="AU282" s="112">
        <v>0</v>
      </c>
      <c r="AV282" s="110">
        <v>0</v>
      </c>
      <c r="AW282" s="112">
        <v>0</v>
      </c>
      <c r="AX282" s="112">
        <v>0</v>
      </c>
      <c r="AY282" s="112">
        <v>0</v>
      </c>
      <c r="AZ282" s="112">
        <v>0</v>
      </c>
      <c r="BA282" s="112">
        <v>0</v>
      </c>
      <c r="BB282" s="112">
        <v>0</v>
      </c>
      <c r="BC282" s="112">
        <v>0</v>
      </c>
      <c r="BD282" s="112">
        <v>0</v>
      </c>
      <c r="BE282" s="112">
        <v>0</v>
      </c>
      <c r="BF282" s="112">
        <v>0</v>
      </c>
      <c r="BG282" s="112">
        <v>0</v>
      </c>
      <c r="BH282" s="112">
        <v>0</v>
      </c>
      <c r="BI282" s="112">
        <v>0</v>
      </c>
      <c r="BJ282" s="112">
        <v>0</v>
      </c>
      <c r="BK282" s="112">
        <v>0</v>
      </c>
      <c r="BL282" s="161" t="s">
        <v>130</v>
      </c>
      <c r="BM282" s="17">
        <v>25</v>
      </c>
      <c r="BN282" s="17">
        <v>33</v>
      </c>
      <c r="BO282" s="17">
        <v>27</v>
      </c>
      <c r="BP282" s="31">
        <f t="shared" si="197"/>
        <v>85</v>
      </c>
      <c r="BQ282" s="58">
        <v>148</v>
      </c>
      <c r="BR282" s="115">
        <f>Table1[[#This Row],[Check 2 Students Total]]*Table1[[#This Row],[Summer 2018 Price Check]]</f>
        <v>12580</v>
      </c>
      <c r="BS282" s="31">
        <v>0</v>
      </c>
      <c r="BT282" s="58">
        <f>Table1[[#This Row],[Summer 2018 Price Check]]*BS282</f>
        <v>0</v>
      </c>
      <c r="BU282" s="31">
        <v>0</v>
      </c>
      <c r="BV282" s="58">
        <v>0</v>
      </c>
      <c r="BW282" s="21">
        <v>0</v>
      </c>
      <c r="BX282" s="58">
        <f>Table1[[#This Row],[Summer 2018 Price Check]]*Table1[[#This Row],[Spring 2019 Students]]</f>
        <v>0</v>
      </c>
      <c r="BY282" s="31">
        <f t="shared" si="187"/>
        <v>0</v>
      </c>
      <c r="BZ282" s="58">
        <f t="shared" si="188"/>
        <v>0</v>
      </c>
      <c r="CA282" s="17" t="s">
        <v>130</v>
      </c>
      <c r="CB282" s="17">
        <v>25</v>
      </c>
      <c r="CC282" s="17">
        <v>33</v>
      </c>
      <c r="CD282" s="17">
        <v>27</v>
      </c>
      <c r="CE282" s="21">
        <f t="shared" si="196"/>
        <v>85</v>
      </c>
      <c r="CF282" s="58">
        <v>148</v>
      </c>
      <c r="CG282" s="58">
        <f t="shared" si="189"/>
        <v>12580</v>
      </c>
      <c r="CH282" s="17" t="s">
        <v>1287</v>
      </c>
      <c r="CI282" s="21">
        <v>0</v>
      </c>
      <c r="CJ282" s="58">
        <f>Table1[[#This Row],[Check 3 Per Student Savings]]*CI282</f>
        <v>0</v>
      </c>
      <c r="CK282" s="21">
        <v>0</v>
      </c>
      <c r="CL282" s="58">
        <f>Table1[[#This Row],[Check 3 Per Student Savings]]*CK282</f>
        <v>0</v>
      </c>
      <c r="CM282" s="21">
        <f>IF(Table1[[#This Row],[Check 3 Status]]="Continued", Table1[[#This Row],[Check 3 Students Spring]], 0)</f>
        <v>27</v>
      </c>
      <c r="CN282" s="58">
        <f>Table1[[#This Row],[Check 3 Per Student Savings]]*CM282</f>
        <v>3996</v>
      </c>
      <c r="CO282" s="21">
        <f t="shared" si="190"/>
        <v>27</v>
      </c>
      <c r="CP282" s="58">
        <f t="shared" si="191"/>
        <v>3996</v>
      </c>
      <c r="CQ282" s="221" t="s">
        <v>130</v>
      </c>
      <c r="CR282" s="21">
        <v>25</v>
      </c>
      <c r="CS282" s="21">
        <v>33</v>
      </c>
      <c r="CT282" s="21">
        <v>27</v>
      </c>
      <c r="CU282" s="21">
        <f t="shared" si="192"/>
        <v>85</v>
      </c>
      <c r="CV282" s="58">
        <v>148</v>
      </c>
      <c r="CW282" s="58">
        <f t="shared" si="193"/>
        <v>12580</v>
      </c>
      <c r="CX282" s="58"/>
      <c r="CY282" s="21">
        <f>IF(Table1[[#This Row],[Check 4 Status]]="Continued", Table1[[#This Row],[Check 4 Students Summer]], 0)</f>
        <v>25</v>
      </c>
      <c r="CZ282" s="58">
        <f>Table1[[#This Row],[Check 4 Per Student Savings]]*CY282</f>
        <v>3700</v>
      </c>
      <c r="DA282" s="21">
        <f>IF(Table1[[#This Row],[Check 4 Status]]="Continued", Table1[[#This Row],[Check 4 Students Fall]], 0)</f>
        <v>33</v>
      </c>
      <c r="DB282" s="58">
        <f>Table1[[#This Row],[Check 4 Per Student Savings]]*DA282</f>
        <v>4884</v>
      </c>
      <c r="DC282" s="21">
        <f>IF(Table1[[#This Row],[Check 4 Status]]="Continued", Table1[[#This Row],[Check 4 Students Spring]], 0)</f>
        <v>27</v>
      </c>
      <c r="DD282" s="58">
        <f>Table1[[#This Row],[Check 4 Per Student Savings]]*DC282</f>
        <v>3996</v>
      </c>
      <c r="DE282" s="58">
        <f t="shared" si="194"/>
        <v>85</v>
      </c>
      <c r="DF282" s="58">
        <f t="shared" si="195"/>
        <v>12580</v>
      </c>
      <c r="DG28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112</v>
      </c>
      <c r="DH28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16576</v>
      </c>
      <c r="DI282" s="58">
        <f>Table1[[#This Row],[Grand Total Savings]]/Table1[[#This Row],[Total Award]]</f>
        <v>1.5348148148148149</v>
      </c>
      <c r="DJ282" s="17"/>
      <c r="DK282" s="17"/>
      <c r="DL282" s="17"/>
      <c r="DM282" s="17"/>
      <c r="EC282" s="17"/>
      <c r="ED282" s="17"/>
      <c r="EE282" s="17"/>
      <c r="EF282" s="17"/>
    </row>
    <row r="283" spans="1:136" ht="15.75" thickBot="1" x14ac:dyDescent="0.3">
      <c r="A283" s="190">
        <v>410</v>
      </c>
      <c r="B283" s="191"/>
      <c r="C283" s="191" t="s">
        <v>129</v>
      </c>
      <c r="D283" s="108">
        <v>515721</v>
      </c>
      <c r="E283" s="196">
        <v>43559</v>
      </c>
      <c r="F283" s="197"/>
      <c r="G283" s="198" t="s">
        <v>1280</v>
      </c>
      <c r="H283" s="95" t="s">
        <v>6</v>
      </c>
      <c r="I283" s="229" t="s">
        <v>118</v>
      </c>
      <c r="J283" s="17" t="s">
        <v>243</v>
      </c>
      <c r="K283" s="113">
        <v>20800</v>
      </c>
      <c r="L283" s="113" t="s">
        <v>1287</v>
      </c>
      <c r="M283" s="197" t="s">
        <v>1314</v>
      </c>
      <c r="N283" s="197" t="s">
        <v>1315</v>
      </c>
      <c r="O283" s="197" t="s">
        <v>1316</v>
      </c>
      <c r="P283" s="197" t="s">
        <v>1317</v>
      </c>
      <c r="Q283" s="101" t="s">
        <v>137</v>
      </c>
      <c r="R283" s="197" t="s">
        <v>129</v>
      </c>
      <c r="S283" s="197"/>
      <c r="T283" s="17" t="s">
        <v>129</v>
      </c>
      <c r="U283" s="17" t="s">
        <v>1095</v>
      </c>
      <c r="V283" s="17" t="s">
        <v>1095</v>
      </c>
      <c r="W283" s="17" t="s">
        <v>1095</v>
      </c>
      <c r="X283" s="17" t="s">
        <v>1095</v>
      </c>
      <c r="Y283" s="58">
        <v>187499</v>
      </c>
      <c r="Z283" s="17">
        <v>558</v>
      </c>
      <c r="AA283" s="58">
        <v>336</v>
      </c>
      <c r="AB283" s="114" t="s">
        <v>1318</v>
      </c>
      <c r="AC283" s="114" t="s">
        <v>1319</v>
      </c>
      <c r="AD283" s="114" t="s">
        <v>1320</v>
      </c>
      <c r="AE283" s="17" t="s">
        <v>1287</v>
      </c>
      <c r="AF283" s="17" t="s">
        <v>129</v>
      </c>
      <c r="AG283" s="115"/>
      <c r="AH283" s="115"/>
      <c r="AI283" s="111" t="s">
        <v>130</v>
      </c>
      <c r="AJ283" s="110">
        <v>0</v>
      </c>
      <c r="AK283" s="112">
        <v>0</v>
      </c>
      <c r="AL283" s="110">
        <v>0</v>
      </c>
      <c r="AM283" s="112">
        <v>0</v>
      </c>
      <c r="AN283" s="110">
        <v>0</v>
      </c>
      <c r="AO283" s="112">
        <v>0</v>
      </c>
      <c r="AP283" s="110">
        <v>0</v>
      </c>
      <c r="AQ283" s="112">
        <v>0</v>
      </c>
      <c r="AR283" s="110">
        <v>0</v>
      </c>
      <c r="AS283" s="112">
        <v>0</v>
      </c>
      <c r="AT283" s="110">
        <v>0</v>
      </c>
      <c r="AU283" s="112">
        <v>0</v>
      </c>
      <c r="AV283" s="110">
        <v>0</v>
      </c>
      <c r="AW283" s="112">
        <v>0</v>
      </c>
      <c r="AX283" s="112">
        <v>0</v>
      </c>
      <c r="AY283" s="112">
        <v>0</v>
      </c>
      <c r="AZ283" s="112">
        <v>0</v>
      </c>
      <c r="BA283" s="112">
        <v>0</v>
      </c>
      <c r="BB283" s="112">
        <v>0</v>
      </c>
      <c r="BC283" s="112">
        <v>0</v>
      </c>
      <c r="BD283" s="112">
        <v>0</v>
      </c>
      <c r="BE283" s="112">
        <v>0</v>
      </c>
      <c r="BF283" s="112">
        <v>0</v>
      </c>
      <c r="BG283" s="112">
        <v>0</v>
      </c>
      <c r="BH283" s="112">
        <v>0</v>
      </c>
      <c r="BI283" s="112">
        <v>0</v>
      </c>
      <c r="BJ283" s="112">
        <v>0</v>
      </c>
      <c r="BK283" s="112">
        <v>0</v>
      </c>
      <c r="BL283" s="161" t="s">
        <v>130</v>
      </c>
      <c r="BM283" s="17">
        <v>80</v>
      </c>
      <c r="BN283" s="17">
        <v>187</v>
      </c>
      <c r="BO283" s="17">
        <v>291</v>
      </c>
      <c r="BP283" s="31">
        <f t="shared" si="197"/>
        <v>558</v>
      </c>
      <c r="BQ283" s="58">
        <v>336</v>
      </c>
      <c r="BR283" s="115">
        <f>Table1[[#This Row],[Check 2 Students Total]]*Table1[[#This Row],[Summer 2018 Price Check]]</f>
        <v>187488</v>
      </c>
      <c r="BS283" s="31">
        <v>0</v>
      </c>
      <c r="BT283" s="58">
        <f>Table1[[#This Row],[Summer 2018 Price Check]]*BS283</f>
        <v>0</v>
      </c>
      <c r="BU283" s="31">
        <v>0</v>
      </c>
      <c r="BV283" s="58">
        <v>0</v>
      </c>
      <c r="BW283" s="21">
        <v>0</v>
      </c>
      <c r="BX283" s="58">
        <f>Table1[[#This Row],[Summer 2018 Price Check]]*Table1[[#This Row],[Spring 2019 Students]]</f>
        <v>0</v>
      </c>
      <c r="BY283" s="31">
        <f t="shared" si="187"/>
        <v>0</v>
      </c>
      <c r="BZ283" s="58">
        <f t="shared" si="188"/>
        <v>0</v>
      </c>
      <c r="CA283" s="17" t="s">
        <v>130</v>
      </c>
      <c r="CB283" s="17">
        <v>80</v>
      </c>
      <c r="CC283" s="17">
        <v>187</v>
      </c>
      <c r="CD283" s="17">
        <v>291</v>
      </c>
      <c r="CE283" s="21">
        <f t="shared" si="196"/>
        <v>558</v>
      </c>
      <c r="CF283" s="58">
        <v>336</v>
      </c>
      <c r="CG283" s="58">
        <f t="shared" si="189"/>
        <v>187488</v>
      </c>
      <c r="CH283" s="17" t="s">
        <v>1287</v>
      </c>
      <c r="CI283" s="21">
        <v>0</v>
      </c>
      <c r="CJ283" s="58">
        <f>Table1[[#This Row],[Check 3 Per Student Savings]]*CI283</f>
        <v>0</v>
      </c>
      <c r="CK283" s="21">
        <v>0</v>
      </c>
      <c r="CL283" s="58">
        <f>Table1[[#This Row],[Check 3 Per Student Savings]]*CK283</f>
        <v>0</v>
      </c>
      <c r="CM283" s="21">
        <f>IF(Table1[[#This Row],[Check 3 Status]]="Continued", Table1[[#This Row],[Check 3 Students Spring]], 0)</f>
        <v>291</v>
      </c>
      <c r="CN283" s="58">
        <f>Table1[[#This Row],[Check 3 Per Student Savings]]*CM283</f>
        <v>97776</v>
      </c>
      <c r="CO283" s="21">
        <f t="shared" si="190"/>
        <v>291</v>
      </c>
      <c r="CP283" s="58">
        <f t="shared" si="191"/>
        <v>97776</v>
      </c>
      <c r="CQ283" s="221" t="s">
        <v>130</v>
      </c>
      <c r="CR283" s="21">
        <v>80</v>
      </c>
      <c r="CS283" s="21">
        <v>187</v>
      </c>
      <c r="CT283" s="21">
        <v>291</v>
      </c>
      <c r="CU283" s="21">
        <f t="shared" si="192"/>
        <v>558</v>
      </c>
      <c r="CV283" s="58">
        <v>336</v>
      </c>
      <c r="CW283" s="58">
        <f t="shared" si="193"/>
        <v>187488</v>
      </c>
      <c r="CX283" s="58"/>
      <c r="CY283" s="21">
        <f>IF(Table1[[#This Row],[Check 4 Status]]="Continued", Table1[[#This Row],[Check 4 Students Summer]], 0)</f>
        <v>80</v>
      </c>
      <c r="CZ283" s="58">
        <f>Table1[[#This Row],[Check 4 Per Student Savings]]*CY283</f>
        <v>26880</v>
      </c>
      <c r="DA283" s="21">
        <f>IF(Table1[[#This Row],[Check 4 Status]]="Continued", Table1[[#This Row],[Check 4 Students Fall]], 0)</f>
        <v>187</v>
      </c>
      <c r="DB283" s="58">
        <f>Table1[[#This Row],[Check 4 Per Student Savings]]*DA283</f>
        <v>62832</v>
      </c>
      <c r="DC283" s="21">
        <f>IF(Table1[[#This Row],[Check 4 Status]]="Continued", Table1[[#This Row],[Check 4 Students Spring]], 0)</f>
        <v>291</v>
      </c>
      <c r="DD283" s="58">
        <f>Table1[[#This Row],[Check 4 Per Student Savings]]*DC283</f>
        <v>97776</v>
      </c>
      <c r="DE283" s="58">
        <f t="shared" si="194"/>
        <v>558</v>
      </c>
      <c r="DF283" s="58">
        <f t="shared" si="195"/>
        <v>187488</v>
      </c>
      <c r="DG28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849</v>
      </c>
      <c r="DH28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285264</v>
      </c>
      <c r="DI283" s="58">
        <f>Table1[[#This Row],[Grand Total Savings]]/Table1[[#This Row],[Total Award]]</f>
        <v>13.714615384615385</v>
      </c>
      <c r="DJ283" s="17"/>
      <c r="DK283" s="17"/>
      <c r="DL283" s="17"/>
      <c r="DM283" s="17"/>
      <c r="EC283" s="17"/>
      <c r="ED283" s="17"/>
      <c r="EE283" s="17"/>
      <c r="EF283" s="17"/>
    </row>
    <row r="284" spans="1:136" ht="15.75" thickBot="1" x14ac:dyDescent="0.3">
      <c r="A284" s="190">
        <v>412</v>
      </c>
      <c r="B284" s="191"/>
      <c r="C284" s="191" t="s">
        <v>129</v>
      </c>
      <c r="D284" s="108">
        <v>515722</v>
      </c>
      <c r="E284" s="196">
        <v>43559</v>
      </c>
      <c r="F284" s="197"/>
      <c r="G284" s="198" t="s">
        <v>1280</v>
      </c>
      <c r="H284" s="95" t="s">
        <v>6</v>
      </c>
      <c r="I284" s="229" t="s">
        <v>118</v>
      </c>
      <c r="J284" s="17" t="s">
        <v>243</v>
      </c>
      <c r="K284" s="113">
        <v>10800</v>
      </c>
      <c r="L284" s="113" t="s">
        <v>1287</v>
      </c>
      <c r="M284" s="197" t="s">
        <v>1321</v>
      </c>
      <c r="N284" s="197" t="s">
        <v>1322</v>
      </c>
      <c r="O284" s="197" t="s">
        <v>1323</v>
      </c>
      <c r="P284" s="197" t="s">
        <v>1324</v>
      </c>
      <c r="Q284" s="101" t="s">
        <v>272</v>
      </c>
      <c r="R284" s="197" t="s">
        <v>1325</v>
      </c>
      <c r="S284" s="197"/>
      <c r="T284" s="17" t="s">
        <v>125</v>
      </c>
      <c r="U284" s="17" t="s">
        <v>1095</v>
      </c>
      <c r="V284" s="17" t="s">
        <v>1095</v>
      </c>
      <c r="W284" s="17" t="s">
        <v>1095</v>
      </c>
      <c r="X284" s="17" t="s">
        <v>1095</v>
      </c>
      <c r="Y284" s="58">
        <v>42168</v>
      </c>
      <c r="Z284" s="17">
        <v>216</v>
      </c>
      <c r="AA284" s="58">
        <v>251</v>
      </c>
      <c r="AB284" s="114" t="s">
        <v>1326</v>
      </c>
      <c r="AC284" s="114" t="s">
        <v>1327</v>
      </c>
      <c r="AD284" s="114" t="s">
        <v>1328</v>
      </c>
      <c r="AE284" s="17" t="s">
        <v>1287</v>
      </c>
      <c r="AF284" s="17" t="s">
        <v>129</v>
      </c>
      <c r="AG284" s="115"/>
      <c r="AH284" s="115"/>
      <c r="AI284" s="111" t="s">
        <v>130</v>
      </c>
      <c r="AJ284" s="110">
        <v>0</v>
      </c>
      <c r="AK284" s="112">
        <v>0</v>
      </c>
      <c r="AL284" s="110">
        <v>0</v>
      </c>
      <c r="AM284" s="112">
        <v>0</v>
      </c>
      <c r="AN284" s="110">
        <v>0</v>
      </c>
      <c r="AO284" s="112">
        <v>0</v>
      </c>
      <c r="AP284" s="110">
        <v>0</v>
      </c>
      <c r="AQ284" s="112">
        <v>0</v>
      </c>
      <c r="AR284" s="110">
        <v>0</v>
      </c>
      <c r="AS284" s="112">
        <v>0</v>
      </c>
      <c r="AT284" s="110">
        <v>0</v>
      </c>
      <c r="AU284" s="112">
        <v>0</v>
      </c>
      <c r="AV284" s="110">
        <v>0</v>
      </c>
      <c r="AW284" s="112">
        <v>0</v>
      </c>
      <c r="AX284" s="112">
        <v>0</v>
      </c>
      <c r="AY284" s="112">
        <v>0</v>
      </c>
      <c r="AZ284" s="112">
        <v>0</v>
      </c>
      <c r="BA284" s="112">
        <v>0</v>
      </c>
      <c r="BB284" s="112">
        <v>0</v>
      </c>
      <c r="BC284" s="112">
        <v>0</v>
      </c>
      <c r="BD284" s="112">
        <v>0</v>
      </c>
      <c r="BE284" s="112">
        <v>0</v>
      </c>
      <c r="BF284" s="112">
        <v>0</v>
      </c>
      <c r="BG284" s="112">
        <v>0</v>
      </c>
      <c r="BH284" s="112">
        <v>0</v>
      </c>
      <c r="BI284" s="112">
        <v>0</v>
      </c>
      <c r="BJ284" s="112">
        <v>0</v>
      </c>
      <c r="BK284" s="112">
        <v>0</v>
      </c>
      <c r="BL284" s="161" t="s">
        <v>130</v>
      </c>
      <c r="BM284" s="17">
        <v>24</v>
      </c>
      <c r="BN284" s="17">
        <v>72</v>
      </c>
      <c r="BO284" s="17">
        <v>120</v>
      </c>
      <c r="BP284" s="31">
        <f t="shared" si="197"/>
        <v>216</v>
      </c>
      <c r="BQ284" s="58">
        <v>251</v>
      </c>
      <c r="BR284" s="115">
        <f>Table1[[#This Row],[Check 2 Students Total]]*Table1[[#This Row],[Summer 2018 Price Check]]</f>
        <v>54216</v>
      </c>
      <c r="BS284" s="31">
        <v>0</v>
      </c>
      <c r="BT284" s="58">
        <f>Table1[[#This Row],[Summer 2018 Price Check]]*BS284</f>
        <v>0</v>
      </c>
      <c r="BU284" s="31">
        <v>0</v>
      </c>
      <c r="BV284" s="58">
        <v>0</v>
      </c>
      <c r="BW284" s="21">
        <v>0</v>
      </c>
      <c r="BX284" s="58">
        <f>Table1[[#This Row],[Summer 2018 Price Check]]*Table1[[#This Row],[Spring 2019 Students]]</f>
        <v>0</v>
      </c>
      <c r="BY284" s="31">
        <f t="shared" si="187"/>
        <v>0</v>
      </c>
      <c r="BZ284" s="58">
        <f t="shared" si="188"/>
        <v>0</v>
      </c>
      <c r="CA284" s="17" t="s">
        <v>130</v>
      </c>
      <c r="CB284" s="17">
        <v>24</v>
      </c>
      <c r="CC284" s="17">
        <v>72</v>
      </c>
      <c r="CD284" s="17">
        <v>120</v>
      </c>
      <c r="CE284" s="21">
        <f t="shared" si="196"/>
        <v>216</v>
      </c>
      <c r="CF284" s="58">
        <v>251</v>
      </c>
      <c r="CG284" s="58">
        <f t="shared" si="189"/>
        <v>54216</v>
      </c>
      <c r="CH284" s="17" t="s">
        <v>1287</v>
      </c>
      <c r="CI284" s="21">
        <v>0</v>
      </c>
      <c r="CJ284" s="58">
        <f>Table1[[#This Row],[Check 3 Per Student Savings]]*CI284</f>
        <v>0</v>
      </c>
      <c r="CK284" s="21">
        <v>0</v>
      </c>
      <c r="CL284" s="58">
        <f>Table1[[#This Row],[Check 3 Per Student Savings]]*CK284</f>
        <v>0</v>
      </c>
      <c r="CM284" s="21">
        <f>IF(Table1[[#This Row],[Check 3 Status]]="Continued", Table1[[#This Row],[Check 3 Students Spring]], 0)</f>
        <v>120</v>
      </c>
      <c r="CN284" s="58">
        <f>Table1[[#This Row],[Check 3 Per Student Savings]]*CM284</f>
        <v>30120</v>
      </c>
      <c r="CO284" s="21">
        <f t="shared" si="190"/>
        <v>120</v>
      </c>
      <c r="CP284" s="58">
        <f t="shared" si="191"/>
        <v>30120</v>
      </c>
      <c r="CQ284" s="221" t="s">
        <v>130</v>
      </c>
      <c r="CR284" s="21">
        <v>24</v>
      </c>
      <c r="CS284" s="21">
        <v>72</v>
      </c>
      <c r="CT284" s="21">
        <v>120</v>
      </c>
      <c r="CU284" s="21">
        <f t="shared" si="192"/>
        <v>216</v>
      </c>
      <c r="CV284" s="58">
        <v>251</v>
      </c>
      <c r="CW284" s="58">
        <f t="shared" si="193"/>
        <v>54216</v>
      </c>
      <c r="CX284" s="58"/>
      <c r="CY284" s="21">
        <f>IF(Table1[[#This Row],[Check 4 Status]]="Continued", Table1[[#This Row],[Check 4 Students Summer]], 0)</f>
        <v>24</v>
      </c>
      <c r="CZ284" s="58">
        <f>Table1[[#This Row],[Check 4 Per Student Savings]]*CY284</f>
        <v>6024</v>
      </c>
      <c r="DA284" s="21">
        <f>IF(Table1[[#This Row],[Check 4 Status]]="Continued", Table1[[#This Row],[Check 4 Students Fall]], 0)</f>
        <v>72</v>
      </c>
      <c r="DB284" s="58">
        <f>Table1[[#This Row],[Check 4 Per Student Savings]]*DA284</f>
        <v>18072</v>
      </c>
      <c r="DC284" s="21">
        <f>IF(Table1[[#This Row],[Check 4 Status]]="Continued", Table1[[#This Row],[Check 4 Students Spring]], 0)</f>
        <v>120</v>
      </c>
      <c r="DD284" s="58">
        <f>Table1[[#This Row],[Check 4 Per Student Savings]]*DC284</f>
        <v>30120</v>
      </c>
      <c r="DE284" s="58">
        <f t="shared" si="194"/>
        <v>216</v>
      </c>
      <c r="DF284" s="58">
        <f t="shared" si="195"/>
        <v>54216</v>
      </c>
      <c r="DG28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336</v>
      </c>
      <c r="DH28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84336</v>
      </c>
      <c r="DI284" s="58">
        <f>Table1[[#This Row],[Grand Total Savings]]/Table1[[#This Row],[Total Award]]</f>
        <v>7.8088888888888892</v>
      </c>
      <c r="DJ284" s="17"/>
      <c r="DK284" s="17"/>
      <c r="DL284" s="17"/>
      <c r="DM284" s="17"/>
      <c r="EC284" s="17"/>
      <c r="ED284" s="17"/>
      <c r="EE284" s="17"/>
      <c r="EF284" s="17"/>
    </row>
    <row r="285" spans="1:136" ht="15.75" thickBot="1" x14ac:dyDescent="0.3">
      <c r="A285" s="190">
        <v>413</v>
      </c>
      <c r="B285" s="17" t="s">
        <v>2011</v>
      </c>
      <c r="C285" s="191" t="s">
        <v>129</v>
      </c>
      <c r="D285" s="108">
        <v>516279</v>
      </c>
      <c r="E285" s="199"/>
      <c r="F285" s="197"/>
      <c r="G285" s="198" t="s">
        <v>1280</v>
      </c>
      <c r="H285" s="95" t="s">
        <v>6</v>
      </c>
      <c r="I285" s="229" t="s">
        <v>118</v>
      </c>
      <c r="J285" s="17" t="s">
        <v>243</v>
      </c>
      <c r="K285" s="113">
        <v>10800</v>
      </c>
      <c r="L285" s="113" t="s">
        <v>1096</v>
      </c>
      <c r="M285" s="197" t="s">
        <v>1329</v>
      </c>
      <c r="N285" s="197" t="s">
        <v>1330</v>
      </c>
      <c r="O285" s="197" t="s">
        <v>1331</v>
      </c>
      <c r="P285" s="197" t="s">
        <v>1332</v>
      </c>
      <c r="Q285" s="101" t="s">
        <v>272</v>
      </c>
      <c r="R285" s="197"/>
      <c r="S285" s="197"/>
      <c r="T285" s="17" t="s">
        <v>125</v>
      </c>
      <c r="U285" s="17" t="s">
        <v>1095</v>
      </c>
      <c r="V285" s="17" t="s">
        <v>150</v>
      </c>
      <c r="W285" s="17" t="s">
        <v>150</v>
      </c>
      <c r="X285" s="17" t="s">
        <v>150</v>
      </c>
      <c r="Y285" s="58">
        <v>12628</v>
      </c>
      <c r="Z285" s="17">
        <v>82</v>
      </c>
      <c r="AA285" s="58">
        <v>154</v>
      </c>
      <c r="AB285" s="114" t="s">
        <v>1333</v>
      </c>
      <c r="AC285" s="114" t="s">
        <v>1333</v>
      </c>
      <c r="AD285" s="114" t="s">
        <v>1299</v>
      </c>
      <c r="AE285" s="17" t="s">
        <v>1096</v>
      </c>
      <c r="AF285" s="17" t="s">
        <v>129</v>
      </c>
      <c r="AG285" s="115"/>
      <c r="AH285" s="115"/>
      <c r="AI285" s="111" t="s">
        <v>130</v>
      </c>
      <c r="AJ285" s="110">
        <v>0</v>
      </c>
      <c r="AK285" s="112">
        <v>0</v>
      </c>
      <c r="AL285" s="110">
        <v>0</v>
      </c>
      <c r="AM285" s="112">
        <v>0</v>
      </c>
      <c r="AN285" s="110">
        <v>0</v>
      </c>
      <c r="AO285" s="112">
        <v>0</v>
      </c>
      <c r="AP285" s="110">
        <v>0</v>
      </c>
      <c r="AQ285" s="112">
        <v>0</v>
      </c>
      <c r="AR285" s="110">
        <v>0</v>
      </c>
      <c r="AS285" s="112">
        <v>0</v>
      </c>
      <c r="AT285" s="110">
        <v>0</v>
      </c>
      <c r="AU285" s="112">
        <v>0</v>
      </c>
      <c r="AV285" s="110">
        <v>0</v>
      </c>
      <c r="AW285" s="112">
        <v>0</v>
      </c>
      <c r="AX285" s="112">
        <v>0</v>
      </c>
      <c r="AY285" s="112">
        <v>0</v>
      </c>
      <c r="AZ285" s="112">
        <v>0</v>
      </c>
      <c r="BA285" s="112">
        <v>0</v>
      </c>
      <c r="BB285" s="112">
        <v>0</v>
      </c>
      <c r="BC285" s="112">
        <v>0</v>
      </c>
      <c r="BD285" s="112">
        <v>0</v>
      </c>
      <c r="BE285" s="112">
        <v>0</v>
      </c>
      <c r="BF285" s="112">
        <v>0</v>
      </c>
      <c r="BG285" s="112">
        <v>0</v>
      </c>
      <c r="BH285" s="112">
        <v>0</v>
      </c>
      <c r="BI285" s="112">
        <v>0</v>
      </c>
      <c r="BJ285" s="112">
        <v>0</v>
      </c>
      <c r="BK285" s="112">
        <v>0</v>
      </c>
      <c r="BL285" s="161" t="s">
        <v>130</v>
      </c>
      <c r="BM285" s="17">
        <v>41</v>
      </c>
      <c r="BN285" s="17">
        <v>41</v>
      </c>
      <c r="BO285" s="17">
        <v>0</v>
      </c>
      <c r="BP285" s="31">
        <f t="shared" si="197"/>
        <v>82</v>
      </c>
      <c r="BQ285" s="58">
        <v>154</v>
      </c>
      <c r="BR285" s="115">
        <f>Table1[[#This Row],[Check 2 Students Total]]*Table1[[#This Row],[Summer 2018 Price Check]]</f>
        <v>12628</v>
      </c>
      <c r="BS285" s="31">
        <v>0</v>
      </c>
      <c r="BT285" s="58">
        <f>Table1[[#This Row],[Summer 2018 Price Check]]*BS285</f>
        <v>0</v>
      </c>
      <c r="BU285" s="31">
        <v>0</v>
      </c>
      <c r="BV285" s="58">
        <v>0</v>
      </c>
      <c r="BW285" s="21">
        <v>0</v>
      </c>
      <c r="BX285" s="58">
        <f>Table1[[#This Row],[Summer 2018 Price Check]]*Table1[[#This Row],[Spring 2019 Students]]</f>
        <v>0</v>
      </c>
      <c r="BY285" s="31">
        <f t="shared" si="187"/>
        <v>0</v>
      </c>
      <c r="BZ285" s="58">
        <f t="shared" si="188"/>
        <v>0</v>
      </c>
      <c r="CA285" s="17" t="s">
        <v>130</v>
      </c>
      <c r="CB285" s="17">
        <v>41</v>
      </c>
      <c r="CC285" s="17">
        <v>41</v>
      </c>
      <c r="CD285" s="17">
        <v>0</v>
      </c>
      <c r="CE285" s="21">
        <f t="shared" si="196"/>
        <v>82</v>
      </c>
      <c r="CF285" s="58">
        <v>154</v>
      </c>
      <c r="CG285" s="58">
        <f t="shared" si="189"/>
        <v>12628</v>
      </c>
      <c r="CH285" s="17" t="s">
        <v>1096</v>
      </c>
      <c r="CI285" s="21">
        <v>0</v>
      </c>
      <c r="CJ285" s="58">
        <f>Table1[[#This Row],[Check 3 Per Student Savings]]*CI285</f>
        <v>0</v>
      </c>
      <c r="CK285" s="21">
        <f>IF(Table1[[#This Row],[Check 3 Status]]="Continued", Table1[[#This Row],[Check 3 Students Fall]], 0)</f>
        <v>41</v>
      </c>
      <c r="CL285" s="58">
        <f>Table1[[#This Row],[Check 3 Per Student Savings]]*CK285</f>
        <v>6314</v>
      </c>
      <c r="CM285" s="21">
        <f>IF(Table1[[#This Row],[Check 3 Status]]="Continued", Table1[[#This Row],[Check 3 Students Spring]], 0)</f>
        <v>0</v>
      </c>
      <c r="CN285" s="58">
        <f>Table1[[#This Row],[Check 3 Per Student Savings]]*CM285</f>
        <v>0</v>
      </c>
      <c r="CO285" s="21">
        <f t="shared" si="190"/>
        <v>41</v>
      </c>
      <c r="CP285" s="58">
        <f t="shared" si="191"/>
        <v>6314</v>
      </c>
      <c r="CQ285" s="58" t="s">
        <v>141</v>
      </c>
      <c r="CR285" s="21">
        <v>41</v>
      </c>
      <c r="CS285" s="21">
        <v>41</v>
      </c>
      <c r="CT285" s="21">
        <v>0</v>
      </c>
      <c r="CU285" s="21">
        <v>0</v>
      </c>
      <c r="CV285" s="58">
        <v>154</v>
      </c>
      <c r="CW285" s="58">
        <f t="shared" si="193"/>
        <v>0</v>
      </c>
      <c r="CX285" s="58"/>
      <c r="CY285" s="21">
        <f>IF(Table1[[#This Row],[Check 4 Status]]="Continued", Table1[[#This Row],[Check 4 Students Summer]], 0)</f>
        <v>0</v>
      </c>
      <c r="CZ285" s="58">
        <f>Table1[[#This Row],[Check 4 Per Student Savings]]*CY285</f>
        <v>0</v>
      </c>
      <c r="DA285" s="21">
        <f>IF(Table1[[#This Row],[Check 4 Status]]="Continued", Table1[[#This Row],[Check 4 Students Fall]], 0)</f>
        <v>0</v>
      </c>
      <c r="DB285" s="58">
        <f>Table1[[#This Row],[Check 4 Per Student Savings]]*DA285</f>
        <v>0</v>
      </c>
      <c r="DC285" s="21">
        <f>IF(Table1[[#This Row],[Check 4 Status]]="Continued", Table1[[#This Row],[Check 4 Students Spring]], 0)</f>
        <v>0</v>
      </c>
      <c r="DD285" s="58">
        <f>Table1[[#This Row],[Check 4 Per Student Savings]]*DC285</f>
        <v>0</v>
      </c>
      <c r="DE285" s="58">
        <f t="shared" si="194"/>
        <v>0</v>
      </c>
      <c r="DF285" s="58">
        <f t="shared" si="195"/>
        <v>0</v>
      </c>
      <c r="DG28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41</v>
      </c>
      <c r="DH28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6314</v>
      </c>
      <c r="DI285" s="58">
        <f>Table1[[#This Row],[Grand Total Savings]]/Table1[[#This Row],[Total Award]]</f>
        <v>0.58462962962962961</v>
      </c>
      <c r="DJ285" s="17"/>
      <c r="DK285" s="17"/>
      <c r="DL285" s="17"/>
      <c r="DM285" s="17"/>
      <c r="EC285" s="17"/>
      <c r="ED285" s="17"/>
      <c r="EE285" s="17"/>
      <c r="EF285" s="17"/>
    </row>
    <row r="286" spans="1:136" s="195" customFormat="1" ht="15.75" thickTop="1" x14ac:dyDescent="0.25">
      <c r="A286" s="163">
        <v>415</v>
      </c>
      <c r="B286" s="163"/>
      <c r="C286" s="191" t="s">
        <v>129</v>
      </c>
      <c r="D286" s="108">
        <v>515788</v>
      </c>
      <c r="E286" s="199"/>
      <c r="F286" s="197"/>
      <c r="G286" s="200" t="s">
        <v>1280</v>
      </c>
      <c r="H286" s="95" t="s">
        <v>6</v>
      </c>
      <c r="I286" s="229" t="s">
        <v>118</v>
      </c>
      <c r="J286" s="17" t="s">
        <v>218</v>
      </c>
      <c r="K286" s="113">
        <v>30000</v>
      </c>
      <c r="L286" s="113" t="s">
        <v>1287</v>
      </c>
      <c r="M286" s="197" t="s">
        <v>1334</v>
      </c>
      <c r="N286" s="197" t="s">
        <v>1335</v>
      </c>
      <c r="O286" s="197" t="s">
        <v>1336</v>
      </c>
      <c r="P286" s="197" t="s">
        <v>1337</v>
      </c>
      <c r="Q286" s="101" t="s">
        <v>317</v>
      </c>
      <c r="R286" s="197"/>
      <c r="S286" s="197"/>
      <c r="T286" s="17" t="s">
        <v>125</v>
      </c>
      <c r="U286" s="17" t="s">
        <v>1095</v>
      </c>
      <c r="V286" s="17" t="s">
        <v>1095</v>
      </c>
      <c r="W286" s="17" t="s">
        <v>1095</v>
      </c>
      <c r="X286" s="17" t="s">
        <v>1095</v>
      </c>
      <c r="Y286" s="58">
        <v>173825</v>
      </c>
      <c r="Z286" s="17">
        <v>850</v>
      </c>
      <c r="AA286" s="58">
        <v>204.5</v>
      </c>
      <c r="AB286" s="114" t="s">
        <v>1338</v>
      </c>
      <c r="AC286" s="114" t="s">
        <v>1339</v>
      </c>
      <c r="AD286" s="114" t="s">
        <v>1339</v>
      </c>
      <c r="AE286" s="17" t="s">
        <v>1287</v>
      </c>
      <c r="AF286" s="17" t="s">
        <v>129</v>
      </c>
      <c r="AG286" s="115"/>
      <c r="AH286" s="115"/>
      <c r="AI286" s="111" t="s">
        <v>130</v>
      </c>
      <c r="AJ286" s="110">
        <v>0</v>
      </c>
      <c r="AK286" s="112">
        <v>0</v>
      </c>
      <c r="AL286" s="110">
        <v>0</v>
      </c>
      <c r="AM286" s="112">
        <v>0</v>
      </c>
      <c r="AN286" s="110">
        <v>0</v>
      </c>
      <c r="AO286" s="112">
        <v>0</v>
      </c>
      <c r="AP286" s="110">
        <v>0</v>
      </c>
      <c r="AQ286" s="112">
        <v>0</v>
      </c>
      <c r="AR286" s="110">
        <v>0</v>
      </c>
      <c r="AS286" s="112">
        <v>0</v>
      </c>
      <c r="AT286" s="110">
        <v>0</v>
      </c>
      <c r="AU286" s="112">
        <v>0</v>
      </c>
      <c r="AV286" s="110">
        <v>0</v>
      </c>
      <c r="AW286" s="112">
        <v>0</v>
      </c>
      <c r="AX286" s="112">
        <v>0</v>
      </c>
      <c r="AY286" s="112">
        <v>0</v>
      </c>
      <c r="AZ286" s="112">
        <v>0</v>
      </c>
      <c r="BA286" s="112">
        <v>0</v>
      </c>
      <c r="BB286" s="112">
        <v>0</v>
      </c>
      <c r="BC286" s="112">
        <v>0</v>
      </c>
      <c r="BD286" s="112">
        <v>0</v>
      </c>
      <c r="BE286" s="112">
        <v>0</v>
      </c>
      <c r="BF286" s="112">
        <v>0</v>
      </c>
      <c r="BG286" s="112">
        <v>0</v>
      </c>
      <c r="BH286" s="112">
        <v>0</v>
      </c>
      <c r="BI286" s="112">
        <v>0</v>
      </c>
      <c r="BJ286" s="112">
        <v>0</v>
      </c>
      <c r="BK286" s="112">
        <v>0</v>
      </c>
      <c r="BL286" s="17" t="s">
        <v>130</v>
      </c>
      <c r="BM286" s="17">
        <v>50</v>
      </c>
      <c r="BN286" s="17">
        <v>400</v>
      </c>
      <c r="BO286" s="17">
        <v>400</v>
      </c>
      <c r="BP286" s="31">
        <f t="shared" si="197"/>
        <v>850</v>
      </c>
      <c r="BQ286" s="58">
        <v>204.5</v>
      </c>
      <c r="BR286" s="115">
        <f>Table1[[#This Row],[Check 2 Students Total]]*Table1[[#This Row],[Summer 2018 Price Check]]</f>
        <v>173825</v>
      </c>
      <c r="BS286" s="31">
        <v>0</v>
      </c>
      <c r="BT286" s="58">
        <f>Table1[[#This Row],[Summer 2018 Price Check]]*BS286</f>
        <v>0</v>
      </c>
      <c r="BU286" s="31">
        <v>0</v>
      </c>
      <c r="BV286" s="58">
        <v>0</v>
      </c>
      <c r="BW286" s="21">
        <v>0</v>
      </c>
      <c r="BX286" s="58">
        <f>Table1[[#This Row],[Summer 2018 Price Check]]*Table1[[#This Row],[Spring 2019 Students]]</f>
        <v>0</v>
      </c>
      <c r="BY286" s="31">
        <f t="shared" si="187"/>
        <v>0</v>
      </c>
      <c r="BZ286" s="58">
        <f t="shared" si="188"/>
        <v>0</v>
      </c>
      <c r="CA286" s="17" t="s">
        <v>130</v>
      </c>
      <c r="CB286" s="17">
        <v>50</v>
      </c>
      <c r="CC286" s="17">
        <v>400</v>
      </c>
      <c r="CD286" s="17">
        <v>400</v>
      </c>
      <c r="CE286" s="21">
        <f t="shared" si="196"/>
        <v>850</v>
      </c>
      <c r="CF286" s="58">
        <v>204.5</v>
      </c>
      <c r="CG286" s="58">
        <f t="shared" si="189"/>
        <v>173825</v>
      </c>
      <c r="CH286" s="17" t="s">
        <v>1287</v>
      </c>
      <c r="CI286" s="21">
        <v>0</v>
      </c>
      <c r="CJ286" s="58">
        <f>Table1[[#This Row],[Check 3 Per Student Savings]]*CI286</f>
        <v>0</v>
      </c>
      <c r="CK286" s="21">
        <v>0</v>
      </c>
      <c r="CL286" s="58">
        <f>Table1[[#This Row],[Check 3 Per Student Savings]]*CK286</f>
        <v>0</v>
      </c>
      <c r="CM286" s="21">
        <f>IF(Table1[[#This Row],[Check 3 Status]]="Continued", Table1[[#This Row],[Check 3 Students Spring]], 0)</f>
        <v>400</v>
      </c>
      <c r="CN286" s="58">
        <f>Table1[[#This Row],[Check 3 Per Student Savings]]*CM286</f>
        <v>81800</v>
      </c>
      <c r="CO286" s="21">
        <f t="shared" si="190"/>
        <v>400</v>
      </c>
      <c r="CP286" s="58">
        <f t="shared" si="191"/>
        <v>81800</v>
      </c>
      <c r="CQ286" s="221" t="s">
        <v>130</v>
      </c>
      <c r="CR286" s="21">
        <v>50</v>
      </c>
      <c r="CS286" s="21">
        <v>400</v>
      </c>
      <c r="CT286" s="21">
        <v>400</v>
      </c>
      <c r="CU286" s="21">
        <f t="shared" si="192"/>
        <v>850</v>
      </c>
      <c r="CV286" s="58">
        <v>204.5</v>
      </c>
      <c r="CW286" s="58">
        <f t="shared" si="193"/>
        <v>173825</v>
      </c>
      <c r="CX286" s="58"/>
      <c r="CY286" s="21">
        <f>IF(Table1[[#This Row],[Check 4 Status]]="Continued", Table1[[#This Row],[Check 4 Students Summer]], 0)</f>
        <v>50</v>
      </c>
      <c r="CZ286" s="58">
        <f>Table1[[#This Row],[Check 4 Per Student Savings]]*CY286</f>
        <v>10225</v>
      </c>
      <c r="DA286" s="21">
        <f>IF(Table1[[#This Row],[Check 4 Status]]="Continued", Table1[[#This Row],[Check 4 Students Fall]], 0)</f>
        <v>400</v>
      </c>
      <c r="DB286" s="58">
        <f>Table1[[#This Row],[Check 4 Per Student Savings]]*DA286</f>
        <v>81800</v>
      </c>
      <c r="DC286" s="21">
        <f>IF(Table1[[#This Row],[Check 4 Status]]="Continued", Table1[[#This Row],[Check 4 Students Spring]], 0)</f>
        <v>400</v>
      </c>
      <c r="DD286" s="58">
        <f>Table1[[#This Row],[Check 4 Per Student Savings]]*DC286</f>
        <v>81800</v>
      </c>
      <c r="DE286" s="58">
        <f t="shared" si="194"/>
        <v>850</v>
      </c>
      <c r="DF286" s="58">
        <f t="shared" si="195"/>
        <v>173825</v>
      </c>
      <c r="DG28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1250</v>
      </c>
      <c r="DH28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255625</v>
      </c>
      <c r="DI286" s="58">
        <f>Table1[[#This Row],[Grand Total Savings]]/Table1[[#This Row],[Total Award]]</f>
        <v>8.5208333333333339</v>
      </c>
    </row>
    <row r="287" spans="1:136" x14ac:dyDescent="0.25">
      <c r="A287" s="163">
        <v>418</v>
      </c>
      <c r="B287" s="163"/>
      <c r="C287" s="191" t="s">
        <v>129</v>
      </c>
      <c r="D287" s="108">
        <v>515675</v>
      </c>
      <c r="E287" s="196">
        <v>43552</v>
      </c>
      <c r="F287" s="197"/>
      <c r="G287" s="198" t="s">
        <v>1280</v>
      </c>
      <c r="H287" s="95" t="s">
        <v>6</v>
      </c>
      <c r="I287" s="229" t="s">
        <v>118</v>
      </c>
      <c r="J287" s="17" t="s">
        <v>218</v>
      </c>
      <c r="K287" s="113">
        <v>30000</v>
      </c>
      <c r="L287" s="113" t="s">
        <v>1287</v>
      </c>
      <c r="M287" s="197" t="s">
        <v>1340</v>
      </c>
      <c r="N287" s="197" t="s">
        <v>1341</v>
      </c>
      <c r="O287" s="197" t="s">
        <v>1342</v>
      </c>
      <c r="P287" s="197" t="s">
        <v>1343</v>
      </c>
      <c r="Q287" s="101" t="s">
        <v>223</v>
      </c>
      <c r="R287" s="197"/>
      <c r="S287" s="197"/>
      <c r="T287" s="17" t="s">
        <v>129</v>
      </c>
      <c r="U287" s="17" t="s">
        <v>1095</v>
      </c>
      <c r="V287" s="17" t="s">
        <v>1095</v>
      </c>
      <c r="W287" s="17" t="s">
        <v>1095</v>
      </c>
      <c r="X287" s="17" t="s">
        <v>1095</v>
      </c>
      <c r="Y287" s="58">
        <v>147798</v>
      </c>
      <c r="Z287" s="17">
        <v>600</v>
      </c>
      <c r="AA287" s="58">
        <v>246.33</v>
      </c>
      <c r="AB287" s="114" t="s">
        <v>1344</v>
      </c>
      <c r="AC287" s="114" t="s">
        <v>1345</v>
      </c>
      <c r="AD287" s="114" t="s">
        <v>1346</v>
      </c>
      <c r="AE287" s="17" t="s">
        <v>1287</v>
      </c>
      <c r="AF287" s="17" t="s">
        <v>129</v>
      </c>
      <c r="AG287" s="115"/>
      <c r="AH287" s="115"/>
      <c r="AI287" s="111" t="s">
        <v>130</v>
      </c>
      <c r="AJ287" s="110">
        <v>0</v>
      </c>
      <c r="AK287" s="112">
        <v>0</v>
      </c>
      <c r="AL287" s="110">
        <v>0</v>
      </c>
      <c r="AM287" s="112">
        <v>0</v>
      </c>
      <c r="AN287" s="110">
        <v>0</v>
      </c>
      <c r="AO287" s="112">
        <v>0</v>
      </c>
      <c r="AP287" s="110">
        <v>0</v>
      </c>
      <c r="AQ287" s="112">
        <v>0</v>
      </c>
      <c r="AR287" s="110">
        <v>0</v>
      </c>
      <c r="AS287" s="112">
        <v>0</v>
      </c>
      <c r="AT287" s="110">
        <v>0</v>
      </c>
      <c r="AU287" s="112">
        <v>0</v>
      </c>
      <c r="AV287" s="110">
        <v>0</v>
      </c>
      <c r="AW287" s="112">
        <v>0</v>
      </c>
      <c r="AX287" s="112">
        <v>0</v>
      </c>
      <c r="AY287" s="112">
        <v>0</v>
      </c>
      <c r="AZ287" s="112">
        <v>0</v>
      </c>
      <c r="BA287" s="112">
        <v>0</v>
      </c>
      <c r="BB287" s="112">
        <v>0</v>
      </c>
      <c r="BC287" s="112">
        <v>0</v>
      </c>
      <c r="BD287" s="112">
        <v>0</v>
      </c>
      <c r="BE287" s="112">
        <v>0</v>
      </c>
      <c r="BF287" s="112">
        <v>0</v>
      </c>
      <c r="BG287" s="112">
        <v>0</v>
      </c>
      <c r="BH287" s="112">
        <v>0</v>
      </c>
      <c r="BI287" s="112">
        <v>0</v>
      </c>
      <c r="BJ287" s="112">
        <v>0</v>
      </c>
      <c r="BK287" s="112">
        <v>0</v>
      </c>
      <c r="BL287" s="17" t="s">
        <v>130</v>
      </c>
      <c r="BM287" s="17">
        <v>100</v>
      </c>
      <c r="BN287" s="17">
        <v>275</v>
      </c>
      <c r="BO287" s="17">
        <v>225</v>
      </c>
      <c r="BP287" s="31">
        <f t="shared" si="197"/>
        <v>600</v>
      </c>
      <c r="BQ287" s="58">
        <v>246.33</v>
      </c>
      <c r="BR287" s="115">
        <f>Table1[[#This Row],[Check 2 Students Total]]*Table1[[#This Row],[Summer 2018 Price Check]]</f>
        <v>147798</v>
      </c>
      <c r="BS287" s="31">
        <v>0</v>
      </c>
      <c r="BT287" s="58">
        <f>Table1[[#This Row],[Summer 2018 Price Check]]*BS287</f>
        <v>0</v>
      </c>
      <c r="BU287" s="31">
        <v>0</v>
      </c>
      <c r="BV287" s="58">
        <v>0</v>
      </c>
      <c r="BW287" s="21">
        <v>0</v>
      </c>
      <c r="BX287" s="58">
        <f>Table1[[#This Row],[Summer 2018 Price Check]]*Table1[[#This Row],[Spring 2019 Students]]</f>
        <v>0</v>
      </c>
      <c r="BY287" s="31">
        <f t="shared" si="187"/>
        <v>0</v>
      </c>
      <c r="BZ287" s="58">
        <f t="shared" si="188"/>
        <v>0</v>
      </c>
      <c r="CA287" s="17" t="s">
        <v>130</v>
      </c>
      <c r="CB287" s="17">
        <v>100</v>
      </c>
      <c r="CC287" s="17">
        <v>275</v>
      </c>
      <c r="CD287" s="17">
        <v>225</v>
      </c>
      <c r="CE287" s="21">
        <f t="shared" si="196"/>
        <v>600</v>
      </c>
      <c r="CF287" s="58">
        <v>246.33</v>
      </c>
      <c r="CG287" s="58">
        <f t="shared" si="189"/>
        <v>147798</v>
      </c>
      <c r="CH287" s="17" t="s">
        <v>1287</v>
      </c>
      <c r="CI287" s="21">
        <v>0</v>
      </c>
      <c r="CJ287" s="58">
        <f>Table1[[#This Row],[Check 3 Per Student Savings]]*CI287</f>
        <v>0</v>
      </c>
      <c r="CK287" s="21">
        <v>0</v>
      </c>
      <c r="CL287" s="58">
        <f>Table1[[#This Row],[Check 3 Per Student Savings]]*CK287</f>
        <v>0</v>
      </c>
      <c r="CM287" s="21">
        <f>IF(Table1[[#This Row],[Check 3 Status]]="Continued", Table1[[#This Row],[Check 3 Students Spring]], 0)</f>
        <v>225</v>
      </c>
      <c r="CN287" s="58">
        <f>Table1[[#This Row],[Check 3 Per Student Savings]]*CM287</f>
        <v>55424.25</v>
      </c>
      <c r="CO287" s="21">
        <f t="shared" si="190"/>
        <v>225</v>
      </c>
      <c r="CP287" s="58">
        <f t="shared" si="191"/>
        <v>55424.25</v>
      </c>
      <c r="CQ287" s="221" t="s">
        <v>130</v>
      </c>
      <c r="CR287" s="21">
        <v>100</v>
      </c>
      <c r="CS287" s="21">
        <v>275</v>
      </c>
      <c r="CT287" s="21">
        <v>225</v>
      </c>
      <c r="CU287" s="21">
        <f t="shared" si="192"/>
        <v>600</v>
      </c>
      <c r="CV287" s="58">
        <v>246.33</v>
      </c>
      <c r="CW287" s="58">
        <f t="shared" si="193"/>
        <v>147798</v>
      </c>
      <c r="CX287" s="58"/>
      <c r="CY287" s="21">
        <f>IF(Table1[[#This Row],[Check 4 Status]]="Continued", Table1[[#This Row],[Check 4 Students Summer]], 0)</f>
        <v>100</v>
      </c>
      <c r="CZ287" s="58">
        <f>Table1[[#This Row],[Check 4 Per Student Savings]]*CY287</f>
        <v>24633</v>
      </c>
      <c r="DA287" s="21">
        <f>IF(Table1[[#This Row],[Check 4 Status]]="Continued", Table1[[#This Row],[Check 4 Students Fall]], 0)</f>
        <v>275</v>
      </c>
      <c r="DB287" s="58">
        <f>Table1[[#This Row],[Check 4 Per Student Savings]]*DA287</f>
        <v>67740.75</v>
      </c>
      <c r="DC287" s="21">
        <f>IF(Table1[[#This Row],[Check 4 Status]]="Continued", Table1[[#This Row],[Check 4 Students Spring]], 0)</f>
        <v>225</v>
      </c>
      <c r="DD287" s="58">
        <f>Table1[[#This Row],[Check 4 Per Student Savings]]*DC287</f>
        <v>55424.25</v>
      </c>
      <c r="DE287" s="58">
        <f t="shared" si="194"/>
        <v>600</v>
      </c>
      <c r="DF287" s="58">
        <f t="shared" si="195"/>
        <v>147798</v>
      </c>
      <c r="DG28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825</v>
      </c>
      <c r="DH28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203222.25</v>
      </c>
      <c r="DI287" s="58">
        <f>Table1[[#This Row],[Grand Total Savings]]/Table1[[#This Row],[Total Award]]</f>
        <v>6.7740749999999998</v>
      </c>
      <c r="DJ287" s="17"/>
      <c r="DK287" s="17"/>
      <c r="DL287" s="17"/>
      <c r="DM287" s="17"/>
      <c r="DX287" s="21"/>
      <c r="DY287" s="58"/>
      <c r="DZ287" s="21"/>
      <c r="EA287" s="21"/>
      <c r="EC287" s="17"/>
      <c r="ED287" s="17"/>
      <c r="EE287" s="17"/>
      <c r="EF287" s="17"/>
    </row>
    <row r="288" spans="1:136" x14ac:dyDescent="0.25">
      <c r="A288" s="163">
        <v>419</v>
      </c>
      <c r="B288" s="163"/>
      <c r="C288" s="191" t="s">
        <v>129</v>
      </c>
      <c r="D288" s="108">
        <v>515719</v>
      </c>
      <c r="E288" s="196">
        <v>43559</v>
      </c>
      <c r="F288" s="197"/>
      <c r="G288" s="198" t="s">
        <v>1280</v>
      </c>
      <c r="H288" s="95" t="s">
        <v>6</v>
      </c>
      <c r="I288" s="229" t="s">
        <v>118</v>
      </c>
      <c r="J288" s="17" t="s">
        <v>276</v>
      </c>
      <c r="K288" s="113">
        <v>10800</v>
      </c>
      <c r="L288" s="113" t="s">
        <v>1287</v>
      </c>
      <c r="M288" s="197" t="s">
        <v>1347</v>
      </c>
      <c r="N288" s="197" t="s">
        <v>1169</v>
      </c>
      <c r="O288" s="197" t="s">
        <v>1348</v>
      </c>
      <c r="P288" s="197" t="s">
        <v>1349</v>
      </c>
      <c r="Q288" s="101" t="s">
        <v>137</v>
      </c>
      <c r="R288" s="197"/>
      <c r="S288" s="197"/>
      <c r="T288" s="17" t="s">
        <v>129</v>
      </c>
      <c r="U288" s="17" t="s">
        <v>1095</v>
      </c>
      <c r="V288" s="17" t="s">
        <v>1095</v>
      </c>
      <c r="W288" s="17" t="s">
        <v>1095</v>
      </c>
      <c r="X288" s="17" t="s">
        <v>1095</v>
      </c>
      <c r="Y288" s="58">
        <v>41321</v>
      </c>
      <c r="Z288" s="17">
        <v>370</v>
      </c>
      <c r="AA288" s="58">
        <v>94.99</v>
      </c>
      <c r="AB288" s="114" t="s">
        <v>1338</v>
      </c>
      <c r="AC288" s="114" t="s">
        <v>1350</v>
      </c>
      <c r="AD288" s="114" t="s">
        <v>1351</v>
      </c>
      <c r="AE288" s="17" t="s">
        <v>1287</v>
      </c>
      <c r="AF288" s="17" t="s">
        <v>129</v>
      </c>
      <c r="AG288" s="115"/>
      <c r="AH288" s="115"/>
      <c r="AI288" s="111" t="s">
        <v>130</v>
      </c>
      <c r="AJ288" s="110">
        <v>0</v>
      </c>
      <c r="AK288" s="112">
        <v>0</v>
      </c>
      <c r="AL288" s="110">
        <v>0</v>
      </c>
      <c r="AM288" s="112">
        <v>0</v>
      </c>
      <c r="AN288" s="110">
        <v>0</v>
      </c>
      <c r="AO288" s="112">
        <v>0</v>
      </c>
      <c r="AP288" s="110">
        <v>0</v>
      </c>
      <c r="AQ288" s="112">
        <v>0</v>
      </c>
      <c r="AR288" s="110">
        <v>0</v>
      </c>
      <c r="AS288" s="112">
        <v>0</v>
      </c>
      <c r="AT288" s="110">
        <v>0</v>
      </c>
      <c r="AU288" s="112">
        <v>0</v>
      </c>
      <c r="AV288" s="110">
        <v>0</v>
      </c>
      <c r="AW288" s="112">
        <v>0</v>
      </c>
      <c r="AX288" s="112">
        <v>0</v>
      </c>
      <c r="AY288" s="112">
        <v>0</v>
      </c>
      <c r="AZ288" s="112">
        <v>0</v>
      </c>
      <c r="BA288" s="112">
        <v>0</v>
      </c>
      <c r="BB288" s="112">
        <v>0</v>
      </c>
      <c r="BC288" s="112">
        <v>0</v>
      </c>
      <c r="BD288" s="112">
        <v>0</v>
      </c>
      <c r="BE288" s="112">
        <v>0</v>
      </c>
      <c r="BF288" s="112">
        <v>0</v>
      </c>
      <c r="BG288" s="112">
        <v>0</v>
      </c>
      <c r="BH288" s="112">
        <v>0</v>
      </c>
      <c r="BI288" s="112">
        <v>0</v>
      </c>
      <c r="BJ288" s="112">
        <v>0</v>
      </c>
      <c r="BK288" s="112">
        <v>0</v>
      </c>
      <c r="BL288" s="17" t="s">
        <v>130</v>
      </c>
      <c r="BM288" s="17">
        <v>50</v>
      </c>
      <c r="BN288" s="17">
        <v>128</v>
      </c>
      <c r="BO288" s="17">
        <v>192</v>
      </c>
      <c r="BP288" s="31">
        <f t="shared" si="197"/>
        <v>370</v>
      </c>
      <c r="BQ288" s="58">
        <v>94.99</v>
      </c>
      <c r="BR288" s="115">
        <f>Table1[[#This Row],[Check 2 Students Total]]*Table1[[#This Row],[Summer 2018 Price Check]]</f>
        <v>35146.299999999996</v>
      </c>
      <c r="BS288" s="31">
        <v>0</v>
      </c>
      <c r="BT288" s="58">
        <f>Table1[[#This Row],[Summer 2018 Price Check]]*BS288</f>
        <v>0</v>
      </c>
      <c r="BU288" s="31">
        <v>0</v>
      </c>
      <c r="BV288" s="58">
        <v>0</v>
      </c>
      <c r="BW288" s="21">
        <v>0</v>
      </c>
      <c r="BX288" s="58">
        <f>Table1[[#This Row],[Summer 2018 Price Check]]*Table1[[#This Row],[Spring 2019 Students]]</f>
        <v>0</v>
      </c>
      <c r="BY288" s="31">
        <f t="shared" si="187"/>
        <v>0</v>
      </c>
      <c r="BZ288" s="58">
        <f t="shared" si="188"/>
        <v>0</v>
      </c>
      <c r="CA288" s="17" t="s">
        <v>130</v>
      </c>
      <c r="CB288" s="17">
        <v>50</v>
      </c>
      <c r="CC288" s="17">
        <v>128</v>
      </c>
      <c r="CD288" s="17">
        <v>192</v>
      </c>
      <c r="CE288" s="21">
        <f t="shared" si="196"/>
        <v>370</v>
      </c>
      <c r="CF288" s="58">
        <v>94.99</v>
      </c>
      <c r="CG288" s="58">
        <f t="shared" si="189"/>
        <v>35146.299999999996</v>
      </c>
      <c r="CH288" s="17" t="s">
        <v>1287</v>
      </c>
      <c r="CI288" s="21">
        <v>0</v>
      </c>
      <c r="CJ288" s="58">
        <f>Table1[[#This Row],[Check 3 Per Student Savings]]*CI288</f>
        <v>0</v>
      </c>
      <c r="CK288" s="21">
        <v>0</v>
      </c>
      <c r="CL288" s="58">
        <f>Table1[[#This Row],[Check 3 Per Student Savings]]*CK288</f>
        <v>0</v>
      </c>
      <c r="CM288" s="21">
        <f>IF(Table1[[#This Row],[Check 3 Status]]="Continued", Table1[[#This Row],[Check 3 Students Spring]], 0)</f>
        <v>192</v>
      </c>
      <c r="CN288" s="58">
        <f>Table1[[#This Row],[Check 3 Per Student Savings]]*CM288</f>
        <v>18238.079999999998</v>
      </c>
      <c r="CO288" s="21">
        <f t="shared" si="190"/>
        <v>192</v>
      </c>
      <c r="CP288" s="58">
        <f t="shared" si="191"/>
        <v>18238.079999999998</v>
      </c>
      <c r="CQ288" s="221" t="s">
        <v>130</v>
      </c>
      <c r="CR288" s="21">
        <v>50</v>
      </c>
      <c r="CS288" s="21">
        <v>128</v>
      </c>
      <c r="CT288" s="21">
        <v>192</v>
      </c>
      <c r="CU288" s="21">
        <f t="shared" si="192"/>
        <v>370</v>
      </c>
      <c r="CV288" s="58">
        <v>94.99</v>
      </c>
      <c r="CW288" s="58">
        <f t="shared" si="193"/>
        <v>35146.299999999996</v>
      </c>
      <c r="CX288" s="58"/>
      <c r="CY288" s="21">
        <f>IF(Table1[[#This Row],[Check 4 Status]]="Continued", Table1[[#This Row],[Check 4 Students Summer]], 0)</f>
        <v>50</v>
      </c>
      <c r="CZ288" s="58">
        <f>Table1[[#This Row],[Check 4 Per Student Savings]]*CY288</f>
        <v>4749.5</v>
      </c>
      <c r="DA288" s="21">
        <f>IF(Table1[[#This Row],[Check 4 Status]]="Continued", Table1[[#This Row],[Check 4 Students Fall]], 0)</f>
        <v>128</v>
      </c>
      <c r="DB288" s="58">
        <f>Table1[[#This Row],[Check 4 Per Student Savings]]*DA288</f>
        <v>12158.72</v>
      </c>
      <c r="DC288" s="21">
        <f>IF(Table1[[#This Row],[Check 4 Status]]="Continued", Table1[[#This Row],[Check 4 Students Spring]], 0)</f>
        <v>192</v>
      </c>
      <c r="DD288" s="58">
        <f>Table1[[#This Row],[Check 4 Per Student Savings]]*DC288</f>
        <v>18238.079999999998</v>
      </c>
      <c r="DE288" s="58">
        <f t="shared" si="194"/>
        <v>370</v>
      </c>
      <c r="DF288" s="58">
        <f t="shared" si="195"/>
        <v>35146.300000000003</v>
      </c>
      <c r="DG28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562</v>
      </c>
      <c r="DH28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53384.380000000005</v>
      </c>
      <c r="DI288" s="58">
        <f>Table1[[#This Row],[Grand Total Savings]]/Table1[[#This Row],[Total Award]]</f>
        <v>4.9429981481481482</v>
      </c>
      <c r="DJ288" s="17"/>
      <c r="DK288" s="17"/>
      <c r="DL288" s="17"/>
      <c r="DM288" s="17"/>
      <c r="DX288" s="21"/>
      <c r="DY288" s="58"/>
      <c r="DZ288" s="21"/>
      <c r="EA288" s="21"/>
      <c r="EC288" s="17"/>
      <c r="ED288" s="17"/>
      <c r="EE288" s="17"/>
      <c r="EF288" s="17"/>
    </row>
    <row r="289" spans="1:136" x14ac:dyDescent="0.25">
      <c r="A289" s="163">
        <v>420</v>
      </c>
      <c r="B289" s="163"/>
      <c r="C289" s="191" t="s">
        <v>129</v>
      </c>
      <c r="D289" s="108">
        <v>515789</v>
      </c>
      <c r="E289" s="196">
        <v>43578</v>
      </c>
      <c r="F289" s="197"/>
      <c r="G289" s="198" t="s">
        <v>1280</v>
      </c>
      <c r="H289" s="95" t="s">
        <v>6</v>
      </c>
      <c r="I289" s="229" t="s">
        <v>118</v>
      </c>
      <c r="J289" s="17" t="s">
        <v>236</v>
      </c>
      <c r="K289" s="113">
        <v>30000</v>
      </c>
      <c r="L289" s="113" t="s">
        <v>1287</v>
      </c>
      <c r="M289" s="197" t="s">
        <v>1352</v>
      </c>
      <c r="N289" s="197" t="s">
        <v>1353</v>
      </c>
      <c r="O289" s="197" t="s">
        <v>534</v>
      </c>
      <c r="P289" s="197" t="s">
        <v>581</v>
      </c>
      <c r="Q289" s="101" t="s">
        <v>488</v>
      </c>
      <c r="R289" s="197"/>
      <c r="S289" s="197"/>
      <c r="T289" s="17" t="s">
        <v>125</v>
      </c>
      <c r="U289" s="17" t="s">
        <v>1095</v>
      </c>
      <c r="V289" s="17" t="s">
        <v>1095</v>
      </c>
      <c r="W289" s="17" t="s">
        <v>1095</v>
      </c>
      <c r="X289" s="17" t="s">
        <v>1095</v>
      </c>
      <c r="Y289" s="58">
        <v>135066</v>
      </c>
      <c r="Z289" s="17">
        <v>1175</v>
      </c>
      <c r="AA289" s="58">
        <v>114.95</v>
      </c>
      <c r="AB289" s="114" t="s">
        <v>1354</v>
      </c>
      <c r="AC289" s="114" t="s">
        <v>1355</v>
      </c>
      <c r="AD289" s="114" t="s">
        <v>1356</v>
      </c>
      <c r="AE289" s="17" t="s">
        <v>1287</v>
      </c>
      <c r="AF289" s="17" t="s">
        <v>129</v>
      </c>
      <c r="AG289" s="115"/>
      <c r="AH289" s="115"/>
      <c r="AI289" s="111" t="s">
        <v>130</v>
      </c>
      <c r="AJ289" s="110">
        <v>0</v>
      </c>
      <c r="AK289" s="112">
        <v>0</v>
      </c>
      <c r="AL289" s="110">
        <v>0</v>
      </c>
      <c r="AM289" s="112">
        <v>0</v>
      </c>
      <c r="AN289" s="110">
        <v>0</v>
      </c>
      <c r="AO289" s="112">
        <v>0</v>
      </c>
      <c r="AP289" s="110">
        <v>0</v>
      </c>
      <c r="AQ289" s="112">
        <v>0</v>
      </c>
      <c r="AR289" s="110">
        <v>0</v>
      </c>
      <c r="AS289" s="112">
        <v>0</v>
      </c>
      <c r="AT289" s="110">
        <v>0</v>
      </c>
      <c r="AU289" s="112">
        <v>0</v>
      </c>
      <c r="AV289" s="110">
        <v>0</v>
      </c>
      <c r="AW289" s="112">
        <v>0</v>
      </c>
      <c r="AX289" s="112">
        <v>0</v>
      </c>
      <c r="AY289" s="112">
        <v>0</v>
      </c>
      <c r="AZ289" s="112">
        <v>0</v>
      </c>
      <c r="BA289" s="112">
        <v>0</v>
      </c>
      <c r="BB289" s="112">
        <v>0</v>
      </c>
      <c r="BC289" s="112">
        <v>0</v>
      </c>
      <c r="BD289" s="112">
        <v>0</v>
      </c>
      <c r="BE289" s="112">
        <v>0</v>
      </c>
      <c r="BF289" s="112">
        <v>0</v>
      </c>
      <c r="BG289" s="112">
        <v>0</v>
      </c>
      <c r="BH289" s="112">
        <v>0</v>
      </c>
      <c r="BI289" s="112">
        <v>0</v>
      </c>
      <c r="BJ289" s="112">
        <v>0</v>
      </c>
      <c r="BK289" s="112">
        <v>0</v>
      </c>
      <c r="BL289" s="17" t="s">
        <v>130</v>
      </c>
      <c r="BM289" s="17">
        <v>60</v>
      </c>
      <c r="BN289" s="17">
        <v>597</v>
      </c>
      <c r="BO289" s="17">
        <v>518</v>
      </c>
      <c r="BP289" s="31">
        <f t="shared" si="197"/>
        <v>1175</v>
      </c>
      <c r="BQ289" s="58">
        <v>114.95</v>
      </c>
      <c r="BR289" s="115">
        <f>Table1[[#This Row],[Check 2 Students Total]]*Table1[[#This Row],[Summer 2018 Price Check]]</f>
        <v>135066.25</v>
      </c>
      <c r="BS289" s="31">
        <v>0</v>
      </c>
      <c r="BT289" s="58">
        <f>Table1[[#This Row],[Summer 2018 Price Check]]*BS289</f>
        <v>0</v>
      </c>
      <c r="BU289" s="31">
        <v>0</v>
      </c>
      <c r="BV289" s="58">
        <v>0</v>
      </c>
      <c r="BW289" s="21">
        <v>0</v>
      </c>
      <c r="BX289" s="58">
        <f>Table1[[#This Row],[Summer 2018 Price Check]]*Table1[[#This Row],[Spring 2019 Students]]</f>
        <v>0</v>
      </c>
      <c r="BY289" s="31">
        <f t="shared" si="187"/>
        <v>0</v>
      </c>
      <c r="BZ289" s="58">
        <f t="shared" si="188"/>
        <v>0</v>
      </c>
      <c r="CA289" s="17" t="s">
        <v>130</v>
      </c>
      <c r="CB289" s="17">
        <v>60</v>
      </c>
      <c r="CC289" s="17">
        <v>597</v>
      </c>
      <c r="CD289" s="17">
        <v>518</v>
      </c>
      <c r="CE289" s="21">
        <f t="shared" si="196"/>
        <v>1175</v>
      </c>
      <c r="CF289" s="58">
        <v>114.95</v>
      </c>
      <c r="CG289" s="58">
        <f t="shared" si="189"/>
        <v>135066.25</v>
      </c>
      <c r="CH289" s="17" t="s">
        <v>1287</v>
      </c>
      <c r="CI289" s="21">
        <v>0</v>
      </c>
      <c r="CJ289" s="58">
        <f>Table1[[#This Row],[Check 3 Per Student Savings]]*CI289</f>
        <v>0</v>
      </c>
      <c r="CK289" s="21">
        <v>0</v>
      </c>
      <c r="CL289" s="58">
        <f>Table1[[#This Row],[Check 3 Per Student Savings]]*CK289</f>
        <v>0</v>
      </c>
      <c r="CM289" s="21">
        <f>IF(Table1[[#This Row],[Check 3 Status]]="Continued", Table1[[#This Row],[Check 3 Students Spring]], 0)</f>
        <v>518</v>
      </c>
      <c r="CN289" s="58">
        <f>Table1[[#This Row],[Check 3 Per Student Savings]]*CM289</f>
        <v>59544.1</v>
      </c>
      <c r="CO289" s="21">
        <f t="shared" si="190"/>
        <v>518</v>
      </c>
      <c r="CP289" s="58">
        <f t="shared" si="191"/>
        <v>59544.1</v>
      </c>
      <c r="CQ289" s="221" t="s">
        <v>130</v>
      </c>
      <c r="CR289" s="21">
        <v>60</v>
      </c>
      <c r="CS289" s="21">
        <v>597</v>
      </c>
      <c r="CT289" s="21">
        <v>518</v>
      </c>
      <c r="CU289" s="21">
        <f t="shared" si="192"/>
        <v>1175</v>
      </c>
      <c r="CV289" s="58">
        <v>114.95</v>
      </c>
      <c r="CW289" s="58">
        <f t="shared" si="193"/>
        <v>135066.25</v>
      </c>
      <c r="CX289" s="58"/>
      <c r="CY289" s="21">
        <f>IF(Table1[[#This Row],[Check 4 Status]]="Continued", Table1[[#This Row],[Check 4 Students Summer]], 0)</f>
        <v>60</v>
      </c>
      <c r="CZ289" s="58">
        <f>Table1[[#This Row],[Check 4 Per Student Savings]]*CY289</f>
        <v>6897</v>
      </c>
      <c r="DA289" s="21">
        <f>IF(Table1[[#This Row],[Check 4 Status]]="Continued", Table1[[#This Row],[Check 4 Students Fall]], 0)</f>
        <v>597</v>
      </c>
      <c r="DB289" s="58">
        <f>Table1[[#This Row],[Check 4 Per Student Savings]]*DA289</f>
        <v>68625.150000000009</v>
      </c>
      <c r="DC289" s="21">
        <f>IF(Table1[[#This Row],[Check 4 Status]]="Continued", Table1[[#This Row],[Check 4 Students Spring]], 0)</f>
        <v>518</v>
      </c>
      <c r="DD289" s="58">
        <f>Table1[[#This Row],[Check 4 Per Student Savings]]*DC289</f>
        <v>59544.1</v>
      </c>
      <c r="DE289" s="58">
        <f t="shared" si="194"/>
        <v>1175</v>
      </c>
      <c r="DF289" s="58">
        <f t="shared" si="195"/>
        <v>135066.25</v>
      </c>
      <c r="DG28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1693</v>
      </c>
      <c r="DH28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194610.35</v>
      </c>
      <c r="DI289" s="58">
        <f>Table1[[#This Row],[Grand Total Savings]]/Table1[[#This Row],[Total Award]]</f>
        <v>6.4870116666666666</v>
      </c>
      <c r="DJ289" s="17"/>
      <c r="DK289" s="17"/>
      <c r="DL289" s="17"/>
      <c r="DM289" s="17"/>
      <c r="DX289" s="21"/>
      <c r="DY289" s="58"/>
      <c r="DZ289" s="21"/>
      <c r="EA289" s="21"/>
      <c r="EC289" s="17"/>
      <c r="ED289" s="17"/>
      <c r="EE289" s="17"/>
      <c r="EF289" s="17"/>
    </row>
    <row r="290" spans="1:136" x14ac:dyDescent="0.25">
      <c r="A290" s="191">
        <v>422</v>
      </c>
      <c r="B290" s="191"/>
      <c r="C290" s="191" t="s">
        <v>129</v>
      </c>
      <c r="D290" s="108">
        <v>515765</v>
      </c>
      <c r="E290" s="199"/>
      <c r="F290" s="197"/>
      <c r="G290" s="198" t="s">
        <v>1280</v>
      </c>
      <c r="H290" s="95" t="s">
        <v>6</v>
      </c>
      <c r="I290" s="229" t="s">
        <v>118</v>
      </c>
      <c r="J290" s="17" t="s">
        <v>132</v>
      </c>
      <c r="K290" s="113">
        <v>30000</v>
      </c>
      <c r="L290" s="113" t="s">
        <v>1287</v>
      </c>
      <c r="M290" s="197" t="s">
        <v>435</v>
      </c>
      <c r="N290" s="197" t="s">
        <v>1357</v>
      </c>
      <c r="O290" s="197" t="s">
        <v>1358</v>
      </c>
      <c r="P290" s="197" t="s">
        <v>1359</v>
      </c>
      <c r="Q290" s="101" t="s">
        <v>177</v>
      </c>
      <c r="R290" s="197"/>
      <c r="S290" s="197"/>
      <c r="T290" s="17" t="s">
        <v>129</v>
      </c>
      <c r="U290" s="17" t="s">
        <v>1095</v>
      </c>
      <c r="V290" s="17" t="s">
        <v>1095</v>
      </c>
      <c r="W290" s="17" t="s">
        <v>1095</v>
      </c>
      <c r="X290" s="17" t="s">
        <v>1095</v>
      </c>
      <c r="Y290" s="58">
        <v>70544</v>
      </c>
      <c r="Z290" s="17">
        <v>470</v>
      </c>
      <c r="AA290" s="58">
        <v>150.09</v>
      </c>
      <c r="AB290" s="114" t="s">
        <v>1354</v>
      </c>
      <c r="AC290" s="114" t="s">
        <v>1360</v>
      </c>
      <c r="AD290" s="114" t="s">
        <v>1361</v>
      </c>
      <c r="AE290" s="17" t="s">
        <v>1287</v>
      </c>
      <c r="AF290" s="17" t="s">
        <v>129</v>
      </c>
      <c r="AG290" s="115"/>
      <c r="AH290" s="115"/>
      <c r="AI290" s="111" t="s">
        <v>130</v>
      </c>
      <c r="AJ290" s="110">
        <v>0</v>
      </c>
      <c r="AK290" s="112">
        <v>0</v>
      </c>
      <c r="AL290" s="110">
        <v>0</v>
      </c>
      <c r="AM290" s="112">
        <v>0</v>
      </c>
      <c r="AN290" s="110">
        <v>0</v>
      </c>
      <c r="AO290" s="112">
        <v>0</v>
      </c>
      <c r="AP290" s="110">
        <v>0</v>
      </c>
      <c r="AQ290" s="112">
        <v>0</v>
      </c>
      <c r="AR290" s="110">
        <v>0</v>
      </c>
      <c r="AS290" s="112">
        <v>0</v>
      </c>
      <c r="AT290" s="110">
        <v>0</v>
      </c>
      <c r="AU290" s="112">
        <v>0</v>
      </c>
      <c r="AV290" s="110">
        <v>0</v>
      </c>
      <c r="AW290" s="112">
        <v>0</v>
      </c>
      <c r="AX290" s="112">
        <v>0</v>
      </c>
      <c r="AY290" s="112">
        <v>0</v>
      </c>
      <c r="AZ290" s="112">
        <v>0</v>
      </c>
      <c r="BA290" s="112">
        <v>0</v>
      </c>
      <c r="BB290" s="112">
        <v>0</v>
      </c>
      <c r="BC290" s="112">
        <v>0</v>
      </c>
      <c r="BD290" s="112">
        <v>0</v>
      </c>
      <c r="BE290" s="112">
        <v>0</v>
      </c>
      <c r="BF290" s="112">
        <v>0</v>
      </c>
      <c r="BG290" s="112">
        <v>0</v>
      </c>
      <c r="BH290" s="112">
        <v>0</v>
      </c>
      <c r="BI290" s="112">
        <v>0</v>
      </c>
      <c r="BJ290" s="112">
        <v>0</v>
      </c>
      <c r="BK290" s="112">
        <v>0</v>
      </c>
      <c r="BL290" s="17" t="s">
        <v>130</v>
      </c>
      <c r="BM290" s="17">
        <v>60</v>
      </c>
      <c r="BN290" s="17">
        <v>220</v>
      </c>
      <c r="BO290" s="17">
        <v>190</v>
      </c>
      <c r="BP290" s="31">
        <f t="shared" si="197"/>
        <v>470</v>
      </c>
      <c r="BQ290" s="58">
        <v>150.09</v>
      </c>
      <c r="BR290" s="115">
        <f>Table1[[#This Row],[Check 2 Students Total]]*Table1[[#This Row],[Summer 2018 Price Check]]</f>
        <v>70542.3</v>
      </c>
      <c r="BS290" s="31">
        <v>0</v>
      </c>
      <c r="BT290" s="58">
        <f>Table1[[#This Row],[Summer 2018 Price Check]]*BS290</f>
        <v>0</v>
      </c>
      <c r="BU290" s="31">
        <v>0</v>
      </c>
      <c r="BV290" s="58">
        <v>0</v>
      </c>
      <c r="BW290" s="21">
        <v>0</v>
      </c>
      <c r="BX290" s="58">
        <f>Table1[[#This Row],[Summer 2018 Price Check]]*Table1[[#This Row],[Spring 2019 Students]]</f>
        <v>0</v>
      </c>
      <c r="BY290" s="31">
        <f t="shared" si="187"/>
        <v>0</v>
      </c>
      <c r="BZ290" s="58">
        <f t="shared" si="188"/>
        <v>0</v>
      </c>
      <c r="CA290" s="17" t="s">
        <v>130</v>
      </c>
      <c r="CB290" s="17">
        <v>60</v>
      </c>
      <c r="CC290" s="17">
        <v>220</v>
      </c>
      <c r="CD290" s="17">
        <v>190</v>
      </c>
      <c r="CE290" s="21">
        <f t="shared" si="196"/>
        <v>470</v>
      </c>
      <c r="CF290" s="58">
        <v>150.09</v>
      </c>
      <c r="CG290" s="58">
        <f t="shared" si="189"/>
        <v>70542.3</v>
      </c>
      <c r="CH290" s="17" t="s">
        <v>1287</v>
      </c>
      <c r="CI290" s="21">
        <v>0</v>
      </c>
      <c r="CJ290" s="58">
        <f>Table1[[#This Row],[Check 3 Per Student Savings]]*CI290</f>
        <v>0</v>
      </c>
      <c r="CK290" s="21">
        <v>0</v>
      </c>
      <c r="CL290" s="58">
        <f>Table1[[#This Row],[Check 3 Per Student Savings]]*CK290</f>
        <v>0</v>
      </c>
      <c r="CM290" s="21">
        <f>IF(Table1[[#This Row],[Check 3 Status]]="Continued", Table1[[#This Row],[Check 3 Students Spring]], 0)</f>
        <v>190</v>
      </c>
      <c r="CN290" s="58">
        <f>Table1[[#This Row],[Check 3 Per Student Savings]]*CM290</f>
        <v>28517.100000000002</v>
      </c>
      <c r="CO290" s="21">
        <f t="shared" si="190"/>
        <v>190</v>
      </c>
      <c r="CP290" s="58">
        <f t="shared" si="191"/>
        <v>28517.100000000002</v>
      </c>
      <c r="CQ290" s="221" t="s">
        <v>130</v>
      </c>
      <c r="CR290" s="21">
        <v>60</v>
      </c>
      <c r="CS290" s="21">
        <v>220</v>
      </c>
      <c r="CT290" s="21">
        <v>190</v>
      </c>
      <c r="CU290" s="21">
        <f t="shared" si="192"/>
        <v>470</v>
      </c>
      <c r="CV290" s="58">
        <v>150.09</v>
      </c>
      <c r="CW290" s="58">
        <f t="shared" si="193"/>
        <v>70542.3</v>
      </c>
      <c r="CX290" s="58"/>
      <c r="CY290" s="21">
        <f>IF(Table1[[#This Row],[Check 4 Status]]="Continued", Table1[[#This Row],[Check 4 Students Summer]], 0)</f>
        <v>60</v>
      </c>
      <c r="CZ290" s="58">
        <f>Table1[[#This Row],[Check 4 Per Student Savings]]*CY290</f>
        <v>9005.4</v>
      </c>
      <c r="DA290" s="21">
        <f>IF(Table1[[#This Row],[Check 4 Status]]="Continued", Table1[[#This Row],[Check 4 Students Fall]], 0)</f>
        <v>220</v>
      </c>
      <c r="DB290" s="58">
        <f>Table1[[#This Row],[Check 4 Per Student Savings]]*DA290</f>
        <v>33019.800000000003</v>
      </c>
      <c r="DC290" s="21">
        <f>IF(Table1[[#This Row],[Check 4 Status]]="Continued", Table1[[#This Row],[Check 4 Students Spring]], 0)</f>
        <v>190</v>
      </c>
      <c r="DD290" s="58">
        <f>Table1[[#This Row],[Check 4 Per Student Savings]]*DC290</f>
        <v>28517.100000000002</v>
      </c>
      <c r="DE290" s="58">
        <f t="shared" si="194"/>
        <v>470</v>
      </c>
      <c r="DF290" s="58">
        <f t="shared" si="195"/>
        <v>70542.3</v>
      </c>
      <c r="DG29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660</v>
      </c>
      <c r="DH29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99059.400000000009</v>
      </c>
      <c r="DI290" s="58">
        <f>Table1[[#This Row],[Grand Total Savings]]/Table1[[#This Row],[Total Award]]</f>
        <v>3.3019800000000004</v>
      </c>
      <c r="DJ290" s="17"/>
      <c r="DK290" s="17"/>
      <c r="DL290" s="17"/>
      <c r="DM290" s="17"/>
      <c r="DX290" s="21"/>
      <c r="DY290" s="58"/>
      <c r="DZ290" s="21"/>
      <c r="EA290" s="21"/>
      <c r="EC290" s="17"/>
      <c r="ED290" s="17"/>
      <c r="EE290" s="17"/>
      <c r="EF290" s="17"/>
    </row>
    <row r="291" spans="1:136" x14ac:dyDescent="0.25">
      <c r="A291" s="163">
        <v>423</v>
      </c>
      <c r="B291" s="17" t="s">
        <v>2011</v>
      </c>
      <c r="C291" s="191" t="s">
        <v>129</v>
      </c>
      <c r="D291" s="108">
        <v>515866</v>
      </c>
      <c r="E291" s="199"/>
      <c r="F291" s="197"/>
      <c r="G291" s="198" t="s">
        <v>1280</v>
      </c>
      <c r="H291" s="95" t="s">
        <v>6</v>
      </c>
      <c r="I291" s="229" t="s">
        <v>118</v>
      </c>
      <c r="J291" s="17" t="s">
        <v>419</v>
      </c>
      <c r="K291" s="113">
        <v>10800</v>
      </c>
      <c r="L291" s="113" t="s">
        <v>1096</v>
      </c>
      <c r="M291" s="197" t="s">
        <v>420</v>
      </c>
      <c r="N291" s="197" t="s">
        <v>740</v>
      </c>
      <c r="O291" s="197" t="s">
        <v>1362</v>
      </c>
      <c r="P291" s="197" t="s">
        <v>849</v>
      </c>
      <c r="Q291" s="101" t="s">
        <v>148</v>
      </c>
      <c r="R291" s="197"/>
      <c r="S291" s="197"/>
      <c r="T291" s="17" t="s">
        <v>125</v>
      </c>
      <c r="U291" s="17" t="s">
        <v>1095</v>
      </c>
      <c r="V291" s="17" t="s">
        <v>150</v>
      </c>
      <c r="W291" s="17" t="s">
        <v>139</v>
      </c>
      <c r="X291" s="17" t="s">
        <v>127</v>
      </c>
      <c r="Y291" s="58">
        <v>54925</v>
      </c>
      <c r="Z291" s="17">
        <v>325</v>
      </c>
      <c r="AA291" s="58">
        <v>169</v>
      </c>
      <c r="AB291" s="114" t="s">
        <v>1363</v>
      </c>
      <c r="AC291" s="114" t="s">
        <v>1364</v>
      </c>
      <c r="AD291" s="114" t="s">
        <v>1365</v>
      </c>
      <c r="AE291" s="17" t="s">
        <v>1096</v>
      </c>
      <c r="AF291" s="17" t="s">
        <v>129</v>
      </c>
      <c r="AG291" s="115"/>
      <c r="AH291" s="115"/>
      <c r="AI291" s="111" t="s">
        <v>130</v>
      </c>
      <c r="AJ291" s="110">
        <v>0</v>
      </c>
      <c r="AK291" s="112">
        <v>0</v>
      </c>
      <c r="AL291" s="110">
        <v>0</v>
      </c>
      <c r="AM291" s="112">
        <v>0</v>
      </c>
      <c r="AN291" s="110">
        <v>0</v>
      </c>
      <c r="AO291" s="112">
        <v>0</v>
      </c>
      <c r="AP291" s="110">
        <v>0</v>
      </c>
      <c r="AQ291" s="112">
        <v>0</v>
      </c>
      <c r="AR291" s="110">
        <v>0</v>
      </c>
      <c r="AS291" s="112">
        <v>0</v>
      </c>
      <c r="AT291" s="110">
        <v>0</v>
      </c>
      <c r="AU291" s="112">
        <v>0</v>
      </c>
      <c r="AV291" s="110">
        <v>0</v>
      </c>
      <c r="AW291" s="112">
        <v>0</v>
      </c>
      <c r="AX291" s="112">
        <v>0</v>
      </c>
      <c r="AY291" s="112">
        <v>0</v>
      </c>
      <c r="AZ291" s="112">
        <v>0</v>
      </c>
      <c r="BA291" s="112">
        <v>0</v>
      </c>
      <c r="BB291" s="112">
        <v>0</v>
      </c>
      <c r="BC291" s="112">
        <v>0</v>
      </c>
      <c r="BD291" s="112">
        <v>0</v>
      </c>
      <c r="BE291" s="112">
        <v>0</v>
      </c>
      <c r="BF291" s="112">
        <v>0</v>
      </c>
      <c r="BG291" s="112">
        <v>0</v>
      </c>
      <c r="BH291" s="112">
        <v>0</v>
      </c>
      <c r="BI291" s="112">
        <v>0</v>
      </c>
      <c r="BJ291" s="112">
        <v>0</v>
      </c>
      <c r="BK291" s="112">
        <v>0</v>
      </c>
      <c r="BL291" s="17" t="s">
        <v>130</v>
      </c>
      <c r="BM291" s="17">
        <v>23</v>
      </c>
      <c r="BN291" s="17">
        <v>200</v>
      </c>
      <c r="BO291" s="17">
        <v>102</v>
      </c>
      <c r="BP291" s="31">
        <f t="shared" si="197"/>
        <v>325</v>
      </c>
      <c r="BQ291" s="58">
        <v>169</v>
      </c>
      <c r="BR291" s="115">
        <f>Table1[[#This Row],[Check 2 Students Total]]*Table1[[#This Row],[Summer 2018 Price Check]]</f>
        <v>54925</v>
      </c>
      <c r="BS291" s="31">
        <v>0</v>
      </c>
      <c r="BT291" s="58">
        <f>Table1[[#This Row],[Summer 2018 Price Check]]*BS291</f>
        <v>0</v>
      </c>
      <c r="BU291" s="31">
        <v>0</v>
      </c>
      <c r="BV291" s="58">
        <v>0</v>
      </c>
      <c r="BW291" s="21">
        <v>0</v>
      </c>
      <c r="BX291" s="58">
        <f>Table1[[#This Row],[Summer 2018 Price Check]]*Table1[[#This Row],[Spring 2019 Students]]</f>
        <v>0</v>
      </c>
      <c r="BY291" s="31">
        <f t="shared" si="187"/>
        <v>0</v>
      </c>
      <c r="BZ291" s="58">
        <f t="shared" si="188"/>
        <v>0</v>
      </c>
      <c r="CA291" s="17" t="s">
        <v>130</v>
      </c>
      <c r="CB291" s="17">
        <v>23</v>
      </c>
      <c r="CC291" s="17">
        <v>200</v>
      </c>
      <c r="CD291" s="17">
        <v>102</v>
      </c>
      <c r="CE291" s="21">
        <f t="shared" si="196"/>
        <v>325</v>
      </c>
      <c r="CF291" s="58">
        <v>169</v>
      </c>
      <c r="CG291" s="58">
        <f t="shared" si="189"/>
        <v>54925</v>
      </c>
      <c r="CH291" s="17" t="s">
        <v>1096</v>
      </c>
      <c r="CI291" s="21">
        <v>0</v>
      </c>
      <c r="CJ291" s="58">
        <f>Table1[[#This Row],[Check 3 Per Student Savings]]*CI291</f>
        <v>0</v>
      </c>
      <c r="CK291" s="21">
        <f>IF(Table1[[#This Row],[Check 3 Status]]="Continued", Table1[[#This Row],[Check 3 Students Fall]], 0)</f>
        <v>200</v>
      </c>
      <c r="CL291" s="58">
        <f>Table1[[#This Row],[Check 3 Per Student Savings]]*CK291</f>
        <v>33800</v>
      </c>
      <c r="CM291" s="21">
        <f>IF(Table1[[#This Row],[Check 3 Status]]="Continued", Table1[[#This Row],[Check 3 Students Spring]], 0)</f>
        <v>102</v>
      </c>
      <c r="CN291" s="58">
        <f>Table1[[#This Row],[Check 3 Per Student Savings]]*CM291</f>
        <v>17238</v>
      </c>
      <c r="CO291" s="21">
        <f t="shared" si="190"/>
        <v>302</v>
      </c>
      <c r="CP291" s="58">
        <f t="shared" si="191"/>
        <v>51038</v>
      </c>
      <c r="CQ291" s="58" t="s">
        <v>141</v>
      </c>
      <c r="CR291" s="21">
        <v>23</v>
      </c>
      <c r="CS291" s="21">
        <v>200</v>
      </c>
      <c r="CT291" s="21">
        <v>102</v>
      </c>
      <c r="CU291" s="21">
        <v>0</v>
      </c>
      <c r="CV291" s="58">
        <v>169</v>
      </c>
      <c r="CW291" s="58">
        <f t="shared" si="193"/>
        <v>0</v>
      </c>
      <c r="CX291" s="58"/>
      <c r="CY291" s="21">
        <f>IF(Table1[[#This Row],[Check 4 Status]]="Continued", Table1[[#This Row],[Check 4 Students Summer]], 0)</f>
        <v>0</v>
      </c>
      <c r="CZ291" s="58">
        <f>Table1[[#This Row],[Check 4 Per Student Savings]]*CY291</f>
        <v>0</v>
      </c>
      <c r="DA291" s="21">
        <f>IF(Table1[[#This Row],[Check 4 Status]]="Continued", Table1[[#This Row],[Check 4 Students Fall]], 0)</f>
        <v>0</v>
      </c>
      <c r="DB291" s="58">
        <f>Table1[[#This Row],[Check 4 Per Student Savings]]*DA291</f>
        <v>0</v>
      </c>
      <c r="DC291" s="21">
        <f>IF(Table1[[#This Row],[Check 4 Status]]="Continued", Table1[[#This Row],[Check 4 Students Spring]], 0)</f>
        <v>0</v>
      </c>
      <c r="DD291" s="58">
        <f>Table1[[#This Row],[Check 4 Per Student Savings]]*DC291</f>
        <v>0</v>
      </c>
      <c r="DE291" s="58">
        <f t="shared" si="194"/>
        <v>0</v>
      </c>
      <c r="DF291" s="58">
        <f t="shared" si="195"/>
        <v>0</v>
      </c>
      <c r="DG29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302</v>
      </c>
      <c r="DH29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51038</v>
      </c>
      <c r="DI291" s="58">
        <f>Table1[[#This Row],[Grand Total Savings]]/Table1[[#This Row],[Total Award]]</f>
        <v>4.7257407407407408</v>
      </c>
      <c r="DJ291" s="17"/>
      <c r="DK291" s="17"/>
      <c r="DL291" s="17"/>
      <c r="DM291" s="17"/>
      <c r="DX291" s="21"/>
      <c r="DY291" s="58"/>
      <c r="DZ291" s="21"/>
      <c r="EA291" s="21"/>
      <c r="EC291" s="17"/>
      <c r="ED291" s="17"/>
      <c r="EE291" s="17"/>
      <c r="EF291" s="17"/>
    </row>
    <row r="292" spans="1:136" x14ac:dyDescent="0.25">
      <c r="A292" s="163">
        <v>427</v>
      </c>
      <c r="B292" s="163"/>
      <c r="C292" s="191" t="s">
        <v>129</v>
      </c>
      <c r="D292" s="108">
        <v>516182</v>
      </c>
      <c r="E292" s="199"/>
      <c r="F292" s="197"/>
      <c r="G292" s="198" t="s">
        <v>1280</v>
      </c>
      <c r="H292" s="95" t="s">
        <v>6</v>
      </c>
      <c r="I292" s="229" t="s">
        <v>118</v>
      </c>
      <c r="J292" s="17" t="s">
        <v>677</v>
      </c>
      <c r="K292" s="113">
        <v>10800</v>
      </c>
      <c r="L292" s="113" t="s">
        <v>1287</v>
      </c>
      <c r="M292" s="197" t="s">
        <v>1366</v>
      </c>
      <c r="N292" s="197" t="s">
        <v>1367</v>
      </c>
      <c r="O292" s="197" t="s">
        <v>1368</v>
      </c>
      <c r="P292" s="197" t="s">
        <v>1369</v>
      </c>
      <c r="Q292" s="101" t="s">
        <v>192</v>
      </c>
      <c r="R292" s="197"/>
      <c r="S292" s="197"/>
      <c r="T292" s="17" t="s">
        <v>125</v>
      </c>
      <c r="U292" s="17" t="s">
        <v>1095</v>
      </c>
      <c r="V292" s="17" t="s">
        <v>1095</v>
      </c>
      <c r="W292" s="17" t="s">
        <v>1095</v>
      </c>
      <c r="X292" s="17" t="s">
        <v>1095</v>
      </c>
      <c r="Y292" s="58">
        <v>36997</v>
      </c>
      <c r="Z292" s="17">
        <v>98</v>
      </c>
      <c r="AA292" s="58">
        <v>141.75</v>
      </c>
      <c r="AB292" s="114">
        <v>25</v>
      </c>
      <c r="AC292" s="114">
        <v>39</v>
      </c>
      <c r="AD292" s="114">
        <v>34</v>
      </c>
      <c r="AE292" s="17" t="s">
        <v>1287</v>
      </c>
      <c r="AF292" s="17" t="s">
        <v>129</v>
      </c>
      <c r="AG292" s="115"/>
      <c r="AH292" s="115"/>
      <c r="AI292" s="111" t="s">
        <v>130</v>
      </c>
      <c r="AJ292" s="110">
        <v>0</v>
      </c>
      <c r="AK292" s="112">
        <v>0</v>
      </c>
      <c r="AL292" s="110">
        <v>0</v>
      </c>
      <c r="AM292" s="112">
        <v>0</v>
      </c>
      <c r="AN292" s="110">
        <v>0</v>
      </c>
      <c r="AO292" s="112">
        <v>0</v>
      </c>
      <c r="AP292" s="110">
        <v>0</v>
      </c>
      <c r="AQ292" s="112">
        <v>0</v>
      </c>
      <c r="AR292" s="110">
        <v>0</v>
      </c>
      <c r="AS292" s="112">
        <v>0</v>
      </c>
      <c r="AT292" s="110">
        <v>0</v>
      </c>
      <c r="AU292" s="112">
        <v>0</v>
      </c>
      <c r="AV292" s="110">
        <v>0</v>
      </c>
      <c r="AW292" s="112">
        <v>0</v>
      </c>
      <c r="AX292" s="112">
        <v>0</v>
      </c>
      <c r="AY292" s="112">
        <v>0</v>
      </c>
      <c r="AZ292" s="112">
        <v>0</v>
      </c>
      <c r="BA292" s="112">
        <v>0</v>
      </c>
      <c r="BB292" s="112">
        <v>0</v>
      </c>
      <c r="BC292" s="112">
        <v>0</v>
      </c>
      <c r="BD292" s="112">
        <v>0</v>
      </c>
      <c r="BE292" s="112">
        <v>0</v>
      </c>
      <c r="BF292" s="112">
        <v>0</v>
      </c>
      <c r="BG292" s="112">
        <v>0</v>
      </c>
      <c r="BH292" s="112">
        <v>0</v>
      </c>
      <c r="BI292" s="112">
        <v>0</v>
      </c>
      <c r="BJ292" s="112">
        <v>0</v>
      </c>
      <c r="BK292" s="112">
        <v>0</v>
      </c>
      <c r="BL292" s="17" t="s">
        <v>130</v>
      </c>
      <c r="BM292" s="21">
        <v>25</v>
      </c>
      <c r="BN292" s="21">
        <v>39</v>
      </c>
      <c r="BO292" s="21">
        <v>34</v>
      </c>
      <c r="BP292" s="31">
        <f t="shared" si="197"/>
        <v>98</v>
      </c>
      <c r="BQ292" s="58">
        <v>141.75</v>
      </c>
      <c r="BR292" s="115">
        <f>Table1[[#This Row],[Check 2 Students Total]]*Table1[[#This Row],[Summer 2018 Price Check]]</f>
        <v>13891.5</v>
      </c>
      <c r="BS292" s="31">
        <v>0</v>
      </c>
      <c r="BT292" s="58">
        <f>Table1[[#This Row],[Summer 2018 Price Check]]*BS292</f>
        <v>0</v>
      </c>
      <c r="BU292" s="31">
        <v>0</v>
      </c>
      <c r="BV292" s="58">
        <v>0</v>
      </c>
      <c r="BW292" s="21">
        <v>0</v>
      </c>
      <c r="BX292" s="58">
        <f>Table1[[#This Row],[Summer 2018 Price Check]]*Table1[[#This Row],[Spring 2019 Students]]</f>
        <v>0</v>
      </c>
      <c r="BY292" s="31">
        <f t="shared" si="187"/>
        <v>0</v>
      </c>
      <c r="BZ292" s="58">
        <f t="shared" si="188"/>
        <v>0</v>
      </c>
      <c r="CA292" s="17" t="s">
        <v>130</v>
      </c>
      <c r="CB292" s="21">
        <v>25</v>
      </c>
      <c r="CC292" s="21">
        <v>39</v>
      </c>
      <c r="CD292" s="21">
        <v>34</v>
      </c>
      <c r="CE292" s="21">
        <f t="shared" si="196"/>
        <v>98</v>
      </c>
      <c r="CF292" s="58">
        <v>141.75</v>
      </c>
      <c r="CG292" s="58">
        <f t="shared" si="189"/>
        <v>13891.5</v>
      </c>
      <c r="CH292" s="17" t="s">
        <v>1287</v>
      </c>
      <c r="CI292" s="21">
        <v>0</v>
      </c>
      <c r="CJ292" s="58">
        <f>Table1[[#This Row],[Check 3 Per Student Savings]]*CI292</f>
        <v>0</v>
      </c>
      <c r="CK292" s="21">
        <v>0</v>
      </c>
      <c r="CL292" s="58">
        <f>Table1[[#This Row],[Check 3 Per Student Savings]]*CK292</f>
        <v>0</v>
      </c>
      <c r="CM292" s="21">
        <f>IF(Table1[[#This Row],[Check 3 Status]]="Continued", Table1[[#This Row],[Check 3 Students Spring]], 0)</f>
        <v>34</v>
      </c>
      <c r="CN292" s="58">
        <f>Table1[[#This Row],[Check 3 Per Student Savings]]*CM292</f>
        <v>4819.5</v>
      </c>
      <c r="CO292" s="21">
        <f t="shared" si="190"/>
        <v>34</v>
      </c>
      <c r="CP292" s="58">
        <f t="shared" si="191"/>
        <v>4819.5</v>
      </c>
      <c r="CQ292" s="221" t="s">
        <v>130</v>
      </c>
      <c r="CR292" s="21">
        <v>25</v>
      </c>
      <c r="CS292" s="21">
        <v>39</v>
      </c>
      <c r="CT292" s="21">
        <v>34</v>
      </c>
      <c r="CU292" s="21">
        <f t="shared" si="192"/>
        <v>98</v>
      </c>
      <c r="CV292" s="58">
        <v>141.75</v>
      </c>
      <c r="CW292" s="58">
        <f t="shared" si="193"/>
        <v>13891.5</v>
      </c>
      <c r="CX292" s="58"/>
      <c r="CY292" s="21">
        <f>IF(Table1[[#This Row],[Check 4 Status]]="Continued", Table1[[#This Row],[Check 4 Students Summer]], 0)</f>
        <v>25</v>
      </c>
      <c r="CZ292" s="58">
        <f>Table1[[#This Row],[Check 4 Per Student Savings]]*CY292</f>
        <v>3543.75</v>
      </c>
      <c r="DA292" s="21">
        <f>IF(Table1[[#This Row],[Check 4 Status]]="Continued", Table1[[#This Row],[Check 4 Students Fall]], 0)</f>
        <v>39</v>
      </c>
      <c r="DB292" s="58">
        <f>Table1[[#This Row],[Check 4 Per Student Savings]]*DA292</f>
        <v>5528.25</v>
      </c>
      <c r="DC292" s="21">
        <f>IF(Table1[[#This Row],[Check 4 Status]]="Continued", Table1[[#This Row],[Check 4 Students Spring]], 0)</f>
        <v>34</v>
      </c>
      <c r="DD292" s="58">
        <f>Table1[[#This Row],[Check 4 Per Student Savings]]*DC292</f>
        <v>4819.5</v>
      </c>
      <c r="DE292" s="58">
        <f t="shared" si="194"/>
        <v>98</v>
      </c>
      <c r="DF292" s="58">
        <f t="shared" si="195"/>
        <v>13891.5</v>
      </c>
      <c r="DG29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132</v>
      </c>
      <c r="DH29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18711</v>
      </c>
      <c r="DI292" s="58">
        <f>Table1[[#This Row],[Grand Total Savings]]/Table1[[#This Row],[Total Award]]</f>
        <v>1.7324999999999999</v>
      </c>
      <c r="DJ292" s="17"/>
      <c r="DK292" s="17"/>
      <c r="DL292" s="17"/>
      <c r="DM292" s="17"/>
      <c r="DX292" s="21"/>
      <c r="DY292" s="58"/>
      <c r="DZ292" s="21"/>
      <c r="EA292" s="21"/>
      <c r="EC292" s="17"/>
      <c r="ED292" s="17"/>
      <c r="EE292" s="17"/>
      <c r="EF292" s="17"/>
    </row>
    <row r="293" spans="1:136" x14ac:dyDescent="0.25">
      <c r="A293" s="163">
        <v>428</v>
      </c>
      <c r="B293" s="163"/>
      <c r="C293" s="191" t="s">
        <v>129</v>
      </c>
      <c r="D293" s="108">
        <v>516193</v>
      </c>
      <c r="E293" s="199"/>
      <c r="F293" s="197"/>
      <c r="G293" s="198" t="s">
        <v>1280</v>
      </c>
      <c r="H293" s="95" t="s">
        <v>6</v>
      </c>
      <c r="I293" s="229" t="s">
        <v>118</v>
      </c>
      <c r="J293" s="17" t="s">
        <v>677</v>
      </c>
      <c r="K293" s="113">
        <v>10800</v>
      </c>
      <c r="L293" s="113" t="s">
        <v>1287</v>
      </c>
      <c r="M293" s="197" t="s">
        <v>1370</v>
      </c>
      <c r="N293" s="197" t="s">
        <v>1371</v>
      </c>
      <c r="O293" s="197" t="s">
        <v>1372</v>
      </c>
      <c r="P293" s="197" t="s">
        <v>1373</v>
      </c>
      <c r="Q293" s="101" t="s">
        <v>192</v>
      </c>
      <c r="R293" s="197"/>
      <c r="S293" s="197"/>
      <c r="T293" s="17" t="s">
        <v>125</v>
      </c>
      <c r="U293" s="17" t="s">
        <v>1095</v>
      </c>
      <c r="V293" s="17" t="s">
        <v>1095</v>
      </c>
      <c r="W293" s="17" t="s">
        <v>1095</v>
      </c>
      <c r="X293" s="17" t="s">
        <v>1095</v>
      </c>
      <c r="Y293" s="58">
        <v>36950</v>
      </c>
      <c r="Z293" s="17">
        <v>177</v>
      </c>
      <c r="AA293" s="58">
        <v>381.75</v>
      </c>
      <c r="AB293" s="114">
        <v>42</v>
      </c>
      <c r="AC293" s="114">
        <v>63</v>
      </c>
      <c r="AD293" s="114">
        <v>72</v>
      </c>
      <c r="AE293" s="17" t="s">
        <v>1287</v>
      </c>
      <c r="AF293" s="17" t="s">
        <v>129</v>
      </c>
      <c r="AG293" s="115"/>
      <c r="AH293" s="115"/>
      <c r="AI293" s="111" t="s">
        <v>130</v>
      </c>
      <c r="AJ293" s="110">
        <v>0</v>
      </c>
      <c r="AK293" s="112">
        <v>0</v>
      </c>
      <c r="AL293" s="110">
        <v>0</v>
      </c>
      <c r="AM293" s="112">
        <v>0</v>
      </c>
      <c r="AN293" s="110">
        <v>0</v>
      </c>
      <c r="AO293" s="112">
        <v>0</v>
      </c>
      <c r="AP293" s="110">
        <v>0</v>
      </c>
      <c r="AQ293" s="112">
        <v>0</v>
      </c>
      <c r="AR293" s="110">
        <v>0</v>
      </c>
      <c r="AS293" s="112">
        <v>0</v>
      </c>
      <c r="AT293" s="110">
        <v>0</v>
      </c>
      <c r="AU293" s="112">
        <v>0</v>
      </c>
      <c r="AV293" s="110">
        <v>0</v>
      </c>
      <c r="AW293" s="112">
        <v>0</v>
      </c>
      <c r="AX293" s="112">
        <v>0</v>
      </c>
      <c r="AY293" s="112">
        <v>0</v>
      </c>
      <c r="AZ293" s="112">
        <v>0</v>
      </c>
      <c r="BA293" s="112">
        <v>0</v>
      </c>
      <c r="BB293" s="112">
        <v>0</v>
      </c>
      <c r="BC293" s="112">
        <v>0</v>
      </c>
      <c r="BD293" s="112">
        <v>0</v>
      </c>
      <c r="BE293" s="112">
        <v>0</v>
      </c>
      <c r="BF293" s="112">
        <v>0</v>
      </c>
      <c r="BG293" s="112">
        <v>0</v>
      </c>
      <c r="BH293" s="112">
        <v>0</v>
      </c>
      <c r="BI293" s="112">
        <v>0</v>
      </c>
      <c r="BJ293" s="112">
        <v>0</v>
      </c>
      <c r="BK293" s="112">
        <v>0</v>
      </c>
      <c r="BL293" s="17" t="s">
        <v>130</v>
      </c>
      <c r="BM293" s="21">
        <v>42</v>
      </c>
      <c r="BN293" s="21">
        <v>63</v>
      </c>
      <c r="BO293" s="21">
        <v>72</v>
      </c>
      <c r="BP293" s="31">
        <f t="shared" si="197"/>
        <v>177</v>
      </c>
      <c r="BQ293" s="58">
        <v>381.75</v>
      </c>
      <c r="BR293" s="115">
        <f>Table1[[#This Row],[Check 2 Students Total]]*Table1[[#This Row],[Summer 2018 Price Check]]</f>
        <v>67569.75</v>
      </c>
      <c r="BS293" s="31">
        <v>0</v>
      </c>
      <c r="BT293" s="58">
        <f>Table1[[#This Row],[Summer 2018 Price Check]]*BS293</f>
        <v>0</v>
      </c>
      <c r="BU293" s="31">
        <v>0</v>
      </c>
      <c r="BV293" s="58">
        <v>0</v>
      </c>
      <c r="BW293" s="21">
        <v>0</v>
      </c>
      <c r="BX293" s="58">
        <f>Table1[[#This Row],[Summer 2018 Price Check]]*Table1[[#This Row],[Spring 2019 Students]]</f>
        <v>0</v>
      </c>
      <c r="BY293" s="31">
        <f t="shared" si="187"/>
        <v>0</v>
      </c>
      <c r="BZ293" s="58">
        <f t="shared" si="188"/>
        <v>0</v>
      </c>
      <c r="CA293" s="17" t="s">
        <v>130</v>
      </c>
      <c r="CB293" s="21">
        <v>42</v>
      </c>
      <c r="CC293" s="21">
        <v>63</v>
      </c>
      <c r="CD293" s="21">
        <v>72</v>
      </c>
      <c r="CE293" s="21">
        <f t="shared" si="196"/>
        <v>177</v>
      </c>
      <c r="CF293" s="58">
        <v>381.75</v>
      </c>
      <c r="CG293" s="58">
        <f t="shared" si="189"/>
        <v>67569.75</v>
      </c>
      <c r="CH293" s="17" t="s">
        <v>1287</v>
      </c>
      <c r="CI293" s="21">
        <v>0</v>
      </c>
      <c r="CJ293" s="58">
        <f>Table1[[#This Row],[Check 3 Per Student Savings]]*CI293</f>
        <v>0</v>
      </c>
      <c r="CK293" s="21">
        <v>0</v>
      </c>
      <c r="CL293" s="58">
        <f>Table1[[#This Row],[Check 3 Per Student Savings]]*CK293</f>
        <v>0</v>
      </c>
      <c r="CM293" s="21">
        <f>IF(Table1[[#This Row],[Check 3 Status]]="Continued", Table1[[#This Row],[Check 3 Students Spring]], 0)</f>
        <v>72</v>
      </c>
      <c r="CN293" s="58">
        <f>Table1[[#This Row],[Check 3 Per Student Savings]]*CM293</f>
        <v>27486</v>
      </c>
      <c r="CO293" s="21">
        <f t="shared" si="190"/>
        <v>72</v>
      </c>
      <c r="CP293" s="58">
        <f t="shared" si="191"/>
        <v>27486</v>
      </c>
      <c r="CQ293" s="221" t="s">
        <v>130</v>
      </c>
      <c r="CR293" s="21">
        <v>42</v>
      </c>
      <c r="CS293" s="21">
        <v>63</v>
      </c>
      <c r="CT293" s="21">
        <v>72</v>
      </c>
      <c r="CU293" s="21">
        <f t="shared" si="192"/>
        <v>177</v>
      </c>
      <c r="CV293" s="58">
        <v>381.75</v>
      </c>
      <c r="CW293" s="58">
        <f t="shared" si="193"/>
        <v>67569.75</v>
      </c>
      <c r="CX293" s="58"/>
      <c r="CY293" s="21">
        <f>IF(Table1[[#This Row],[Check 4 Status]]="Continued", Table1[[#This Row],[Check 4 Students Summer]], 0)</f>
        <v>42</v>
      </c>
      <c r="CZ293" s="58">
        <f>Table1[[#This Row],[Check 4 Per Student Savings]]*CY293</f>
        <v>16033.5</v>
      </c>
      <c r="DA293" s="21">
        <f>IF(Table1[[#This Row],[Check 4 Status]]="Continued", Table1[[#This Row],[Check 4 Students Fall]], 0)</f>
        <v>63</v>
      </c>
      <c r="DB293" s="58">
        <f>Table1[[#This Row],[Check 4 Per Student Savings]]*DA293</f>
        <v>24050.25</v>
      </c>
      <c r="DC293" s="21">
        <f>IF(Table1[[#This Row],[Check 4 Status]]="Continued", Table1[[#This Row],[Check 4 Students Spring]], 0)</f>
        <v>72</v>
      </c>
      <c r="DD293" s="58">
        <f>Table1[[#This Row],[Check 4 Per Student Savings]]*DC293</f>
        <v>27486</v>
      </c>
      <c r="DE293" s="58">
        <f t="shared" si="194"/>
        <v>177</v>
      </c>
      <c r="DF293" s="58">
        <f t="shared" si="195"/>
        <v>67569.75</v>
      </c>
      <c r="DG29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249</v>
      </c>
      <c r="DH29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95055.75</v>
      </c>
      <c r="DI293" s="58">
        <f>Table1[[#This Row],[Grand Total Savings]]/Table1[[#This Row],[Total Award]]</f>
        <v>8.8014583333333327</v>
      </c>
      <c r="DJ293" s="17"/>
      <c r="DK293" s="17"/>
      <c r="DL293" s="17"/>
      <c r="DM293" s="17"/>
      <c r="DX293" s="21"/>
      <c r="DY293" s="58"/>
      <c r="DZ293" s="21"/>
      <c r="EA293" s="21"/>
      <c r="EC293" s="17"/>
      <c r="ED293" s="17"/>
      <c r="EE293" s="17"/>
      <c r="EF293" s="17"/>
    </row>
    <row r="294" spans="1:136" x14ac:dyDescent="0.25">
      <c r="A294" s="191">
        <v>429</v>
      </c>
      <c r="B294" s="17" t="s">
        <v>2011</v>
      </c>
      <c r="C294" s="191" t="s">
        <v>129</v>
      </c>
      <c r="D294" s="108">
        <v>515883</v>
      </c>
      <c r="E294" s="199"/>
      <c r="F294" s="197"/>
      <c r="G294" s="198" t="s">
        <v>1280</v>
      </c>
      <c r="H294" s="95" t="s">
        <v>6</v>
      </c>
      <c r="I294" s="229" t="s">
        <v>118</v>
      </c>
      <c r="J294" s="17" t="s">
        <v>132</v>
      </c>
      <c r="K294" s="113">
        <v>30000</v>
      </c>
      <c r="L294" s="113" t="s">
        <v>1096</v>
      </c>
      <c r="M294" s="197" t="s">
        <v>990</v>
      </c>
      <c r="N294" s="197" t="s">
        <v>991</v>
      </c>
      <c r="O294" s="197" t="s">
        <v>1374</v>
      </c>
      <c r="P294" s="197" t="s">
        <v>1375</v>
      </c>
      <c r="Q294" s="101" t="s">
        <v>177</v>
      </c>
      <c r="R294" s="197"/>
      <c r="S294" s="197"/>
      <c r="T294" s="17" t="s">
        <v>129</v>
      </c>
      <c r="U294" s="17" t="s">
        <v>1095</v>
      </c>
      <c r="V294" s="17" t="s">
        <v>150</v>
      </c>
      <c r="W294" s="17" t="s">
        <v>127</v>
      </c>
      <c r="X294" s="17" t="s">
        <v>127</v>
      </c>
      <c r="Y294" s="58">
        <v>477162</v>
      </c>
      <c r="Z294" s="17">
        <v>882</v>
      </c>
      <c r="AA294" s="58">
        <v>108.2</v>
      </c>
      <c r="AB294" s="114" t="s">
        <v>1376</v>
      </c>
      <c r="AC294" s="114" t="s">
        <v>1377</v>
      </c>
      <c r="AD294" s="114" t="s">
        <v>1378</v>
      </c>
      <c r="AE294" s="17" t="s">
        <v>1096</v>
      </c>
      <c r="AF294" s="17" t="s">
        <v>129</v>
      </c>
      <c r="AG294" s="115"/>
      <c r="AH294" s="115"/>
      <c r="AI294" s="111" t="s">
        <v>130</v>
      </c>
      <c r="AJ294" s="110">
        <v>0</v>
      </c>
      <c r="AK294" s="112">
        <v>0</v>
      </c>
      <c r="AL294" s="110">
        <v>0</v>
      </c>
      <c r="AM294" s="112">
        <v>0</v>
      </c>
      <c r="AN294" s="110">
        <v>0</v>
      </c>
      <c r="AO294" s="112">
        <v>0</v>
      </c>
      <c r="AP294" s="110">
        <v>0</v>
      </c>
      <c r="AQ294" s="112">
        <v>0</v>
      </c>
      <c r="AR294" s="110">
        <v>0</v>
      </c>
      <c r="AS294" s="112">
        <v>0</v>
      </c>
      <c r="AT294" s="110">
        <v>0</v>
      </c>
      <c r="AU294" s="112">
        <v>0</v>
      </c>
      <c r="AV294" s="110">
        <v>0</v>
      </c>
      <c r="AW294" s="112">
        <v>0</v>
      </c>
      <c r="AX294" s="112">
        <v>0</v>
      </c>
      <c r="AY294" s="112">
        <v>0</v>
      </c>
      <c r="AZ294" s="112">
        <v>0</v>
      </c>
      <c r="BA294" s="112">
        <v>0</v>
      </c>
      <c r="BB294" s="112">
        <v>0</v>
      </c>
      <c r="BC294" s="112">
        <v>0</v>
      </c>
      <c r="BD294" s="112">
        <v>0</v>
      </c>
      <c r="BE294" s="112">
        <v>0</v>
      </c>
      <c r="BF294" s="112">
        <v>0</v>
      </c>
      <c r="BG294" s="112">
        <v>0</v>
      </c>
      <c r="BH294" s="112">
        <v>0</v>
      </c>
      <c r="BI294" s="112">
        <v>0</v>
      </c>
      <c r="BJ294" s="112">
        <v>0</v>
      </c>
      <c r="BK294" s="112">
        <v>0</v>
      </c>
      <c r="BL294" s="17" t="s">
        <v>130</v>
      </c>
      <c r="BM294" s="17">
        <v>178</v>
      </c>
      <c r="BN294" s="17">
        <v>411</v>
      </c>
      <c r="BO294" s="17">
        <v>293</v>
      </c>
      <c r="BP294" s="31">
        <f t="shared" si="197"/>
        <v>882</v>
      </c>
      <c r="BQ294" s="58">
        <v>108.2</v>
      </c>
      <c r="BR294" s="115">
        <f>Table1[[#This Row],[Check 2 Students Total]]*Table1[[#This Row],[Summer 2018 Price Check]]</f>
        <v>95432.400000000009</v>
      </c>
      <c r="BS294" s="31">
        <v>0</v>
      </c>
      <c r="BT294" s="58">
        <f>Table1[[#This Row],[Summer 2018 Price Check]]*BS294</f>
        <v>0</v>
      </c>
      <c r="BU294" s="31">
        <v>0</v>
      </c>
      <c r="BV294" s="58">
        <v>0</v>
      </c>
      <c r="BW294" s="21">
        <v>0</v>
      </c>
      <c r="BX294" s="58">
        <f>Table1[[#This Row],[Summer 2018 Price Check]]*Table1[[#This Row],[Spring 2019 Students]]</f>
        <v>0</v>
      </c>
      <c r="BY294" s="31">
        <f t="shared" si="187"/>
        <v>0</v>
      </c>
      <c r="BZ294" s="58">
        <f t="shared" si="188"/>
        <v>0</v>
      </c>
      <c r="CA294" s="17" t="s">
        <v>130</v>
      </c>
      <c r="CB294" s="17">
        <v>178</v>
      </c>
      <c r="CC294" s="17">
        <v>411</v>
      </c>
      <c r="CD294" s="17">
        <v>293</v>
      </c>
      <c r="CE294" s="21">
        <f t="shared" si="196"/>
        <v>882</v>
      </c>
      <c r="CF294" s="58">
        <v>108.2</v>
      </c>
      <c r="CG294" s="58">
        <f t="shared" si="189"/>
        <v>95432.400000000009</v>
      </c>
      <c r="CH294" s="17" t="s">
        <v>1096</v>
      </c>
      <c r="CI294" s="21">
        <v>0</v>
      </c>
      <c r="CJ294" s="58">
        <f>Table1[[#This Row],[Check 3 Per Student Savings]]*CI294</f>
        <v>0</v>
      </c>
      <c r="CK294" s="21">
        <f>IF(Table1[[#This Row],[Check 3 Status]]="Continued", Table1[[#This Row],[Check 3 Students Fall]], 0)</f>
        <v>411</v>
      </c>
      <c r="CL294" s="58">
        <f>Table1[[#This Row],[Check 3 Per Student Savings]]*CK294</f>
        <v>44470.200000000004</v>
      </c>
      <c r="CM294" s="21">
        <f>IF(Table1[[#This Row],[Check 3 Status]]="Continued", Table1[[#This Row],[Check 3 Students Spring]], 0)</f>
        <v>293</v>
      </c>
      <c r="CN294" s="58">
        <f>Table1[[#This Row],[Check 3 Per Student Savings]]*CM294</f>
        <v>31702.600000000002</v>
      </c>
      <c r="CO294" s="21">
        <f t="shared" si="190"/>
        <v>704</v>
      </c>
      <c r="CP294" s="58">
        <f t="shared" si="191"/>
        <v>76172.800000000003</v>
      </c>
      <c r="CQ294" s="58" t="s">
        <v>141</v>
      </c>
      <c r="CR294" s="21">
        <v>178</v>
      </c>
      <c r="CS294" s="21">
        <v>411</v>
      </c>
      <c r="CT294" s="21">
        <v>293</v>
      </c>
      <c r="CU294" s="21">
        <v>0</v>
      </c>
      <c r="CV294" s="58">
        <v>108.2</v>
      </c>
      <c r="CW294" s="58">
        <f t="shared" si="193"/>
        <v>0</v>
      </c>
      <c r="CX294" s="58"/>
      <c r="CY294" s="21">
        <f>IF(Table1[[#This Row],[Check 4 Status]]="Continued", Table1[[#This Row],[Check 4 Students Summer]], 0)</f>
        <v>0</v>
      </c>
      <c r="CZ294" s="58">
        <f>Table1[[#This Row],[Check 4 Per Student Savings]]*CY294</f>
        <v>0</v>
      </c>
      <c r="DA294" s="21">
        <f>IF(Table1[[#This Row],[Check 4 Status]]="Continued", Table1[[#This Row],[Check 4 Students Fall]], 0)</f>
        <v>0</v>
      </c>
      <c r="DB294" s="58">
        <f>Table1[[#This Row],[Check 4 Per Student Savings]]*DA294</f>
        <v>0</v>
      </c>
      <c r="DC294" s="21">
        <f>IF(Table1[[#This Row],[Check 4 Status]]="Continued", Table1[[#This Row],[Check 4 Students Spring]], 0)</f>
        <v>0</v>
      </c>
      <c r="DD294" s="58">
        <f>Table1[[#This Row],[Check 4 Per Student Savings]]*DC294</f>
        <v>0</v>
      </c>
      <c r="DE294" s="58">
        <f t="shared" si="194"/>
        <v>0</v>
      </c>
      <c r="DF294" s="58">
        <f t="shared" si="195"/>
        <v>0</v>
      </c>
      <c r="DG29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704</v>
      </c>
      <c r="DH29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76172.800000000003</v>
      </c>
      <c r="DI294" s="58">
        <f>Table1[[#This Row],[Grand Total Savings]]/Table1[[#This Row],[Total Award]]</f>
        <v>2.5390933333333336</v>
      </c>
      <c r="DJ294" s="17"/>
      <c r="DK294" s="17"/>
      <c r="DL294" s="17"/>
      <c r="DM294" s="17"/>
      <c r="DX294" s="21"/>
      <c r="DY294" s="58"/>
      <c r="DZ294" s="21"/>
      <c r="EA294" s="21"/>
      <c r="EC294" s="17"/>
      <c r="ED294" s="17"/>
      <c r="EE294" s="17"/>
      <c r="EF294" s="17"/>
    </row>
    <row r="295" spans="1:136" x14ac:dyDescent="0.25">
      <c r="A295" s="163">
        <v>430</v>
      </c>
      <c r="B295" s="163"/>
      <c r="C295" s="191" t="s">
        <v>129</v>
      </c>
      <c r="D295" s="108">
        <v>515787</v>
      </c>
      <c r="E295" s="196">
        <v>43587</v>
      </c>
      <c r="F295" s="197"/>
      <c r="G295" s="198" t="s">
        <v>1280</v>
      </c>
      <c r="H295" s="95" t="s">
        <v>6</v>
      </c>
      <c r="I295" s="229" t="s">
        <v>118</v>
      </c>
      <c r="J295" s="17" t="s">
        <v>236</v>
      </c>
      <c r="K295" s="113">
        <v>10800</v>
      </c>
      <c r="L295" s="113" t="s">
        <v>1287</v>
      </c>
      <c r="M295" s="197" t="s">
        <v>1379</v>
      </c>
      <c r="N295" s="197" t="s">
        <v>1380</v>
      </c>
      <c r="O295" s="197" t="s">
        <v>1381</v>
      </c>
      <c r="P295" s="197" t="s">
        <v>1382</v>
      </c>
      <c r="Q295" s="101" t="s">
        <v>488</v>
      </c>
      <c r="R295" s="197"/>
      <c r="S295" s="197"/>
      <c r="T295" s="17" t="s">
        <v>129</v>
      </c>
      <c r="U295" s="17" t="s">
        <v>1095</v>
      </c>
      <c r="V295" s="17" t="s">
        <v>1095</v>
      </c>
      <c r="W295" s="17" t="s">
        <v>1095</v>
      </c>
      <c r="X295" s="17" t="s">
        <v>1095</v>
      </c>
      <c r="Y295" s="58">
        <v>74880</v>
      </c>
      <c r="Z295" s="17">
        <v>624</v>
      </c>
      <c r="AA295" s="58">
        <v>120</v>
      </c>
      <c r="AB295" s="114" t="s">
        <v>1383</v>
      </c>
      <c r="AC295" s="114" t="s">
        <v>1384</v>
      </c>
      <c r="AD295" s="114" t="s">
        <v>1385</v>
      </c>
      <c r="AE295" s="17" t="s">
        <v>1287</v>
      </c>
      <c r="AF295" s="17" t="s">
        <v>129</v>
      </c>
      <c r="AG295" s="115"/>
      <c r="AH295" s="115"/>
      <c r="AI295" s="111" t="s">
        <v>130</v>
      </c>
      <c r="AJ295" s="110">
        <v>0</v>
      </c>
      <c r="AK295" s="112">
        <v>0</v>
      </c>
      <c r="AL295" s="110">
        <v>0</v>
      </c>
      <c r="AM295" s="112">
        <v>0</v>
      </c>
      <c r="AN295" s="110">
        <v>0</v>
      </c>
      <c r="AO295" s="112">
        <v>0</v>
      </c>
      <c r="AP295" s="110">
        <v>0</v>
      </c>
      <c r="AQ295" s="112">
        <v>0</v>
      </c>
      <c r="AR295" s="110">
        <v>0</v>
      </c>
      <c r="AS295" s="112">
        <v>0</v>
      </c>
      <c r="AT295" s="110">
        <v>0</v>
      </c>
      <c r="AU295" s="112">
        <v>0</v>
      </c>
      <c r="AV295" s="110">
        <v>0</v>
      </c>
      <c r="AW295" s="112">
        <v>0</v>
      </c>
      <c r="AX295" s="112">
        <v>0</v>
      </c>
      <c r="AY295" s="112">
        <v>0</v>
      </c>
      <c r="AZ295" s="112">
        <v>0</v>
      </c>
      <c r="BA295" s="112">
        <v>0</v>
      </c>
      <c r="BB295" s="112">
        <v>0</v>
      </c>
      <c r="BC295" s="112">
        <v>0</v>
      </c>
      <c r="BD295" s="112">
        <v>0</v>
      </c>
      <c r="BE295" s="112">
        <v>0</v>
      </c>
      <c r="BF295" s="112">
        <v>0</v>
      </c>
      <c r="BG295" s="112">
        <v>0</v>
      </c>
      <c r="BH295" s="112">
        <v>0</v>
      </c>
      <c r="BI295" s="112">
        <v>0</v>
      </c>
      <c r="BJ295" s="112">
        <v>0</v>
      </c>
      <c r="BK295" s="112">
        <v>0</v>
      </c>
      <c r="BL295" s="17" t="s">
        <v>130</v>
      </c>
      <c r="BM295" s="17">
        <v>36</v>
      </c>
      <c r="BN295" s="17">
        <v>320</v>
      </c>
      <c r="BO295" s="17">
        <v>268</v>
      </c>
      <c r="BP295" s="31">
        <f t="shared" si="197"/>
        <v>624</v>
      </c>
      <c r="BQ295" s="58">
        <v>120</v>
      </c>
      <c r="BR295" s="115">
        <f>Table1[[#This Row],[Check 2 Students Total]]*Table1[[#This Row],[Summer 2018 Price Check]]</f>
        <v>74880</v>
      </c>
      <c r="BS295" s="31">
        <v>0</v>
      </c>
      <c r="BT295" s="58">
        <f>Table1[[#This Row],[Summer 2018 Price Check]]*BS295</f>
        <v>0</v>
      </c>
      <c r="BU295" s="31">
        <v>0</v>
      </c>
      <c r="BV295" s="58">
        <v>0</v>
      </c>
      <c r="BW295" s="21">
        <v>0</v>
      </c>
      <c r="BX295" s="58">
        <f>Table1[[#This Row],[Summer 2018 Price Check]]*Table1[[#This Row],[Spring 2019 Students]]</f>
        <v>0</v>
      </c>
      <c r="BY295" s="31">
        <f t="shared" si="187"/>
        <v>0</v>
      </c>
      <c r="BZ295" s="58">
        <f t="shared" si="188"/>
        <v>0</v>
      </c>
      <c r="CA295" s="17" t="s">
        <v>130</v>
      </c>
      <c r="CB295" s="17">
        <v>36</v>
      </c>
      <c r="CC295" s="17">
        <v>320</v>
      </c>
      <c r="CD295" s="17">
        <v>268</v>
      </c>
      <c r="CE295" s="21">
        <f t="shared" si="196"/>
        <v>624</v>
      </c>
      <c r="CF295" s="58">
        <v>120</v>
      </c>
      <c r="CG295" s="58">
        <f t="shared" si="189"/>
        <v>74880</v>
      </c>
      <c r="CH295" s="17" t="s">
        <v>1287</v>
      </c>
      <c r="CI295" s="21">
        <v>0</v>
      </c>
      <c r="CJ295" s="58">
        <f>Table1[[#This Row],[Check 3 Per Student Savings]]*CI295</f>
        <v>0</v>
      </c>
      <c r="CK295" s="21">
        <v>0</v>
      </c>
      <c r="CL295" s="58">
        <f>Table1[[#This Row],[Check 3 Per Student Savings]]*CK295</f>
        <v>0</v>
      </c>
      <c r="CM295" s="21">
        <f>IF(Table1[[#This Row],[Check 3 Status]]="Continued", Table1[[#This Row],[Check 3 Students Spring]], 0)</f>
        <v>268</v>
      </c>
      <c r="CN295" s="58">
        <f>Table1[[#This Row],[Check 3 Per Student Savings]]*CM295</f>
        <v>32160</v>
      </c>
      <c r="CO295" s="21">
        <f t="shared" si="190"/>
        <v>268</v>
      </c>
      <c r="CP295" s="58">
        <f t="shared" si="191"/>
        <v>32160</v>
      </c>
      <c r="CQ295" s="221" t="s">
        <v>130</v>
      </c>
      <c r="CR295" s="21">
        <v>36</v>
      </c>
      <c r="CS295" s="21">
        <v>320</v>
      </c>
      <c r="CT295" s="21">
        <v>268</v>
      </c>
      <c r="CU295" s="21">
        <f t="shared" si="192"/>
        <v>624</v>
      </c>
      <c r="CV295" s="58">
        <v>120</v>
      </c>
      <c r="CW295" s="58">
        <f t="shared" si="193"/>
        <v>74880</v>
      </c>
      <c r="CX295" s="58"/>
      <c r="CY295" s="21">
        <f>IF(Table1[[#This Row],[Check 4 Status]]="Continued", Table1[[#This Row],[Check 4 Students Summer]], 0)</f>
        <v>36</v>
      </c>
      <c r="CZ295" s="58">
        <f>Table1[[#This Row],[Check 4 Per Student Savings]]*CY295</f>
        <v>4320</v>
      </c>
      <c r="DA295" s="21">
        <f>IF(Table1[[#This Row],[Check 4 Status]]="Continued", Table1[[#This Row],[Check 4 Students Fall]], 0)</f>
        <v>320</v>
      </c>
      <c r="DB295" s="58">
        <f>Table1[[#This Row],[Check 4 Per Student Savings]]*DA295</f>
        <v>38400</v>
      </c>
      <c r="DC295" s="21">
        <f>IF(Table1[[#This Row],[Check 4 Status]]="Continued", Table1[[#This Row],[Check 4 Students Spring]], 0)</f>
        <v>268</v>
      </c>
      <c r="DD295" s="58">
        <f>Table1[[#This Row],[Check 4 Per Student Savings]]*DC295</f>
        <v>32160</v>
      </c>
      <c r="DE295" s="58">
        <f t="shared" si="194"/>
        <v>624</v>
      </c>
      <c r="DF295" s="58">
        <f t="shared" si="195"/>
        <v>74880</v>
      </c>
      <c r="DG29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892</v>
      </c>
      <c r="DH29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107040</v>
      </c>
      <c r="DI295" s="58">
        <f>Table1[[#This Row],[Grand Total Savings]]/Table1[[#This Row],[Total Award]]</f>
        <v>9.9111111111111114</v>
      </c>
      <c r="DJ295" s="17"/>
      <c r="DK295" s="17"/>
      <c r="DL295" s="17"/>
      <c r="DM295" s="17"/>
      <c r="DX295" s="21"/>
      <c r="DY295" s="58"/>
      <c r="DZ295" s="21"/>
      <c r="EA295" s="21"/>
      <c r="EC295" s="17"/>
      <c r="ED295" s="17"/>
      <c r="EE295" s="17"/>
      <c r="EF295" s="17"/>
    </row>
    <row r="296" spans="1:136" x14ac:dyDescent="0.25">
      <c r="A296" s="191">
        <v>431</v>
      </c>
      <c r="B296" s="191"/>
      <c r="C296" s="191" t="s">
        <v>129</v>
      </c>
      <c r="D296" s="108">
        <v>515884</v>
      </c>
      <c r="E296" s="199"/>
      <c r="F296" s="197"/>
      <c r="G296" s="198" t="s">
        <v>1280</v>
      </c>
      <c r="H296" s="95" t="s">
        <v>6</v>
      </c>
      <c r="I296" s="229" t="s">
        <v>118</v>
      </c>
      <c r="J296" s="17" t="s">
        <v>132</v>
      </c>
      <c r="K296" s="113">
        <v>15800</v>
      </c>
      <c r="L296" s="113" t="s">
        <v>1287</v>
      </c>
      <c r="M296" s="197" t="s">
        <v>519</v>
      </c>
      <c r="N296" s="197" t="s">
        <v>520</v>
      </c>
      <c r="O296" s="197" t="s">
        <v>1386</v>
      </c>
      <c r="P296" s="197" t="s">
        <v>943</v>
      </c>
      <c r="Q296" s="101" t="s">
        <v>543</v>
      </c>
      <c r="R296" s="197"/>
      <c r="S296" s="197"/>
      <c r="T296" s="17" t="s">
        <v>129</v>
      </c>
      <c r="U296" s="17" t="s">
        <v>1095</v>
      </c>
      <c r="V296" s="17" t="s">
        <v>1095</v>
      </c>
      <c r="W296" s="17" t="s">
        <v>1095</v>
      </c>
      <c r="X296" s="17" t="s">
        <v>1095</v>
      </c>
      <c r="Y296" s="58">
        <v>37920</v>
      </c>
      <c r="Z296" s="17">
        <v>650</v>
      </c>
      <c r="AA296" s="58">
        <v>154.97999999999999</v>
      </c>
      <c r="AB296" s="114">
        <v>50</v>
      </c>
      <c r="AC296" s="114" t="s">
        <v>1384</v>
      </c>
      <c r="AD296" s="114" t="s">
        <v>1387</v>
      </c>
      <c r="AE296" s="17" t="s">
        <v>1287</v>
      </c>
      <c r="AF296" s="17" t="s">
        <v>129</v>
      </c>
      <c r="AG296" s="115"/>
      <c r="AH296" s="115"/>
      <c r="AI296" s="111" t="s">
        <v>130</v>
      </c>
      <c r="AJ296" s="110">
        <v>0</v>
      </c>
      <c r="AK296" s="112">
        <v>0</v>
      </c>
      <c r="AL296" s="110">
        <v>0</v>
      </c>
      <c r="AM296" s="112">
        <v>0</v>
      </c>
      <c r="AN296" s="110">
        <v>0</v>
      </c>
      <c r="AO296" s="112">
        <v>0</v>
      </c>
      <c r="AP296" s="110">
        <v>0</v>
      </c>
      <c r="AQ296" s="112">
        <v>0</v>
      </c>
      <c r="AR296" s="110">
        <v>0</v>
      </c>
      <c r="AS296" s="112">
        <v>0</v>
      </c>
      <c r="AT296" s="110">
        <v>0</v>
      </c>
      <c r="AU296" s="112">
        <v>0</v>
      </c>
      <c r="AV296" s="110">
        <v>0</v>
      </c>
      <c r="AW296" s="112">
        <v>0</v>
      </c>
      <c r="AX296" s="112">
        <v>0</v>
      </c>
      <c r="AY296" s="112">
        <v>0</v>
      </c>
      <c r="AZ296" s="112">
        <v>0</v>
      </c>
      <c r="BA296" s="112">
        <v>0</v>
      </c>
      <c r="BB296" s="112">
        <v>0</v>
      </c>
      <c r="BC296" s="112">
        <v>0</v>
      </c>
      <c r="BD296" s="112">
        <v>0</v>
      </c>
      <c r="BE296" s="112">
        <v>0</v>
      </c>
      <c r="BF296" s="112">
        <v>0</v>
      </c>
      <c r="BG296" s="112">
        <v>0</v>
      </c>
      <c r="BH296" s="112">
        <v>0</v>
      </c>
      <c r="BI296" s="112">
        <v>0</v>
      </c>
      <c r="BJ296" s="112">
        <v>0</v>
      </c>
      <c r="BK296" s="112">
        <v>0</v>
      </c>
      <c r="BL296" s="17" t="s">
        <v>130</v>
      </c>
      <c r="BM296" s="21">
        <v>50</v>
      </c>
      <c r="BN296" s="17">
        <v>320</v>
      </c>
      <c r="BO296" s="17">
        <v>280</v>
      </c>
      <c r="BP296" s="31">
        <f t="shared" si="197"/>
        <v>650</v>
      </c>
      <c r="BQ296" s="58">
        <v>154.97999999999999</v>
      </c>
      <c r="BR296" s="115">
        <f>Table1[[#This Row],[Check 2 Students Total]]*Table1[[#This Row],[Summer 2018 Price Check]]</f>
        <v>100737</v>
      </c>
      <c r="BS296" s="31">
        <v>0</v>
      </c>
      <c r="BT296" s="58">
        <f>Table1[[#This Row],[Summer 2018 Price Check]]*BS296</f>
        <v>0</v>
      </c>
      <c r="BU296" s="31">
        <v>0</v>
      </c>
      <c r="BV296" s="58">
        <v>0</v>
      </c>
      <c r="BW296" s="21">
        <v>0</v>
      </c>
      <c r="BX296" s="58">
        <f>Table1[[#This Row],[Summer 2018 Price Check]]*Table1[[#This Row],[Spring 2019 Students]]</f>
        <v>0</v>
      </c>
      <c r="BY296" s="31">
        <f t="shared" si="187"/>
        <v>0</v>
      </c>
      <c r="BZ296" s="58">
        <f t="shared" si="188"/>
        <v>0</v>
      </c>
      <c r="CA296" s="17" t="s">
        <v>130</v>
      </c>
      <c r="CB296" s="21">
        <v>50</v>
      </c>
      <c r="CC296" s="17">
        <v>320</v>
      </c>
      <c r="CD296" s="17">
        <v>280</v>
      </c>
      <c r="CE296" s="21">
        <f t="shared" si="196"/>
        <v>650</v>
      </c>
      <c r="CF296" s="58">
        <v>154.97999999999999</v>
      </c>
      <c r="CG296" s="58">
        <f t="shared" si="189"/>
        <v>100737</v>
      </c>
      <c r="CH296" s="17" t="s">
        <v>1287</v>
      </c>
      <c r="CI296" s="21">
        <v>0</v>
      </c>
      <c r="CJ296" s="58">
        <f>Table1[[#This Row],[Check 3 Per Student Savings]]*CI296</f>
        <v>0</v>
      </c>
      <c r="CK296" s="21">
        <v>0</v>
      </c>
      <c r="CL296" s="58">
        <f>Table1[[#This Row],[Check 3 Per Student Savings]]*CK296</f>
        <v>0</v>
      </c>
      <c r="CM296" s="21">
        <f>IF(Table1[[#This Row],[Check 3 Status]]="Continued", Table1[[#This Row],[Check 3 Students Spring]], 0)</f>
        <v>280</v>
      </c>
      <c r="CN296" s="58">
        <f>Table1[[#This Row],[Check 3 Per Student Savings]]*CM296</f>
        <v>43394.399999999994</v>
      </c>
      <c r="CO296" s="21">
        <f t="shared" si="190"/>
        <v>280</v>
      </c>
      <c r="CP296" s="58">
        <f t="shared" si="191"/>
        <v>43394.399999999994</v>
      </c>
      <c r="CQ296" s="221" t="s">
        <v>130</v>
      </c>
      <c r="CR296" s="21">
        <v>50</v>
      </c>
      <c r="CS296" s="21">
        <v>320</v>
      </c>
      <c r="CT296" s="21">
        <v>280</v>
      </c>
      <c r="CU296" s="21">
        <f t="shared" si="192"/>
        <v>650</v>
      </c>
      <c r="CV296" s="58">
        <v>154.97999999999999</v>
      </c>
      <c r="CW296" s="58">
        <f t="shared" si="193"/>
        <v>100737</v>
      </c>
      <c r="CX296" s="58"/>
      <c r="CY296" s="21">
        <f>IF(Table1[[#This Row],[Check 4 Status]]="Continued", Table1[[#This Row],[Check 4 Students Summer]], 0)</f>
        <v>50</v>
      </c>
      <c r="CZ296" s="58">
        <f>Table1[[#This Row],[Check 4 Per Student Savings]]*CY296</f>
        <v>7748.9999999999991</v>
      </c>
      <c r="DA296" s="21">
        <f>IF(Table1[[#This Row],[Check 4 Status]]="Continued", Table1[[#This Row],[Check 4 Students Fall]], 0)</f>
        <v>320</v>
      </c>
      <c r="DB296" s="58">
        <f>Table1[[#This Row],[Check 4 Per Student Savings]]*DA296</f>
        <v>49593.599999999999</v>
      </c>
      <c r="DC296" s="21">
        <f>IF(Table1[[#This Row],[Check 4 Status]]="Continued", Table1[[#This Row],[Check 4 Students Spring]], 0)</f>
        <v>280</v>
      </c>
      <c r="DD296" s="58">
        <f>Table1[[#This Row],[Check 4 Per Student Savings]]*DC296</f>
        <v>43394.399999999994</v>
      </c>
      <c r="DE296" s="58">
        <f t="shared" si="194"/>
        <v>650</v>
      </c>
      <c r="DF296" s="58">
        <f t="shared" si="195"/>
        <v>100737</v>
      </c>
      <c r="DG29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930</v>
      </c>
      <c r="DH29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144131.4</v>
      </c>
      <c r="DI296" s="58">
        <f>Table1[[#This Row],[Grand Total Savings]]/Table1[[#This Row],[Total Award]]</f>
        <v>9.1222405063291134</v>
      </c>
      <c r="DJ296" s="17"/>
      <c r="DK296" s="17"/>
      <c r="DL296" s="17"/>
      <c r="DM296" s="17"/>
      <c r="DX296" s="21"/>
      <c r="DY296" s="58"/>
      <c r="DZ296" s="21"/>
      <c r="EA296" s="21"/>
      <c r="EC296" s="17"/>
      <c r="ED296" s="17"/>
      <c r="EE296" s="17"/>
      <c r="EF296" s="17"/>
    </row>
    <row r="297" spans="1:136" x14ac:dyDescent="0.25">
      <c r="A297" s="163" t="s">
        <v>1388</v>
      </c>
      <c r="B297" s="163"/>
      <c r="C297" s="191" t="s">
        <v>129</v>
      </c>
      <c r="D297" s="108">
        <v>515764</v>
      </c>
      <c r="E297" s="196">
        <v>43578</v>
      </c>
      <c r="F297" s="197"/>
      <c r="G297" s="198" t="s">
        <v>1280</v>
      </c>
      <c r="H297" s="95" t="s">
        <v>6</v>
      </c>
      <c r="I297" s="139" t="s">
        <v>962</v>
      </c>
      <c r="J297" s="17" t="s">
        <v>236</v>
      </c>
      <c r="K297" s="113">
        <v>4800</v>
      </c>
      <c r="L297" s="113" t="s">
        <v>1096</v>
      </c>
      <c r="M297" s="197" t="s">
        <v>758</v>
      </c>
      <c r="N297" s="197" t="s">
        <v>759</v>
      </c>
      <c r="O297" s="101" t="s">
        <v>215</v>
      </c>
      <c r="P297" s="101" t="s">
        <v>1389</v>
      </c>
      <c r="Q297" s="101" t="s">
        <v>148</v>
      </c>
      <c r="R297" s="197"/>
      <c r="S297" s="197"/>
      <c r="T297" s="17" t="s">
        <v>13</v>
      </c>
      <c r="U297" s="17" t="s">
        <v>1095</v>
      </c>
      <c r="V297" s="17" t="s">
        <v>1095</v>
      </c>
      <c r="W297" s="17" t="s">
        <v>1095</v>
      </c>
      <c r="X297" s="17" t="s">
        <v>1095</v>
      </c>
      <c r="Y297" s="58">
        <v>0</v>
      </c>
      <c r="Z297" s="58">
        <v>0</v>
      </c>
      <c r="AA297" s="58">
        <v>0</v>
      </c>
      <c r="AB297" s="21">
        <v>0</v>
      </c>
      <c r="AC297" s="21">
        <v>0</v>
      </c>
      <c r="AD297" s="21">
        <v>0</v>
      </c>
      <c r="AE297" s="58">
        <v>0</v>
      </c>
      <c r="AF297" s="17" t="s">
        <v>129</v>
      </c>
      <c r="AG297" s="115"/>
      <c r="AH297" s="115"/>
      <c r="AI297" s="58" t="s">
        <v>964</v>
      </c>
      <c r="AJ297" s="114">
        <f t="shared" ref="AJ297:AJ310" si="198">AD297</f>
        <v>0</v>
      </c>
      <c r="AK297" s="31">
        <v>0</v>
      </c>
      <c r="AL297" s="21">
        <v>0</v>
      </c>
      <c r="AM297" s="31">
        <v>0</v>
      </c>
      <c r="AN297" s="21">
        <v>0</v>
      </c>
      <c r="AO297" s="31">
        <v>0</v>
      </c>
      <c r="AP297" s="21">
        <v>0</v>
      </c>
      <c r="AQ297" s="31">
        <v>0</v>
      </c>
      <c r="AR297" s="21">
        <v>0</v>
      </c>
      <c r="AS297" s="31">
        <v>0</v>
      </c>
      <c r="AT297" s="21">
        <v>0</v>
      </c>
      <c r="AU297" s="31">
        <v>0</v>
      </c>
      <c r="AV297" s="21">
        <v>0</v>
      </c>
      <c r="AW297" s="31">
        <v>0</v>
      </c>
      <c r="AX297" s="31">
        <v>0</v>
      </c>
      <c r="AY297" s="31">
        <v>0</v>
      </c>
      <c r="AZ297" s="31">
        <v>0</v>
      </c>
      <c r="BA297" s="31">
        <v>0</v>
      </c>
      <c r="BB297" s="31">
        <v>0</v>
      </c>
      <c r="BC297" s="31">
        <v>0</v>
      </c>
      <c r="BD297" s="31">
        <v>0</v>
      </c>
      <c r="BE297" s="31">
        <v>0</v>
      </c>
      <c r="BF297" s="31">
        <v>0</v>
      </c>
      <c r="BG297" s="31">
        <v>0</v>
      </c>
      <c r="BH297" s="31">
        <v>0</v>
      </c>
      <c r="BI297" s="31">
        <v>0</v>
      </c>
      <c r="BJ297" s="31">
        <v>0</v>
      </c>
      <c r="BK297" s="31">
        <v>0</v>
      </c>
      <c r="BL297" s="17" t="s">
        <v>964</v>
      </c>
      <c r="BM297" s="31">
        <v>0</v>
      </c>
      <c r="BN297" s="31">
        <v>0</v>
      </c>
      <c r="BO297" s="31">
        <v>0</v>
      </c>
      <c r="BP297" s="31">
        <v>0</v>
      </c>
      <c r="BQ297" s="31">
        <v>0</v>
      </c>
      <c r="BR297" s="31">
        <v>0</v>
      </c>
      <c r="BS297" s="21">
        <v>0</v>
      </c>
      <c r="BT297" s="21">
        <v>0</v>
      </c>
      <c r="BU297" s="21">
        <v>0</v>
      </c>
      <c r="BV297" s="21">
        <v>0</v>
      </c>
      <c r="BW297" s="21">
        <v>0</v>
      </c>
      <c r="BX297" s="115">
        <f>Table1[[#This Row],[Summer 2018 Price Check]]*Table1[[#This Row],[Spring 2019 Students]]</f>
        <v>0</v>
      </c>
      <c r="BY297" s="31">
        <f t="shared" si="187"/>
        <v>0</v>
      </c>
      <c r="BZ297" s="58">
        <f t="shared" si="188"/>
        <v>0</v>
      </c>
      <c r="CA297" s="17" t="s">
        <v>964</v>
      </c>
      <c r="CB297" s="21">
        <v>0</v>
      </c>
      <c r="CC297" s="21">
        <v>0</v>
      </c>
      <c r="CD297" s="21">
        <v>0</v>
      </c>
      <c r="CE297" s="21">
        <f t="shared" si="196"/>
        <v>0</v>
      </c>
      <c r="CF297" s="58"/>
      <c r="CG297" s="115">
        <f t="shared" si="189"/>
        <v>0</v>
      </c>
      <c r="CH297" s="58">
        <v>0</v>
      </c>
      <c r="CI297" s="114">
        <f>IF(Table1[[#This Row],[Check 3 Status]]="Continued", Table1[[#This Row],[Check 3 Students Summer]], 0)</f>
        <v>0</v>
      </c>
      <c r="CJ297" s="115">
        <f>Table1[[#This Row],[Check 3 Per Student Savings]]*CI297</f>
        <v>0</v>
      </c>
      <c r="CK297" s="114">
        <f>IF(Table1[[#This Row],[Check 3 Status]]="Continued", Table1[[#This Row],[Check 3 Students Fall]], 0)</f>
        <v>0</v>
      </c>
      <c r="CL297" s="115">
        <f>Table1[[#This Row],[Check 3 Per Student Savings]]*CK297</f>
        <v>0</v>
      </c>
      <c r="CM297" s="114">
        <f>IF(Table1[[#This Row],[Check 3 Status]]="Continued", Table1[[#This Row],[Check 3 Students Spring]], 0)</f>
        <v>0</v>
      </c>
      <c r="CN297" s="115">
        <f>Table1[[#This Row],[Check 3 Per Student Savings]]*CM297</f>
        <v>0</v>
      </c>
      <c r="CO297" s="114">
        <f t="shared" si="190"/>
        <v>0</v>
      </c>
      <c r="CP297" s="115">
        <f t="shared" si="191"/>
        <v>0</v>
      </c>
      <c r="CQ297" s="115" t="s">
        <v>964</v>
      </c>
      <c r="CR297" s="114">
        <v>0</v>
      </c>
      <c r="CS297" s="114">
        <v>0</v>
      </c>
      <c r="CT297" s="114">
        <v>0</v>
      </c>
      <c r="CU297" s="114">
        <f t="shared" si="192"/>
        <v>0</v>
      </c>
      <c r="CV297" s="115"/>
      <c r="CW297" s="115">
        <f t="shared" si="193"/>
        <v>0</v>
      </c>
      <c r="CX297" s="115"/>
      <c r="CY297" s="21">
        <f>IF(Table1[[#This Row],[Check 4 Status]]="Continued", Table1[[#This Row],[Check 4 Students Summer]], 0)</f>
        <v>0</v>
      </c>
      <c r="CZ297" s="58">
        <f>Table1[[#This Row],[Check 4 Per Student Savings]]*CY297</f>
        <v>0</v>
      </c>
      <c r="DA297" s="114">
        <f>IF(Table1[[#This Row],[Check 4 Status]]="Continued", Table1[[#This Row],[Check 4 Students Fall]], 0)</f>
        <v>0</v>
      </c>
      <c r="DB297" s="115">
        <f>Table1[[#This Row],[Check 4 Per Student Savings]]*DA297</f>
        <v>0</v>
      </c>
      <c r="DC297" s="21">
        <f>IF(Table1[[#This Row],[Check 4 Status]]="Continued", Table1[[#This Row],[Check 4 Students Spring]], 0)</f>
        <v>0</v>
      </c>
      <c r="DD297" s="58">
        <f>Table1[[#This Row],[Check 4 Per Student Savings]]*DC297</f>
        <v>0</v>
      </c>
      <c r="DE297" s="58">
        <f t="shared" si="194"/>
        <v>0</v>
      </c>
      <c r="DF297" s="58">
        <f t="shared" si="195"/>
        <v>0</v>
      </c>
      <c r="DG29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9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97" s="58">
        <f>Table1[[#This Row],[Grand Total Savings]]/Table1[[#This Row],[Total Award]]</f>
        <v>0</v>
      </c>
      <c r="DJ297" s="17"/>
      <c r="DK297" s="17"/>
      <c r="DL297" s="17"/>
      <c r="DM297" s="17"/>
      <c r="DX297" s="21"/>
      <c r="DY297" s="58"/>
      <c r="DZ297" s="21"/>
      <c r="EA297" s="21"/>
      <c r="EC297" s="17"/>
      <c r="ED297" s="17"/>
      <c r="EE297" s="17"/>
      <c r="EF297" s="17"/>
    </row>
    <row r="298" spans="1:136" x14ac:dyDescent="0.25">
      <c r="A298" s="163" t="s">
        <v>1390</v>
      </c>
      <c r="B298" s="163"/>
      <c r="C298" s="191" t="s">
        <v>129</v>
      </c>
      <c r="D298" s="108">
        <v>516249</v>
      </c>
      <c r="E298" s="199"/>
      <c r="F298" s="197"/>
      <c r="G298" s="198" t="s">
        <v>1280</v>
      </c>
      <c r="H298" s="95" t="s">
        <v>6</v>
      </c>
      <c r="I298" s="201" t="s">
        <v>962</v>
      </c>
      <c r="J298" s="17" t="s">
        <v>159</v>
      </c>
      <c r="K298" s="113">
        <v>4800</v>
      </c>
      <c r="L298" s="113" t="s">
        <v>1287</v>
      </c>
      <c r="M298" s="197" t="s">
        <v>1391</v>
      </c>
      <c r="N298" s="197" t="s">
        <v>1392</v>
      </c>
      <c r="O298" s="101" t="s">
        <v>1393</v>
      </c>
      <c r="P298" s="101" t="s">
        <v>1394</v>
      </c>
      <c r="Q298" s="101" t="s">
        <v>192</v>
      </c>
      <c r="R298" s="197"/>
      <c r="S298" s="197"/>
      <c r="T298" s="17" t="s">
        <v>13</v>
      </c>
      <c r="U298" s="17" t="s">
        <v>1095</v>
      </c>
      <c r="V298" s="17" t="s">
        <v>1095</v>
      </c>
      <c r="W298" s="17" t="s">
        <v>1095</v>
      </c>
      <c r="X298" s="17" t="s">
        <v>1095</v>
      </c>
      <c r="Y298" s="58">
        <v>0</v>
      </c>
      <c r="Z298" s="58">
        <v>0</v>
      </c>
      <c r="AA298" s="58">
        <v>0</v>
      </c>
      <c r="AB298" s="21">
        <v>0</v>
      </c>
      <c r="AC298" s="21">
        <v>0</v>
      </c>
      <c r="AD298" s="21">
        <v>0</v>
      </c>
      <c r="AE298" s="58">
        <v>0</v>
      </c>
      <c r="AF298" s="17" t="s">
        <v>129</v>
      </c>
      <c r="AG298" s="115"/>
      <c r="AH298" s="115"/>
      <c r="AI298" s="58" t="s">
        <v>964</v>
      </c>
      <c r="AJ298" s="114">
        <f t="shared" si="198"/>
        <v>0</v>
      </c>
      <c r="AK298" s="31">
        <v>0</v>
      </c>
      <c r="AL298" s="21">
        <v>0</v>
      </c>
      <c r="AM298" s="31">
        <v>0</v>
      </c>
      <c r="AN298" s="21">
        <v>0</v>
      </c>
      <c r="AO298" s="31">
        <v>0</v>
      </c>
      <c r="AP298" s="21">
        <v>0</v>
      </c>
      <c r="AQ298" s="31">
        <v>0</v>
      </c>
      <c r="AR298" s="21">
        <v>0</v>
      </c>
      <c r="AS298" s="31">
        <v>0</v>
      </c>
      <c r="AT298" s="21">
        <v>0</v>
      </c>
      <c r="AU298" s="31">
        <v>0</v>
      </c>
      <c r="AV298" s="21">
        <v>0</v>
      </c>
      <c r="AW298" s="31">
        <v>0</v>
      </c>
      <c r="AX298" s="31">
        <v>0</v>
      </c>
      <c r="AY298" s="31">
        <v>0</v>
      </c>
      <c r="AZ298" s="31">
        <v>0</v>
      </c>
      <c r="BA298" s="31">
        <v>0</v>
      </c>
      <c r="BB298" s="31">
        <v>0</v>
      </c>
      <c r="BC298" s="31">
        <v>0</v>
      </c>
      <c r="BD298" s="31">
        <v>0</v>
      </c>
      <c r="BE298" s="31">
        <v>0</v>
      </c>
      <c r="BF298" s="31">
        <v>0</v>
      </c>
      <c r="BG298" s="31">
        <v>0</v>
      </c>
      <c r="BH298" s="31">
        <v>0</v>
      </c>
      <c r="BI298" s="31">
        <v>0</v>
      </c>
      <c r="BJ298" s="31">
        <v>0</v>
      </c>
      <c r="BK298" s="31">
        <v>0</v>
      </c>
      <c r="BL298" s="17" t="s">
        <v>964</v>
      </c>
      <c r="BM298" s="31">
        <v>0</v>
      </c>
      <c r="BN298" s="31">
        <v>0</v>
      </c>
      <c r="BO298" s="31">
        <v>0</v>
      </c>
      <c r="BP298" s="31">
        <v>0</v>
      </c>
      <c r="BQ298" s="31">
        <v>0</v>
      </c>
      <c r="BR298" s="31">
        <v>0</v>
      </c>
      <c r="BS298" s="21">
        <v>0</v>
      </c>
      <c r="BT298" s="21">
        <v>0</v>
      </c>
      <c r="BU298" s="21">
        <v>0</v>
      </c>
      <c r="BV298" s="21">
        <v>0</v>
      </c>
      <c r="BW298" s="21">
        <v>0</v>
      </c>
      <c r="BX298" s="115">
        <f>Table1[[#This Row],[Summer 2018 Price Check]]*Table1[[#This Row],[Spring 2019 Students]]</f>
        <v>0</v>
      </c>
      <c r="BY298" s="31">
        <f t="shared" si="187"/>
        <v>0</v>
      </c>
      <c r="BZ298" s="58">
        <f t="shared" si="188"/>
        <v>0</v>
      </c>
      <c r="CA298" s="17" t="s">
        <v>964</v>
      </c>
      <c r="CB298" s="21">
        <v>0</v>
      </c>
      <c r="CC298" s="21">
        <v>0</v>
      </c>
      <c r="CD298" s="21">
        <v>0</v>
      </c>
      <c r="CE298" s="21">
        <f t="shared" si="196"/>
        <v>0</v>
      </c>
      <c r="CF298" s="58"/>
      <c r="CG298" s="115">
        <f t="shared" si="189"/>
        <v>0</v>
      </c>
      <c r="CH298" s="58">
        <v>0</v>
      </c>
      <c r="CI298" s="114">
        <f>IF(Table1[[#This Row],[Check 3 Status]]="Continued", Table1[[#This Row],[Check 3 Students Summer]], 0)</f>
        <v>0</v>
      </c>
      <c r="CJ298" s="115">
        <f>Table1[[#This Row],[Check 3 Per Student Savings]]*CI298</f>
        <v>0</v>
      </c>
      <c r="CK298" s="114">
        <f>IF(Table1[[#This Row],[Check 3 Status]]="Continued", Table1[[#This Row],[Check 3 Students Fall]], 0)</f>
        <v>0</v>
      </c>
      <c r="CL298" s="115">
        <f>Table1[[#This Row],[Check 3 Per Student Savings]]*CK298</f>
        <v>0</v>
      </c>
      <c r="CM298" s="114">
        <f>IF(Table1[[#This Row],[Check 3 Status]]="Continued", Table1[[#This Row],[Check 3 Students Spring]], 0)</f>
        <v>0</v>
      </c>
      <c r="CN298" s="115">
        <f>Table1[[#This Row],[Check 3 Per Student Savings]]*CM298</f>
        <v>0</v>
      </c>
      <c r="CO298" s="114">
        <f t="shared" si="190"/>
        <v>0</v>
      </c>
      <c r="CP298" s="115">
        <f t="shared" si="191"/>
        <v>0</v>
      </c>
      <c r="CQ298" s="115" t="s">
        <v>964</v>
      </c>
      <c r="CR298" s="114">
        <v>0</v>
      </c>
      <c r="CS298" s="114">
        <v>0</v>
      </c>
      <c r="CT298" s="114">
        <v>0</v>
      </c>
      <c r="CU298" s="114">
        <f t="shared" si="192"/>
        <v>0</v>
      </c>
      <c r="CV298" s="115"/>
      <c r="CW298" s="115">
        <f t="shared" si="193"/>
        <v>0</v>
      </c>
      <c r="CX298" s="115"/>
      <c r="CY298" s="21">
        <f>IF(Table1[[#This Row],[Check 4 Status]]="Continued", Table1[[#This Row],[Check 4 Students Summer]], 0)</f>
        <v>0</v>
      </c>
      <c r="CZ298" s="58">
        <f>Table1[[#This Row],[Check 4 Per Student Savings]]*CY298</f>
        <v>0</v>
      </c>
      <c r="DA298" s="114">
        <f>IF(Table1[[#This Row],[Check 4 Status]]="Continued", Table1[[#This Row],[Check 4 Students Fall]], 0)</f>
        <v>0</v>
      </c>
      <c r="DB298" s="115">
        <f>Table1[[#This Row],[Check 4 Per Student Savings]]*DA298</f>
        <v>0</v>
      </c>
      <c r="DC298" s="21">
        <f>IF(Table1[[#This Row],[Check 4 Status]]="Continued", Table1[[#This Row],[Check 4 Students Spring]], 0)</f>
        <v>0</v>
      </c>
      <c r="DD298" s="58">
        <f>Table1[[#This Row],[Check 4 Per Student Savings]]*DC298</f>
        <v>0</v>
      </c>
      <c r="DE298" s="58">
        <f t="shared" si="194"/>
        <v>0</v>
      </c>
      <c r="DF298" s="58">
        <f t="shared" si="195"/>
        <v>0</v>
      </c>
      <c r="DG29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9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98" s="58">
        <f>Table1[[#This Row],[Grand Total Savings]]/Table1[[#This Row],[Total Award]]</f>
        <v>0</v>
      </c>
      <c r="DJ298" s="17"/>
      <c r="DK298" s="17"/>
      <c r="DL298" s="17"/>
      <c r="DM298" s="17"/>
      <c r="DX298" s="21"/>
      <c r="DY298" s="58"/>
      <c r="DZ298" s="21"/>
      <c r="EA298" s="21"/>
      <c r="EC298" s="17"/>
      <c r="ED298" s="17"/>
      <c r="EE298" s="17"/>
      <c r="EF298" s="17"/>
    </row>
    <row r="299" spans="1:136" x14ac:dyDescent="0.25">
      <c r="A299" s="191" t="s">
        <v>1395</v>
      </c>
      <c r="B299" s="191"/>
      <c r="C299" s="191" t="s">
        <v>129</v>
      </c>
      <c r="D299" s="108">
        <v>516038</v>
      </c>
      <c r="E299" s="199"/>
      <c r="F299" s="197"/>
      <c r="G299" s="198" t="s">
        <v>1280</v>
      </c>
      <c r="H299" s="95" t="s">
        <v>6</v>
      </c>
      <c r="I299" s="201" t="s">
        <v>962</v>
      </c>
      <c r="J299" s="17" t="s">
        <v>132</v>
      </c>
      <c r="K299" s="113">
        <v>4800</v>
      </c>
      <c r="L299" s="113" t="s">
        <v>1287</v>
      </c>
      <c r="M299" s="197" t="s">
        <v>1396</v>
      </c>
      <c r="N299" s="197" t="s">
        <v>290</v>
      </c>
      <c r="O299" s="101" t="s">
        <v>1397</v>
      </c>
      <c r="P299" s="101" t="s">
        <v>1398</v>
      </c>
      <c r="Q299" s="101" t="s">
        <v>177</v>
      </c>
      <c r="R299" s="197"/>
      <c r="S299" s="197"/>
      <c r="T299" s="17" t="s">
        <v>13</v>
      </c>
      <c r="U299" s="17" t="s">
        <v>1095</v>
      </c>
      <c r="V299" s="17" t="s">
        <v>1095</v>
      </c>
      <c r="W299" s="17" t="s">
        <v>1095</v>
      </c>
      <c r="X299" s="17" t="s">
        <v>1095</v>
      </c>
      <c r="Y299" s="58">
        <v>0</v>
      </c>
      <c r="Z299" s="58">
        <v>0</v>
      </c>
      <c r="AA299" s="58">
        <v>0</v>
      </c>
      <c r="AB299" s="21">
        <v>0</v>
      </c>
      <c r="AC299" s="21">
        <v>0</v>
      </c>
      <c r="AD299" s="21">
        <v>0</v>
      </c>
      <c r="AE299" s="58">
        <v>0</v>
      </c>
      <c r="AF299" s="17" t="s">
        <v>129</v>
      </c>
      <c r="AG299" s="115"/>
      <c r="AH299" s="115"/>
      <c r="AI299" s="58" t="s">
        <v>964</v>
      </c>
      <c r="AJ299" s="114">
        <f t="shared" si="198"/>
        <v>0</v>
      </c>
      <c r="AK299" s="31">
        <v>0</v>
      </c>
      <c r="AL299" s="21">
        <v>0</v>
      </c>
      <c r="AM299" s="31">
        <v>0</v>
      </c>
      <c r="AN299" s="21">
        <v>0</v>
      </c>
      <c r="AO299" s="31">
        <v>0</v>
      </c>
      <c r="AP299" s="21">
        <v>0</v>
      </c>
      <c r="AQ299" s="31">
        <v>0</v>
      </c>
      <c r="AR299" s="21">
        <v>0</v>
      </c>
      <c r="AS299" s="31">
        <v>0</v>
      </c>
      <c r="AT299" s="21">
        <v>0</v>
      </c>
      <c r="AU299" s="31">
        <v>0</v>
      </c>
      <c r="AV299" s="21">
        <v>0</v>
      </c>
      <c r="AW299" s="31">
        <v>0</v>
      </c>
      <c r="AX299" s="31">
        <v>0</v>
      </c>
      <c r="AY299" s="31">
        <v>0</v>
      </c>
      <c r="AZ299" s="31">
        <v>0</v>
      </c>
      <c r="BA299" s="31">
        <v>0</v>
      </c>
      <c r="BB299" s="31">
        <v>0</v>
      </c>
      <c r="BC299" s="31">
        <v>0</v>
      </c>
      <c r="BD299" s="31">
        <v>0</v>
      </c>
      <c r="BE299" s="31">
        <v>0</v>
      </c>
      <c r="BF299" s="31">
        <v>0</v>
      </c>
      <c r="BG299" s="31">
        <v>0</v>
      </c>
      <c r="BH299" s="31">
        <v>0</v>
      </c>
      <c r="BI299" s="31">
        <v>0</v>
      </c>
      <c r="BJ299" s="31">
        <v>0</v>
      </c>
      <c r="BK299" s="31">
        <v>0</v>
      </c>
      <c r="BL299" s="17" t="s">
        <v>964</v>
      </c>
      <c r="BM299" s="31">
        <v>0</v>
      </c>
      <c r="BN299" s="31">
        <v>0</v>
      </c>
      <c r="BO299" s="31">
        <v>0</v>
      </c>
      <c r="BP299" s="31">
        <v>0</v>
      </c>
      <c r="BQ299" s="31">
        <v>0</v>
      </c>
      <c r="BR299" s="31">
        <v>0</v>
      </c>
      <c r="BS299" s="21">
        <v>0</v>
      </c>
      <c r="BT299" s="21">
        <v>0</v>
      </c>
      <c r="BU299" s="21">
        <v>0</v>
      </c>
      <c r="BV299" s="21">
        <v>0</v>
      </c>
      <c r="BW299" s="21">
        <v>0</v>
      </c>
      <c r="BX299" s="115">
        <f>Table1[[#This Row],[Summer 2018 Price Check]]*Table1[[#This Row],[Spring 2019 Students]]</f>
        <v>0</v>
      </c>
      <c r="BY299" s="31">
        <f t="shared" si="187"/>
        <v>0</v>
      </c>
      <c r="BZ299" s="58">
        <f t="shared" si="188"/>
        <v>0</v>
      </c>
      <c r="CA299" s="17" t="s">
        <v>964</v>
      </c>
      <c r="CB299" s="21">
        <v>0</v>
      </c>
      <c r="CC299" s="21">
        <v>0</v>
      </c>
      <c r="CD299" s="21">
        <v>0</v>
      </c>
      <c r="CE299" s="21">
        <f t="shared" si="196"/>
        <v>0</v>
      </c>
      <c r="CF299" s="58"/>
      <c r="CG299" s="115">
        <f t="shared" si="189"/>
        <v>0</v>
      </c>
      <c r="CH299" s="58">
        <v>0</v>
      </c>
      <c r="CI299" s="114">
        <f>IF(Table1[[#This Row],[Check 3 Status]]="Continued", Table1[[#This Row],[Check 3 Students Summer]], 0)</f>
        <v>0</v>
      </c>
      <c r="CJ299" s="115">
        <f>Table1[[#This Row],[Check 3 Per Student Savings]]*CI299</f>
        <v>0</v>
      </c>
      <c r="CK299" s="114">
        <f>IF(Table1[[#This Row],[Check 3 Status]]="Continued", Table1[[#This Row],[Check 3 Students Fall]], 0)</f>
        <v>0</v>
      </c>
      <c r="CL299" s="115">
        <f>Table1[[#This Row],[Check 3 Per Student Savings]]*CK299</f>
        <v>0</v>
      </c>
      <c r="CM299" s="114">
        <f>IF(Table1[[#This Row],[Check 3 Status]]="Continued", Table1[[#This Row],[Check 3 Students Spring]], 0)</f>
        <v>0</v>
      </c>
      <c r="CN299" s="115">
        <f>Table1[[#This Row],[Check 3 Per Student Savings]]*CM299</f>
        <v>0</v>
      </c>
      <c r="CO299" s="114">
        <f t="shared" si="190"/>
        <v>0</v>
      </c>
      <c r="CP299" s="115">
        <f t="shared" si="191"/>
        <v>0</v>
      </c>
      <c r="CQ299" s="115" t="s">
        <v>964</v>
      </c>
      <c r="CR299" s="114">
        <v>0</v>
      </c>
      <c r="CS299" s="114">
        <v>0</v>
      </c>
      <c r="CT299" s="114">
        <v>0</v>
      </c>
      <c r="CU299" s="114">
        <f t="shared" si="192"/>
        <v>0</v>
      </c>
      <c r="CV299" s="115"/>
      <c r="CW299" s="115">
        <f t="shared" si="193"/>
        <v>0</v>
      </c>
      <c r="CX299" s="115"/>
      <c r="CY299" s="21">
        <f>IF(Table1[[#This Row],[Check 4 Status]]="Continued", Table1[[#This Row],[Check 4 Students Summer]], 0)</f>
        <v>0</v>
      </c>
      <c r="CZ299" s="58">
        <f>Table1[[#This Row],[Check 4 Per Student Savings]]*CY299</f>
        <v>0</v>
      </c>
      <c r="DA299" s="114">
        <f>IF(Table1[[#This Row],[Check 4 Status]]="Continued", Table1[[#This Row],[Check 4 Students Fall]], 0)</f>
        <v>0</v>
      </c>
      <c r="DB299" s="115">
        <f>Table1[[#This Row],[Check 4 Per Student Savings]]*DA299</f>
        <v>0</v>
      </c>
      <c r="DC299" s="21">
        <f>IF(Table1[[#This Row],[Check 4 Status]]="Continued", Table1[[#This Row],[Check 4 Students Spring]], 0)</f>
        <v>0</v>
      </c>
      <c r="DD299" s="58">
        <f>Table1[[#This Row],[Check 4 Per Student Savings]]*DC299</f>
        <v>0</v>
      </c>
      <c r="DE299" s="58">
        <f t="shared" si="194"/>
        <v>0</v>
      </c>
      <c r="DF299" s="58">
        <f t="shared" si="195"/>
        <v>0</v>
      </c>
      <c r="DG29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29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299" s="58">
        <f>Table1[[#This Row],[Grand Total Savings]]/Table1[[#This Row],[Total Award]]</f>
        <v>0</v>
      </c>
      <c r="DJ299" s="17"/>
      <c r="DK299" s="17"/>
      <c r="DL299" s="17"/>
      <c r="DM299" s="17"/>
      <c r="DX299" s="21"/>
      <c r="DY299" s="58"/>
      <c r="DZ299" s="21"/>
      <c r="EA299" s="21"/>
      <c r="EC299" s="17"/>
      <c r="ED299" s="17"/>
      <c r="EE299" s="17"/>
      <c r="EF299" s="17"/>
    </row>
    <row r="300" spans="1:136" x14ac:dyDescent="0.25">
      <c r="A300" s="163" t="s">
        <v>1399</v>
      </c>
      <c r="B300" s="163"/>
      <c r="C300" s="191" t="s">
        <v>129</v>
      </c>
      <c r="D300" s="108">
        <v>515899</v>
      </c>
      <c r="E300" s="199"/>
      <c r="F300" s="197"/>
      <c r="G300" s="198" t="s">
        <v>1280</v>
      </c>
      <c r="H300" s="95" t="s">
        <v>6</v>
      </c>
      <c r="I300" s="201" t="s">
        <v>962</v>
      </c>
      <c r="J300" s="17" t="s">
        <v>225</v>
      </c>
      <c r="K300" s="113">
        <v>2000</v>
      </c>
      <c r="L300" s="113" t="s">
        <v>1096</v>
      </c>
      <c r="M300" s="197" t="s">
        <v>1400</v>
      </c>
      <c r="N300" s="197" t="s">
        <v>1401</v>
      </c>
      <c r="O300" s="101" t="s">
        <v>902</v>
      </c>
      <c r="P300" s="101" t="s">
        <v>903</v>
      </c>
      <c r="Q300" s="101" t="s">
        <v>206</v>
      </c>
      <c r="R300" s="197"/>
      <c r="S300" s="197"/>
      <c r="T300" s="17" t="s">
        <v>13</v>
      </c>
      <c r="U300" s="17" t="s">
        <v>1095</v>
      </c>
      <c r="V300" s="17" t="s">
        <v>1095</v>
      </c>
      <c r="W300" s="17" t="s">
        <v>1095</v>
      </c>
      <c r="X300" s="17" t="s">
        <v>1095</v>
      </c>
      <c r="Y300" s="58">
        <v>0</v>
      </c>
      <c r="Z300" s="58">
        <v>0</v>
      </c>
      <c r="AA300" s="58">
        <v>0</v>
      </c>
      <c r="AB300" s="21">
        <v>0</v>
      </c>
      <c r="AC300" s="21">
        <v>0</v>
      </c>
      <c r="AD300" s="21">
        <v>0</v>
      </c>
      <c r="AE300" s="58">
        <v>0</v>
      </c>
      <c r="AF300" s="17" t="s">
        <v>129</v>
      </c>
      <c r="AG300" s="115"/>
      <c r="AH300" s="115"/>
      <c r="AI300" s="58" t="s">
        <v>964</v>
      </c>
      <c r="AJ300" s="114">
        <f t="shared" si="198"/>
        <v>0</v>
      </c>
      <c r="AK300" s="31">
        <v>0</v>
      </c>
      <c r="AL300" s="21">
        <v>0</v>
      </c>
      <c r="AM300" s="31">
        <v>0</v>
      </c>
      <c r="AN300" s="21">
        <v>0</v>
      </c>
      <c r="AO300" s="31">
        <v>0</v>
      </c>
      <c r="AP300" s="21">
        <v>0</v>
      </c>
      <c r="AQ300" s="31">
        <v>0</v>
      </c>
      <c r="AR300" s="21">
        <v>0</v>
      </c>
      <c r="AS300" s="31">
        <v>0</v>
      </c>
      <c r="AT300" s="21">
        <v>0</v>
      </c>
      <c r="AU300" s="31">
        <v>0</v>
      </c>
      <c r="AV300" s="21">
        <v>0</v>
      </c>
      <c r="AW300" s="31">
        <v>0</v>
      </c>
      <c r="AX300" s="31">
        <v>0</v>
      </c>
      <c r="AY300" s="31">
        <v>0</v>
      </c>
      <c r="AZ300" s="31">
        <v>0</v>
      </c>
      <c r="BA300" s="31">
        <v>0</v>
      </c>
      <c r="BB300" s="31">
        <v>0</v>
      </c>
      <c r="BC300" s="31">
        <v>0</v>
      </c>
      <c r="BD300" s="31">
        <v>0</v>
      </c>
      <c r="BE300" s="31">
        <v>0</v>
      </c>
      <c r="BF300" s="31">
        <v>0</v>
      </c>
      <c r="BG300" s="31">
        <v>0</v>
      </c>
      <c r="BH300" s="31">
        <v>0</v>
      </c>
      <c r="BI300" s="31">
        <v>0</v>
      </c>
      <c r="BJ300" s="31">
        <v>0</v>
      </c>
      <c r="BK300" s="31">
        <v>0</v>
      </c>
      <c r="BL300" s="17" t="s">
        <v>964</v>
      </c>
      <c r="BM300" s="31">
        <v>0</v>
      </c>
      <c r="BN300" s="31">
        <v>0</v>
      </c>
      <c r="BO300" s="31">
        <v>0</v>
      </c>
      <c r="BP300" s="31">
        <v>0</v>
      </c>
      <c r="BQ300" s="31">
        <v>0</v>
      </c>
      <c r="BR300" s="31">
        <v>0</v>
      </c>
      <c r="BS300" s="21">
        <v>0</v>
      </c>
      <c r="BT300" s="21">
        <v>0</v>
      </c>
      <c r="BU300" s="21">
        <v>0</v>
      </c>
      <c r="BV300" s="21">
        <v>0</v>
      </c>
      <c r="BW300" s="21">
        <v>0</v>
      </c>
      <c r="BX300" s="115">
        <f>Table1[[#This Row],[Summer 2018 Price Check]]*Table1[[#This Row],[Spring 2019 Students]]</f>
        <v>0</v>
      </c>
      <c r="BY300" s="31">
        <f t="shared" si="187"/>
        <v>0</v>
      </c>
      <c r="BZ300" s="58">
        <f t="shared" si="188"/>
        <v>0</v>
      </c>
      <c r="CA300" s="17" t="s">
        <v>964</v>
      </c>
      <c r="CB300" s="21">
        <v>0</v>
      </c>
      <c r="CC300" s="21">
        <v>0</v>
      </c>
      <c r="CD300" s="21">
        <v>0</v>
      </c>
      <c r="CE300" s="21">
        <f t="shared" ref="CE300:CE331" si="199">CB300+CC300+CD300</f>
        <v>0</v>
      </c>
      <c r="CF300" s="58"/>
      <c r="CG300" s="115">
        <f t="shared" si="189"/>
        <v>0</v>
      </c>
      <c r="CH300" s="58">
        <v>0</v>
      </c>
      <c r="CI300" s="114">
        <f>IF(Table1[[#This Row],[Check 3 Status]]="Continued", Table1[[#This Row],[Check 3 Students Summer]], 0)</f>
        <v>0</v>
      </c>
      <c r="CJ300" s="115">
        <f>Table1[[#This Row],[Check 3 Per Student Savings]]*CI300</f>
        <v>0</v>
      </c>
      <c r="CK300" s="114">
        <f>IF(Table1[[#This Row],[Check 3 Status]]="Continued", Table1[[#This Row],[Check 3 Students Fall]], 0)</f>
        <v>0</v>
      </c>
      <c r="CL300" s="115">
        <f>Table1[[#This Row],[Check 3 Per Student Savings]]*CK300</f>
        <v>0</v>
      </c>
      <c r="CM300" s="114">
        <f>IF(Table1[[#This Row],[Check 3 Status]]="Continued", Table1[[#This Row],[Check 3 Students Spring]], 0)</f>
        <v>0</v>
      </c>
      <c r="CN300" s="115">
        <f>Table1[[#This Row],[Check 3 Per Student Savings]]*CM300</f>
        <v>0</v>
      </c>
      <c r="CO300" s="114">
        <f t="shared" si="190"/>
        <v>0</v>
      </c>
      <c r="CP300" s="115">
        <f t="shared" si="191"/>
        <v>0</v>
      </c>
      <c r="CQ300" s="115" t="s">
        <v>964</v>
      </c>
      <c r="CR300" s="114">
        <v>0</v>
      </c>
      <c r="CS300" s="114">
        <v>0</v>
      </c>
      <c r="CT300" s="114">
        <v>0</v>
      </c>
      <c r="CU300" s="114">
        <f t="shared" si="192"/>
        <v>0</v>
      </c>
      <c r="CV300" s="115"/>
      <c r="CW300" s="115">
        <f t="shared" si="193"/>
        <v>0</v>
      </c>
      <c r="CX300" s="115"/>
      <c r="CY300" s="21">
        <f>IF(Table1[[#This Row],[Check 4 Status]]="Continued", Table1[[#This Row],[Check 4 Students Summer]], 0)</f>
        <v>0</v>
      </c>
      <c r="CZ300" s="58">
        <f>Table1[[#This Row],[Check 4 Per Student Savings]]*CY300</f>
        <v>0</v>
      </c>
      <c r="DA300" s="114">
        <f>IF(Table1[[#This Row],[Check 4 Status]]="Continued", Table1[[#This Row],[Check 4 Students Fall]], 0)</f>
        <v>0</v>
      </c>
      <c r="DB300" s="115">
        <f>Table1[[#This Row],[Check 4 Per Student Savings]]*DA300</f>
        <v>0</v>
      </c>
      <c r="DC300" s="21">
        <f>IF(Table1[[#This Row],[Check 4 Status]]="Continued", Table1[[#This Row],[Check 4 Students Spring]], 0)</f>
        <v>0</v>
      </c>
      <c r="DD300" s="58">
        <f>Table1[[#This Row],[Check 4 Per Student Savings]]*DC300</f>
        <v>0</v>
      </c>
      <c r="DE300" s="58">
        <f t="shared" si="194"/>
        <v>0</v>
      </c>
      <c r="DF300" s="58">
        <f t="shared" si="195"/>
        <v>0</v>
      </c>
      <c r="DG30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0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00" s="58">
        <f>Table1[[#This Row],[Grand Total Savings]]/Table1[[#This Row],[Total Award]]</f>
        <v>0</v>
      </c>
      <c r="DJ300" s="17"/>
      <c r="DK300" s="17"/>
      <c r="DL300" s="17"/>
      <c r="DM300" s="17"/>
      <c r="DX300" s="21"/>
      <c r="DY300" s="58"/>
      <c r="DZ300" s="21"/>
      <c r="EA300" s="21"/>
      <c r="EC300" s="17"/>
      <c r="ED300" s="17"/>
      <c r="EE300" s="17"/>
      <c r="EF300" s="17"/>
    </row>
    <row r="301" spans="1:136" x14ac:dyDescent="0.25">
      <c r="A301" s="163" t="s">
        <v>1402</v>
      </c>
      <c r="B301" s="163"/>
      <c r="C301" s="191" t="s">
        <v>129</v>
      </c>
      <c r="D301" s="108">
        <v>516136</v>
      </c>
      <c r="E301" s="199"/>
      <c r="F301" s="197"/>
      <c r="G301" s="198" t="s">
        <v>1280</v>
      </c>
      <c r="H301" s="95" t="s">
        <v>6</v>
      </c>
      <c r="I301" s="201" t="s">
        <v>962</v>
      </c>
      <c r="J301" s="17" t="s">
        <v>159</v>
      </c>
      <c r="K301" s="113">
        <v>4000</v>
      </c>
      <c r="L301" s="113" t="s">
        <v>1096</v>
      </c>
      <c r="M301" s="197" t="s">
        <v>1403</v>
      </c>
      <c r="N301" s="197" t="s">
        <v>1404</v>
      </c>
      <c r="O301" s="101" t="s">
        <v>743</v>
      </c>
      <c r="P301" s="101" t="s">
        <v>1405</v>
      </c>
      <c r="Q301" s="101" t="s">
        <v>148</v>
      </c>
      <c r="R301" s="197"/>
      <c r="S301" s="197"/>
      <c r="T301" s="17" t="s">
        <v>13</v>
      </c>
      <c r="U301" s="17" t="s">
        <v>1095</v>
      </c>
      <c r="V301" s="17" t="s">
        <v>1095</v>
      </c>
      <c r="W301" s="17" t="s">
        <v>1095</v>
      </c>
      <c r="X301" s="17" t="s">
        <v>1095</v>
      </c>
      <c r="Y301" s="58">
        <v>0</v>
      </c>
      <c r="Z301" s="58">
        <v>0</v>
      </c>
      <c r="AA301" s="58">
        <v>0</v>
      </c>
      <c r="AB301" s="21">
        <v>0</v>
      </c>
      <c r="AC301" s="21">
        <v>0</v>
      </c>
      <c r="AD301" s="21">
        <v>0</v>
      </c>
      <c r="AE301" s="58">
        <v>0</v>
      </c>
      <c r="AF301" s="17" t="s">
        <v>129</v>
      </c>
      <c r="AG301" s="115"/>
      <c r="AH301" s="115"/>
      <c r="AI301" s="58" t="s">
        <v>964</v>
      </c>
      <c r="AJ301" s="114">
        <f t="shared" si="198"/>
        <v>0</v>
      </c>
      <c r="AK301" s="31">
        <v>0</v>
      </c>
      <c r="AL301" s="21">
        <v>0</v>
      </c>
      <c r="AM301" s="31">
        <v>0</v>
      </c>
      <c r="AN301" s="21">
        <v>0</v>
      </c>
      <c r="AO301" s="31">
        <v>0</v>
      </c>
      <c r="AP301" s="21">
        <v>0</v>
      </c>
      <c r="AQ301" s="31">
        <v>0</v>
      </c>
      <c r="AR301" s="21">
        <v>0</v>
      </c>
      <c r="AS301" s="31">
        <v>0</v>
      </c>
      <c r="AT301" s="21">
        <v>0</v>
      </c>
      <c r="AU301" s="31">
        <v>0</v>
      </c>
      <c r="AV301" s="21">
        <v>0</v>
      </c>
      <c r="AW301" s="31">
        <v>0</v>
      </c>
      <c r="AX301" s="31">
        <v>0</v>
      </c>
      <c r="AY301" s="31">
        <v>0</v>
      </c>
      <c r="AZ301" s="31">
        <v>0</v>
      </c>
      <c r="BA301" s="31">
        <v>0</v>
      </c>
      <c r="BB301" s="31">
        <v>0</v>
      </c>
      <c r="BC301" s="31">
        <v>0</v>
      </c>
      <c r="BD301" s="31">
        <v>0</v>
      </c>
      <c r="BE301" s="31">
        <v>0</v>
      </c>
      <c r="BF301" s="31">
        <v>0</v>
      </c>
      <c r="BG301" s="31">
        <v>0</v>
      </c>
      <c r="BH301" s="31">
        <v>0</v>
      </c>
      <c r="BI301" s="31">
        <v>0</v>
      </c>
      <c r="BJ301" s="31">
        <v>0</v>
      </c>
      <c r="BK301" s="31">
        <v>0</v>
      </c>
      <c r="BL301" s="17" t="s">
        <v>964</v>
      </c>
      <c r="BM301" s="31">
        <v>0</v>
      </c>
      <c r="BN301" s="31">
        <v>0</v>
      </c>
      <c r="BO301" s="31">
        <v>0</v>
      </c>
      <c r="BP301" s="31">
        <v>0</v>
      </c>
      <c r="BQ301" s="31">
        <v>0</v>
      </c>
      <c r="BR301" s="31">
        <v>0</v>
      </c>
      <c r="BS301" s="21">
        <v>0</v>
      </c>
      <c r="BT301" s="21">
        <v>0</v>
      </c>
      <c r="BU301" s="21">
        <v>0</v>
      </c>
      <c r="BV301" s="21">
        <v>0</v>
      </c>
      <c r="BW301" s="21">
        <v>0</v>
      </c>
      <c r="BX301" s="115">
        <f>Table1[[#This Row],[Summer 2018 Price Check]]*Table1[[#This Row],[Spring 2019 Students]]</f>
        <v>0</v>
      </c>
      <c r="BY301" s="31">
        <f t="shared" si="187"/>
        <v>0</v>
      </c>
      <c r="BZ301" s="58">
        <f t="shared" si="188"/>
        <v>0</v>
      </c>
      <c r="CA301" s="17" t="s">
        <v>964</v>
      </c>
      <c r="CB301" s="21">
        <v>0</v>
      </c>
      <c r="CC301" s="21">
        <v>0</v>
      </c>
      <c r="CD301" s="21">
        <v>0</v>
      </c>
      <c r="CE301" s="21">
        <f t="shared" si="199"/>
        <v>0</v>
      </c>
      <c r="CF301" s="58"/>
      <c r="CG301" s="115">
        <f t="shared" si="189"/>
        <v>0</v>
      </c>
      <c r="CH301" s="58">
        <v>0</v>
      </c>
      <c r="CI301" s="114">
        <f>IF(Table1[[#This Row],[Check 3 Status]]="Continued", Table1[[#This Row],[Check 3 Students Summer]], 0)</f>
        <v>0</v>
      </c>
      <c r="CJ301" s="115">
        <f>Table1[[#This Row],[Check 3 Per Student Savings]]*CI301</f>
        <v>0</v>
      </c>
      <c r="CK301" s="114">
        <f>IF(Table1[[#This Row],[Check 3 Status]]="Continued", Table1[[#This Row],[Check 3 Students Fall]], 0)</f>
        <v>0</v>
      </c>
      <c r="CL301" s="115">
        <f>Table1[[#This Row],[Check 3 Per Student Savings]]*CK301</f>
        <v>0</v>
      </c>
      <c r="CM301" s="114">
        <f>IF(Table1[[#This Row],[Check 3 Status]]="Continued", Table1[[#This Row],[Check 3 Students Spring]], 0)</f>
        <v>0</v>
      </c>
      <c r="CN301" s="115">
        <f>Table1[[#This Row],[Check 3 Per Student Savings]]*CM301</f>
        <v>0</v>
      </c>
      <c r="CO301" s="114">
        <f t="shared" si="190"/>
        <v>0</v>
      </c>
      <c r="CP301" s="115">
        <f t="shared" si="191"/>
        <v>0</v>
      </c>
      <c r="CQ301" s="115" t="s">
        <v>964</v>
      </c>
      <c r="CR301" s="114">
        <v>0</v>
      </c>
      <c r="CS301" s="114">
        <v>0</v>
      </c>
      <c r="CT301" s="114">
        <v>0</v>
      </c>
      <c r="CU301" s="114">
        <f t="shared" si="192"/>
        <v>0</v>
      </c>
      <c r="CV301" s="115"/>
      <c r="CW301" s="115">
        <f t="shared" si="193"/>
        <v>0</v>
      </c>
      <c r="CX301" s="115"/>
      <c r="CY301" s="21">
        <f>IF(Table1[[#This Row],[Check 4 Status]]="Continued", Table1[[#This Row],[Check 4 Students Summer]], 0)</f>
        <v>0</v>
      </c>
      <c r="CZ301" s="58">
        <f>Table1[[#This Row],[Check 4 Per Student Savings]]*CY301</f>
        <v>0</v>
      </c>
      <c r="DA301" s="114">
        <f>IF(Table1[[#This Row],[Check 4 Status]]="Continued", Table1[[#This Row],[Check 4 Students Fall]], 0)</f>
        <v>0</v>
      </c>
      <c r="DB301" s="115">
        <f>Table1[[#This Row],[Check 4 Per Student Savings]]*DA301</f>
        <v>0</v>
      </c>
      <c r="DC301" s="21">
        <f>IF(Table1[[#This Row],[Check 4 Status]]="Continued", Table1[[#This Row],[Check 4 Students Spring]], 0)</f>
        <v>0</v>
      </c>
      <c r="DD301" s="58">
        <f>Table1[[#This Row],[Check 4 Per Student Savings]]*DC301</f>
        <v>0</v>
      </c>
      <c r="DE301" s="58">
        <f t="shared" si="194"/>
        <v>0</v>
      </c>
      <c r="DF301" s="58">
        <f t="shared" si="195"/>
        <v>0</v>
      </c>
      <c r="DG30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0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01" s="58">
        <f>Table1[[#This Row],[Grand Total Savings]]/Table1[[#This Row],[Total Award]]</f>
        <v>0</v>
      </c>
      <c r="DJ301" s="17"/>
      <c r="DK301" s="17"/>
      <c r="DL301" s="17"/>
      <c r="DM301" s="17"/>
      <c r="DX301" s="21"/>
      <c r="DY301" s="58"/>
      <c r="DZ301" s="21"/>
      <c r="EA301" s="21"/>
      <c r="EC301" s="17"/>
      <c r="ED301" s="17"/>
      <c r="EE301" s="17"/>
      <c r="EF301" s="17"/>
    </row>
    <row r="302" spans="1:136" x14ac:dyDescent="0.25">
      <c r="A302" s="163" t="s">
        <v>1406</v>
      </c>
      <c r="B302" s="163"/>
      <c r="C302" s="191" t="s">
        <v>129</v>
      </c>
      <c r="D302" s="108">
        <v>515790</v>
      </c>
      <c r="E302" s="199"/>
      <c r="F302" s="197"/>
      <c r="G302" s="198" t="s">
        <v>1280</v>
      </c>
      <c r="H302" s="95" t="s">
        <v>6</v>
      </c>
      <c r="I302" s="201" t="s">
        <v>962</v>
      </c>
      <c r="J302" s="17" t="s">
        <v>159</v>
      </c>
      <c r="K302" s="113">
        <v>4800</v>
      </c>
      <c r="L302" s="113" t="s">
        <v>1096</v>
      </c>
      <c r="M302" s="197" t="s">
        <v>1407</v>
      </c>
      <c r="N302" s="197" t="s">
        <v>1408</v>
      </c>
      <c r="O302" s="101" t="s">
        <v>1409</v>
      </c>
      <c r="P302" s="101" t="s">
        <v>303</v>
      </c>
      <c r="Q302" s="101" t="s">
        <v>304</v>
      </c>
      <c r="R302" s="197"/>
      <c r="S302" s="197"/>
      <c r="T302" s="17" t="s">
        <v>13</v>
      </c>
      <c r="U302" s="17" t="s">
        <v>1095</v>
      </c>
      <c r="V302" s="17" t="s">
        <v>1095</v>
      </c>
      <c r="W302" s="17" t="s">
        <v>1095</v>
      </c>
      <c r="X302" s="17" t="s">
        <v>1095</v>
      </c>
      <c r="Y302" s="58">
        <v>0</v>
      </c>
      <c r="Z302" s="58">
        <v>0</v>
      </c>
      <c r="AA302" s="58">
        <v>0</v>
      </c>
      <c r="AB302" s="21">
        <v>0</v>
      </c>
      <c r="AC302" s="21">
        <v>0</v>
      </c>
      <c r="AD302" s="21">
        <v>0</v>
      </c>
      <c r="AE302" s="58">
        <v>0</v>
      </c>
      <c r="AF302" s="17" t="s">
        <v>129</v>
      </c>
      <c r="AG302" s="115"/>
      <c r="AH302" s="115"/>
      <c r="AI302" s="58" t="s">
        <v>964</v>
      </c>
      <c r="AJ302" s="114">
        <f t="shared" si="198"/>
        <v>0</v>
      </c>
      <c r="AK302" s="31">
        <v>0</v>
      </c>
      <c r="AL302" s="21">
        <v>0</v>
      </c>
      <c r="AM302" s="31">
        <v>0</v>
      </c>
      <c r="AN302" s="21">
        <v>0</v>
      </c>
      <c r="AO302" s="31">
        <v>0</v>
      </c>
      <c r="AP302" s="21">
        <v>0</v>
      </c>
      <c r="AQ302" s="31">
        <v>0</v>
      </c>
      <c r="AR302" s="21">
        <v>0</v>
      </c>
      <c r="AS302" s="31">
        <v>0</v>
      </c>
      <c r="AT302" s="21">
        <v>0</v>
      </c>
      <c r="AU302" s="31">
        <v>0</v>
      </c>
      <c r="AV302" s="21">
        <v>0</v>
      </c>
      <c r="AW302" s="31">
        <v>0</v>
      </c>
      <c r="AX302" s="31">
        <v>0</v>
      </c>
      <c r="AY302" s="31">
        <v>0</v>
      </c>
      <c r="AZ302" s="31">
        <v>0</v>
      </c>
      <c r="BA302" s="31">
        <v>0</v>
      </c>
      <c r="BB302" s="31">
        <v>0</v>
      </c>
      <c r="BC302" s="31">
        <v>0</v>
      </c>
      <c r="BD302" s="31">
        <v>0</v>
      </c>
      <c r="BE302" s="31">
        <v>0</v>
      </c>
      <c r="BF302" s="31">
        <v>0</v>
      </c>
      <c r="BG302" s="31">
        <v>0</v>
      </c>
      <c r="BH302" s="31">
        <v>0</v>
      </c>
      <c r="BI302" s="31">
        <v>0</v>
      </c>
      <c r="BJ302" s="31">
        <v>0</v>
      </c>
      <c r="BK302" s="31">
        <v>0</v>
      </c>
      <c r="BL302" s="17" t="s">
        <v>964</v>
      </c>
      <c r="BM302" s="31">
        <v>0</v>
      </c>
      <c r="BN302" s="31">
        <v>0</v>
      </c>
      <c r="BO302" s="31">
        <v>0</v>
      </c>
      <c r="BP302" s="31">
        <v>0</v>
      </c>
      <c r="BQ302" s="31">
        <v>0</v>
      </c>
      <c r="BR302" s="31">
        <v>0</v>
      </c>
      <c r="BS302" s="21">
        <v>0</v>
      </c>
      <c r="BT302" s="21">
        <v>0</v>
      </c>
      <c r="BU302" s="21">
        <v>0</v>
      </c>
      <c r="BV302" s="21">
        <v>0</v>
      </c>
      <c r="BW302" s="21">
        <v>0</v>
      </c>
      <c r="BX302" s="115">
        <f>Table1[[#This Row],[Summer 2018 Price Check]]*Table1[[#This Row],[Spring 2019 Students]]</f>
        <v>0</v>
      </c>
      <c r="BY302" s="31">
        <f t="shared" si="187"/>
        <v>0</v>
      </c>
      <c r="BZ302" s="58">
        <f t="shared" si="188"/>
        <v>0</v>
      </c>
      <c r="CA302" s="17" t="s">
        <v>964</v>
      </c>
      <c r="CB302" s="21">
        <v>0</v>
      </c>
      <c r="CC302" s="21">
        <v>0</v>
      </c>
      <c r="CD302" s="21">
        <v>0</v>
      </c>
      <c r="CE302" s="21">
        <f t="shared" si="199"/>
        <v>0</v>
      </c>
      <c r="CF302" s="58"/>
      <c r="CG302" s="115">
        <f t="shared" si="189"/>
        <v>0</v>
      </c>
      <c r="CH302" s="58">
        <v>0</v>
      </c>
      <c r="CI302" s="114">
        <f>IF(Table1[[#This Row],[Check 3 Status]]="Continued", Table1[[#This Row],[Check 3 Students Summer]], 0)</f>
        <v>0</v>
      </c>
      <c r="CJ302" s="115">
        <f>Table1[[#This Row],[Check 3 Per Student Savings]]*CI302</f>
        <v>0</v>
      </c>
      <c r="CK302" s="114">
        <f>IF(Table1[[#This Row],[Check 3 Status]]="Continued", Table1[[#This Row],[Check 3 Students Fall]], 0)</f>
        <v>0</v>
      </c>
      <c r="CL302" s="115">
        <f>Table1[[#This Row],[Check 3 Per Student Savings]]*CK302</f>
        <v>0</v>
      </c>
      <c r="CM302" s="114">
        <f>IF(Table1[[#This Row],[Check 3 Status]]="Continued", Table1[[#This Row],[Check 3 Students Spring]], 0)</f>
        <v>0</v>
      </c>
      <c r="CN302" s="115">
        <f>Table1[[#This Row],[Check 3 Per Student Savings]]*CM302</f>
        <v>0</v>
      </c>
      <c r="CO302" s="114">
        <f t="shared" si="190"/>
        <v>0</v>
      </c>
      <c r="CP302" s="115">
        <f t="shared" si="191"/>
        <v>0</v>
      </c>
      <c r="CQ302" s="115" t="s">
        <v>964</v>
      </c>
      <c r="CR302" s="114">
        <v>0</v>
      </c>
      <c r="CS302" s="114">
        <v>0</v>
      </c>
      <c r="CT302" s="114">
        <v>0</v>
      </c>
      <c r="CU302" s="114">
        <f t="shared" si="192"/>
        <v>0</v>
      </c>
      <c r="CV302" s="115"/>
      <c r="CW302" s="115">
        <f t="shared" si="193"/>
        <v>0</v>
      </c>
      <c r="CX302" s="115"/>
      <c r="CY302" s="21">
        <f>IF(Table1[[#This Row],[Check 4 Status]]="Continued", Table1[[#This Row],[Check 4 Students Summer]], 0)</f>
        <v>0</v>
      </c>
      <c r="CZ302" s="58">
        <f>Table1[[#This Row],[Check 4 Per Student Savings]]*CY302</f>
        <v>0</v>
      </c>
      <c r="DA302" s="114">
        <f>IF(Table1[[#This Row],[Check 4 Status]]="Continued", Table1[[#This Row],[Check 4 Students Fall]], 0)</f>
        <v>0</v>
      </c>
      <c r="DB302" s="115">
        <f>Table1[[#This Row],[Check 4 Per Student Savings]]*DA302</f>
        <v>0</v>
      </c>
      <c r="DC302" s="21">
        <f>IF(Table1[[#This Row],[Check 4 Status]]="Continued", Table1[[#This Row],[Check 4 Students Spring]], 0)</f>
        <v>0</v>
      </c>
      <c r="DD302" s="58">
        <f>Table1[[#This Row],[Check 4 Per Student Savings]]*DC302</f>
        <v>0</v>
      </c>
      <c r="DE302" s="58">
        <f t="shared" si="194"/>
        <v>0</v>
      </c>
      <c r="DF302" s="58">
        <f t="shared" si="195"/>
        <v>0</v>
      </c>
      <c r="DG30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0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02" s="58">
        <f>Table1[[#This Row],[Grand Total Savings]]/Table1[[#This Row],[Total Award]]</f>
        <v>0</v>
      </c>
      <c r="DJ302" s="17"/>
      <c r="DK302" s="17"/>
      <c r="DL302" s="17"/>
      <c r="DM302" s="17"/>
      <c r="DX302" s="21"/>
      <c r="DY302" s="58"/>
      <c r="DZ302" s="21"/>
      <c r="EA302" s="21"/>
      <c r="EC302" s="17"/>
      <c r="ED302" s="17"/>
      <c r="EE302" s="17"/>
      <c r="EF302" s="17"/>
    </row>
    <row r="303" spans="1:136" x14ac:dyDescent="0.25">
      <c r="A303" s="163" t="s">
        <v>1410</v>
      </c>
      <c r="B303" s="163"/>
      <c r="C303" s="191" t="s">
        <v>129</v>
      </c>
      <c r="D303" s="108">
        <v>515791</v>
      </c>
      <c r="E303" s="199"/>
      <c r="F303" s="197"/>
      <c r="G303" s="198" t="s">
        <v>1280</v>
      </c>
      <c r="H303" s="95" t="s">
        <v>6</v>
      </c>
      <c r="I303" s="201" t="s">
        <v>962</v>
      </c>
      <c r="J303" s="17" t="s">
        <v>159</v>
      </c>
      <c r="K303" s="113">
        <v>4800</v>
      </c>
      <c r="L303" s="113" t="s">
        <v>1287</v>
      </c>
      <c r="M303" s="197" t="s">
        <v>1407</v>
      </c>
      <c r="N303" s="197" t="s">
        <v>1408</v>
      </c>
      <c r="O303" s="101" t="s">
        <v>1411</v>
      </c>
      <c r="P303" s="101" t="s">
        <v>1412</v>
      </c>
      <c r="Q303" s="101" t="s">
        <v>304</v>
      </c>
      <c r="R303" s="197"/>
      <c r="S303" s="197"/>
      <c r="T303" s="17" t="s">
        <v>13</v>
      </c>
      <c r="U303" s="17" t="s">
        <v>1095</v>
      </c>
      <c r="V303" s="17" t="s">
        <v>1095</v>
      </c>
      <c r="W303" s="17" t="s">
        <v>1095</v>
      </c>
      <c r="X303" s="17" t="s">
        <v>1095</v>
      </c>
      <c r="Y303" s="58">
        <v>0</v>
      </c>
      <c r="Z303" s="58">
        <v>0</v>
      </c>
      <c r="AA303" s="58">
        <v>0</v>
      </c>
      <c r="AB303" s="21">
        <v>0</v>
      </c>
      <c r="AC303" s="21">
        <v>0</v>
      </c>
      <c r="AD303" s="21">
        <v>0</v>
      </c>
      <c r="AE303" s="58">
        <v>0</v>
      </c>
      <c r="AF303" s="17" t="s">
        <v>129</v>
      </c>
      <c r="AG303" s="115"/>
      <c r="AH303" s="115"/>
      <c r="AI303" s="58" t="s">
        <v>964</v>
      </c>
      <c r="AJ303" s="114">
        <f t="shared" si="198"/>
        <v>0</v>
      </c>
      <c r="AK303" s="31">
        <v>0</v>
      </c>
      <c r="AL303" s="21">
        <v>0</v>
      </c>
      <c r="AM303" s="31">
        <v>0</v>
      </c>
      <c r="AN303" s="21">
        <v>0</v>
      </c>
      <c r="AO303" s="31">
        <v>0</v>
      </c>
      <c r="AP303" s="21">
        <v>0</v>
      </c>
      <c r="AQ303" s="31">
        <v>0</v>
      </c>
      <c r="AR303" s="21">
        <v>0</v>
      </c>
      <c r="AS303" s="31">
        <v>0</v>
      </c>
      <c r="AT303" s="21">
        <v>0</v>
      </c>
      <c r="AU303" s="31">
        <v>0</v>
      </c>
      <c r="AV303" s="21">
        <v>0</v>
      </c>
      <c r="AW303" s="31">
        <v>0</v>
      </c>
      <c r="AX303" s="31">
        <v>0</v>
      </c>
      <c r="AY303" s="31">
        <v>0</v>
      </c>
      <c r="AZ303" s="31">
        <v>0</v>
      </c>
      <c r="BA303" s="31">
        <v>0</v>
      </c>
      <c r="BB303" s="31">
        <v>0</v>
      </c>
      <c r="BC303" s="31">
        <v>0</v>
      </c>
      <c r="BD303" s="31">
        <v>0</v>
      </c>
      <c r="BE303" s="31">
        <v>0</v>
      </c>
      <c r="BF303" s="31">
        <v>0</v>
      </c>
      <c r="BG303" s="31">
        <v>0</v>
      </c>
      <c r="BH303" s="31">
        <v>0</v>
      </c>
      <c r="BI303" s="31">
        <v>0</v>
      </c>
      <c r="BJ303" s="31">
        <v>0</v>
      </c>
      <c r="BK303" s="31">
        <v>0</v>
      </c>
      <c r="BL303" s="17" t="s">
        <v>964</v>
      </c>
      <c r="BM303" s="31">
        <v>0</v>
      </c>
      <c r="BN303" s="31">
        <v>0</v>
      </c>
      <c r="BO303" s="31">
        <v>0</v>
      </c>
      <c r="BP303" s="31">
        <v>0</v>
      </c>
      <c r="BQ303" s="31">
        <v>0</v>
      </c>
      <c r="BR303" s="31">
        <v>0</v>
      </c>
      <c r="BS303" s="21">
        <v>0</v>
      </c>
      <c r="BT303" s="21">
        <v>0</v>
      </c>
      <c r="BU303" s="21">
        <v>0</v>
      </c>
      <c r="BV303" s="21">
        <v>0</v>
      </c>
      <c r="BW303" s="21">
        <v>0</v>
      </c>
      <c r="BX303" s="115">
        <f>Table1[[#This Row],[Summer 2018 Price Check]]*Table1[[#This Row],[Spring 2019 Students]]</f>
        <v>0</v>
      </c>
      <c r="BY303" s="31">
        <f t="shared" si="187"/>
        <v>0</v>
      </c>
      <c r="BZ303" s="58">
        <f t="shared" si="188"/>
        <v>0</v>
      </c>
      <c r="CA303" s="17" t="s">
        <v>964</v>
      </c>
      <c r="CB303" s="21">
        <v>0</v>
      </c>
      <c r="CC303" s="21">
        <v>0</v>
      </c>
      <c r="CD303" s="21">
        <v>0</v>
      </c>
      <c r="CE303" s="21">
        <f t="shared" si="199"/>
        <v>0</v>
      </c>
      <c r="CF303" s="58"/>
      <c r="CG303" s="115">
        <f t="shared" si="189"/>
        <v>0</v>
      </c>
      <c r="CH303" s="58">
        <v>0</v>
      </c>
      <c r="CI303" s="114">
        <f>IF(Table1[[#This Row],[Check 3 Status]]="Continued", Table1[[#This Row],[Check 3 Students Summer]], 0)</f>
        <v>0</v>
      </c>
      <c r="CJ303" s="115">
        <f>Table1[[#This Row],[Check 3 Per Student Savings]]*CI303</f>
        <v>0</v>
      </c>
      <c r="CK303" s="114">
        <f>IF(Table1[[#This Row],[Check 3 Status]]="Continued", Table1[[#This Row],[Check 3 Students Fall]], 0)</f>
        <v>0</v>
      </c>
      <c r="CL303" s="115">
        <f>Table1[[#This Row],[Check 3 Per Student Savings]]*CK303</f>
        <v>0</v>
      </c>
      <c r="CM303" s="114">
        <f>IF(Table1[[#This Row],[Check 3 Status]]="Continued", Table1[[#This Row],[Check 3 Students Spring]], 0)</f>
        <v>0</v>
      </c>
      <c r="CN303" s="115">
        <f>Table1[[#This Row],[Check 3 Per Student Savings]]*CM303</f>
        <v>0</v>
      </c>
      <c r="CO303" s="114">
        <f t="shared" si="190"/>
        <v>0</v>
      </c>
      <c r="CP303" s="115">
        <f t="shared" si="191"/>
        <v>0</v>
      </c>
      <c r="CQ303" s="115" t="s">
        <v>964</v>
      </c>
      <c r="CR303" s="114">
        <v>0</v>
      </c>
      <c r="CS303" s="114">
        <v>0</v>
      </c>
      <c r="CT303" s="114">
        <v>0</v>
      </c>
      <c r="CU303" s="114">
        <f t="shared" si="192"/>
        <v>0</v>
      </c>
      <c r="CV303" s="115"/>
      <c r="CW303" s="115">
        <f t="shared" si="193"/>
        <v>0</v>
      </c>
      <c r="CX303" s="115"/>
      <c r="CY303" s="21">
        <f>IF(Table1[[#This Row],[Check 4 Status]]="Continued", Table1[[#This Row],[Check 4 Students Summer]], 0)</f>
        <v>0</v>
      </c>
      <c r="CZ303" s="58">
        <f>Table1[[#This Row],[Check 4 Per Student Savings]]*CY303</f>
        <v>0</v>
      </c>
      <c r="DA303" s="114">
        <f>IF(Table1[[#This Row],[Check 4 Status]]="Continued", Table1[[#This Row],[Check 4 Students Fall]], 0)</f>
        <v>0</v>
      </c>
      <c r="DB303" s="115">
        <f>Table1[[#This Row],[Check 4 Per Student Savings]]*DA303</f>
        <v>0</v>
      </c>
      <c r="DC303" s="21">
        <f>IF(Table1[[#This Row],[Check 4 Status]]="Continued", Table1[[#This Row],[Check 4 Students Spring]], 0)</f>
        <v>0</v>
      </c>
      <c r="DD303" s="58">
        <f>Table1[[#This Row],[Check 4 Per Student Savings]]*DC303</f>
        <v>0</v>
      </c>
      <c r="DE303" s="58">
        <f t="shared" si="194"/>
        <v>0</v>
      </c>
      <c r="DF303" s="58">
        <f t="shared" si="195"/>
        <v>0</v>
      </c>
      <c r="DG30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0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03" s="58">
        <f>Table1[[#This Row],[Grand Total Savings]]/Table1[[#This Row],[Total Award]]</f>
        <v>0</v>
      </c>
      <c r="DJ303" s="17"/>
      <c r="DK303" s="17"/>
      <c r="DL303" s="17"/>
      <c r="DM303" s="17"/>
      <c r="DX303" s="21"/>
      <c r="DY303" s="58"/>
      <c r="DZ303" s="21"/>
      <c r="EA303" s="21"/>
      <c r="EC303" s="17"/>
      <c r="ED303" s="17"/>
      <c r="EE303" s="17"/>
      <c r="EF303" s="17"/>
    </row>
    <row r="304" spans="1:136" x14ac:dyDescent="0.25">
      <c r="A304" s="163" t="s">
        <v>1413</v>
      </c>
      <c r="B304" s="163"/>
      <c r="C304" s="191" t="s">
        <v>129</v>
      </c>
      <c r="D304" s="108">
        <v>515676</v>
      </c>
      <c r="E304" s="196">
        <v>43552</v>
      </c>
      <c r="F304" s="197"/>
      <c r="G304" s="198" t="s">
        <v>1280</v>
      </c>
      <c r="H304" s="95" t="s">
        <v>6</v>
      </c>
      <c r="I304" s="201" t="s">
        <v>962</v>
      </c>
      <c r="J304" s="17" t="s">
        <v>585</v>
      </c>
      <c r="K304" s="113">
        <v>4000</v>
      </c>
      <c r="L304" s="113" t="s">
        <v>1287</v>
      </c>
      <c r="M304" s="197" t="s">
        <v>1414</v>
      </c>
      <c r="N304" s="197" t="s">
        <v>1415</v>
      </c>
      <c r="O304" s="101" t="s">
        <v>1416</v>
      </c>
      <c r="P304" s="101" t="s">
        <v>1417</v>
      </c>
      <c r="Q304" s="101" t="s">
        <v>530</v>
      </c>
      <c r="R304" s="197"/>
      <c r="S304" s="197"/>
      <c r="T304" s="17" t="s">
        <v>13</v>
      </c>
      <c r="U304" s="17" t="s">
        <v>1095</v>
      </c>
      <c r="V304" s="17" t="s">
        <v>1095</v>
      </c>
      <c r="W304" s="17" t="s">
        <v>1095</v>
      </c>
      <c r="X304" s="17" t="s">
        <v>1095</v>
      </c>
      <c r="Y304" s="58">
        <v>0</v>
      </c>
      <c r="Z304" s="58">
        <v>0</v>
      </c>
      <c r="AA304" s="58">
        <v>0</v>
      </c>
      <c r="AB304" s="21">
        <v>0</v>
      </c>
      <c r="AC304" s="21">
        <v>0</v>
      </c>
      <c r="AD304" s="21">
        <v>0</v>
      </c>
      <c r="AE304" s="58">
        <v>0</v>
      </c>
      <c r="AF304" s="17" t="s">
        <v>129</v>
      </c>
      <c r="AG304" s="115"/>
      <c r="AH304" s="115"/>
      <c r="AI304" s="58" t="s">
        <v>964</v>
      </c>
      <c r="AJ304" s="114">
        <f t="shared" si="198"/>
        <v>0</v>
      </c>
      <c r="AK304" s="31">
        <v>0</v>
      </c>
      <c r="AL304" s="21">
        <v>0</v>
      </c>
      <c r="AM304" s="31">
        <v>0</v>
      </c>
      <c r="AN304" s="21">
        <v>0</v>
      </c>
      <c r="AO304" s="31">
        <v>0</v>
      </c>
      <c r="AP304" s="21">
        <v>0</v>
      </c>
      <c r="AQ304" s="31">
        <v>0</v>
      </c>
      <c r="AR304" s="21">
        <v>0</v>
      </c>
      <c r="AS304" s="31">
        <v>0</v>
      </c>
      <c r="AT304" s="21">
        <v>0</v>
      </c>
      <c r="AU304" s="31">
        <v>0</v>
      </c>
      <c r="AV304" s="21">
        <v>0</v>
      </c>
      <c r="AW304" s="31">
        <v>0</v>
      </c>
      <c r="AX304" s="31">
        <v>0</v>
      </c>
      <c r="AY304" s="31">
        <v>0</v>
      </c>
      <c r="AZ304" s="31">
        <v>0</v>
      </c>
      <c r="BA304" s="31">
        <v>0</v>
      </c>
      <c r="BB304" s="31">
        <v>0</v>
      </c>
      <c r="BC304" s="31">
        <v>0</v>
      </c>
      <c r="BD304" s="31">
        <v>0</v>
      </c>
      <c r="BE304" s="31">
        <v>0</v>
      </c>
      <c r="BF304" s="31">
        <v>0</v>
      </c>
      <c r="BG304" s="31">
        <v>0</v>
      </c>
      <c r="BH304" s="31">
        <v>0</v>
      </c>
      <c r="BI304" s="31">
        <v>0</v>
      </c>
      <c r="BJ304" s="31">
        <v>0</v>
      </c>
      <c r="BK304" s="31">
        <v>0</v>
      </c>
      <c r="BL304" s="17" t="s">
        <v>964</v>
      </c>
      <c r="BM304" s="31">
        <v>0</v>
      </c>
      <c r="BN304" s="31">
        <v>0</v>
      </c>
      <c r="BO304" s="31">
        <v>0</v>
      </c>
      <c r="BP304" s="31">
        <v>0</v>
      </c>
      <c r="BQ304" s="31">
        <v>0</v>
      </c>
      <c r="BR304" s="31">
        <v>0</v>
      </c>
      <c r="BS304" s="21">
        <v>0</v>
      </c>
      <c r="BT304" s="21">
        <v>0</v>
      </c>
      <c r="BU304" s="21">
        <v>0</v>
      </c>
      <c r="BV304" s="21">
        <v>0</v>
      </c>
      <c r="BW304" s="21">
        <v>0</v>
      </c>
      <c r="BX304" s="115">
        <f>Table1[[#This Row],[Summer 2018 Price Check]]*Table1[[#This Row],[Spring 2019 Students]]</f>
        <v>0</v>
      </c>
      <c r="BY304" s="31">
        <f t="shared" si="187"/>
        <v>0</v>
      </c>
      <c r="BZ304" s="58">
        <f t="shared" si="188"/>
        <v>0</v>
      </c>
      <c r="CA304" s="17" t="s">
        <v>964</v>
      </c>
      <c r="CB304" s="21">
        <v>0</v>
      </c>
      <c r="CC304" s="21">
        <v>0</v>
      </c>
      <c r="CD304" s="21">
        <v>0</v>
      </c>
      <c r="CE304" s="21">
        <f t="shared" si="199"/>
        <v>0</v>
      </c>
      <c r="CF304" s="58"/>
      <c r="CG304" s="115">
        <f t="shared" si="189"/>
        <v>0</v>
      </c>
      <c r="CH304" s="58">
        <v>0</v>
      </c>
      <c r="CI304" s="114">
        <f>IF(Table1[[#This Row],[Check 3 Status]]="Continued", Table1[[#This Row],[Check 3 Students Summer]], 0)</f>
        <v>0</v>
      </c>
      <c r="CJ304" s="115">
        <f>Table1[[#This Row],[Check 3 Per Student Savings]]*CI304</f>
        <v>0</v>
      </c>
      <c r="CK304" s="114">
        <f>IF(Table1[[#This Row],[Check 3 Status]]="Continued", Table1[[#This Row],[Check 3 Students Fall]], 0)</f>
        <v>0</v>
      </c>
      <c r="CL304" s="115">
        <f>Table1[[#This Row],[Check 3 Per Student Savings]]*CK304</f>
        <v>0</v>
      </c>
      <c r="CM304" s="114">
        <f>IF(Table1[[#This Row],[Check 3 Status]]="Continued", Table1[[#This Row],[Check 3 Students Spring]], 0)</f>
        <v>0</v>
      </c>
      <c r="CN304" s="115">
        <f>Table1[[#This Row],[Check 3 Per Student Savings]]*CM304</f>
        <v>0</v>
      </c>
      <c r="CO304" s="114">
        <f t="shared" si="190"/>
        <v>0</v>
      </c>
      <c r="CP304" s="115">
        <f t="shared" si="191"/>
        <v>0</v>
      </c>
      <c r="CQ304" s="115" t="s">
        <v>964</v>
      </c>
      <c r="CR304" s="114">
        <v>0</v>
      </c>
      <c r="CS304" s="114">
        <v>0</v>
      </c>
      <c r="CT304" s="114">
        <v>0</v>
      </c>
      <c r="CU304" s="114">
        <f t="shared" si="192"/>
        <v>0</v>
      </c>
      <c r="CV304" s="115"/>
      <c r="CW304" s="115">
        <f t="shared" si="193"/>
        <v>0</v>
      </c>
      <c r="CX304" s="115"/>
      <c r="CY304" s="21">
        <f>IF(Table1[[#This Row],[Check 4 Status]]="Continued", Table1[[#This Row],[Check 4 Students Summer]], 0)</f>
        <v>0</v>
      </c>
      <c r="CZ304" s="58">
        <f>Table1[[#This Row],[Check 4 Per Student Savings]]*CY304</f>
        <v>0</v>
      </c>
      <c r="DA304" s="114">
        <f>IF(Table1[[#This Row],[Check 4 Status]]="Continued", Table1[[#This Row],[Check 4 Students Fall]], 0)</f>
        <v>0</v>
      </c>
      <c r="DB304" s="115">
        <f>Table1[[#This Row],[Check 4 Per Student Savings]]*DA304</f>
        <v>0</v>
      </c>
      <c r="DC304" s="21">
        <f>IF(Table1[[#This Row],[Check 4 Status]]="Continued", Table1[[#This Row],[Check 4 Students Spring]], 0)</f>
        <v>0</v>
      </c>
      <c r="DD304" s="58">
        <f>Table1[[#This Row],[Check 4 Per Student Savings]]*DC304</f>
        <v>0</v>
      </c>
      <c r="DE304" s="58">
        <f t="shared" si="194"/>
        <v>0</v>
      </c>
      <c r="DF304" s="58">
        <f t="shared" si="195"/>
        <v>0</v>
      </c>
      <c r="DG30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0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04" s="58">
        <f>Table1[[#This Row],[Grand Total Savings]]/Table1[[#This Row],[Total Award]]</f>
        <v>0</v>
      </c>
      <c r="DJ304" s="17"/>
      <c r="DK304" s="17"/>
      <c r="DL304" s="17"/>
      <c r="DM304" s="17"/>
      <c r="DX304" s="21"/>
      <c r="DY304" s="58"/>
      <c r="DZ304" s="21"/>
      <c r="EA304" s="21"/>
      <c r="EC304" s="17"/>
      <c r="ED304" s="17"/>
      <c r="EE304" s="17"/>
      <c r="EF304" s="17"/>
    </row>
    <row r="305" spans="1:136" x14ac:dyDescent="0.25">
      <c r="A305" s="163" t="s">
        <v>1418</v>
      </c>
      <c r="B305" s="163"/>
      <c r="C305" s="191" t="s">
        <v>129</v>
      </c>
      <c r="D305" s="108">
        <v>515792</v>
      </c>
      <c r="E305" s="199"/>
      <c r="F305" s="197"/>
      <c r="G305" s="198" t="s">
        <v>1280</v>
      </c>
      <c r="H305" s="95" t="s">
        <v>6</v>
      </c>
      <c r="I305" s="201" t="s">
        <v>962</v>
      </c>
      <c r="J305" s="17" t="s">
        <v>159</v>
      </c>
      <c r="K305" s="113">
        <v>4800</v>
      </c>
      <c r="L305" s="113" t="s">
        <v>1287</v>
      </c>
      <c r="M305" s="197" t="s">
        <v>1407</v>
      </c>
      <c r="N305" s="197" t="s">
        <v>1408</v>
      </c>
      <c r="O305" s="101" t="s">
        <v>1419</v>
      </c>
      <c r="P305" s="101" t="s">
        <v>1420</v>
      </c>
      <c r="Q305" s="101" t="s">
        <v>304</v>
      </c>
      <c r="R305" s="197"/>
      <c r="S305" s="197"/>
      <c r="T305" s="17" t="s">
        <v>13</v>
      </c>
      <c r="U305" s="17" t="s">
        <v>1095</v>
      </c>
      <c r="V305" s="17" t="s">
        <v>1095</v>
      </c>
      <c r="W305" s="17" t="s">
        <v>1095</v>
      </c>
      <c r="X305" s="17" t="s">
        <v>1095</v>
      </c>
      <c r="Y305" s="58">
        <v>0</v>
      </c>
      <c r="Z305" s="58">
        <v>0</v>
      </c>
      <c r="AA305" s="58">
        <v>0</v>
      </c>
      <c r="AB305" s="21">
        <v>0</v>
      </c>
      <c r="AC305" s="21">
        <v>0</v>
      </c>
      <c r="AD305" s="21">
        <v>0</v>
      </c>
      <c r="AE305" s="58">
        <v>0</v>
      </c>
      <c r="AF305" s="17" t="s">
        <v>129</v>
      </c>
      <c r="AG305" s="115"/>
      <c r="AH305" s="115"/>
      <c r="AI305" s="58" t="s">
        <v>964</v>
      </c>
      <c r="AJ305" s="114">
        <f t="shared" si="198"/>
        <v>0</v>
      </c>
      <c r="AK305" s="31">
        <v>0</v>
      </c>
      <c r="AL305" s="21">
        <v>0</v>
      </c>
      <c r="AM305" s="31">
        <v>0</v>
      </c>
      <c r="AN305" s="21">
        <v>0</v>
      </c>
      <c r="AO305" s="31">
        <v>0</v>
      </c>
      <c r="AP305" s="21">
        <v>0</v>
      </c>
      <c r="AQ305" s="31">
        <v>0</v>
      </c>
      <c r="AR305" s="21">
        <v>0</v>
      </c>
      <c r="AS305" s="31">
        <v>0</v>
      </c>
      <c r="AT305" s="21">
        <v>0</v>
      </c>
      <c r="AU305" s="31">
        <v>0</v>
      </c>
      <c r="AV305" s="21">
        <v>0</v>
      </c>
      <c r="AW305" s="31">
        <v>0</v>
      </c>
      <c r="AX305" s="31">
        <v>0</v>
      </c>
      <c r="AY305" s="31">
        <v>0</v>
      </c>
      <c r="AZ305" s="31">
        <v>0</v>
      </c>
      <c r="BA305" s="31">
        <v>0</v>
      </c>
      <c r="BB305" s="31">
        <v>0</v>
      </c>
      <c r="BC305" s="31">
        <v>0</v>
      </c>
      <c r="BD305" s="31">
        <v>0</v>
      </c>
      <c r="BE305" s="31">
        <v>0</v>
      </c>
      <c r="BF305" s="31">
        <v>0</v>
      </c>
      <c r="BG305" s="31">
        <v>0</v>
      </c>
      <c r="BH305" s="31">
        <v>0</v>
      </c>
      <c r="BI305" s="31">
        <v>0</v>
      </c>
      <c r="BJ305" s="31">
        <v>0</v>
      </c>
      <c r="BK305" s="31">
        <v>0</v>
      </c>
      <c r="BL305" s="17" t="s">
        <v>964</v>
      </c>
      <c r="BM305" s="31">
        <v>0</v>
      </c>
      <c r="BN305" s="31">
        <v>0</v>
      </c>
      <c r="BO305" s="31">
        <v>0</v>
      </c>
      <c r="BP305" s="31">
        <v>0</v>
      </c>
      <c r="BQ305" s="31">
        <v>0</v>
      </c>
      <c r="BR305" s="31">
        <v>0</v>
      </c>
      <c r="BS305" s="21">
        <v>0</v>
      </c>
      <c r="BT305" s="21">
        <v>0</v>
      </c>
      <c r="BU305" s="21">
        <v>0</v>
      </c>
      <c r="BV305" s="21">
        <v>0</v>
      </c>
      <c r="BW305" s="21">
        <v>0</v>
      </c>
      <c r="BX305" s="115">
        <f>Table1[[#This Row],[Summer 2018 Price Check]]*Table1[[#This Row],[Spring 2019 Students]]</f>
        <v>0</v>
      </c>
      <c r="BY305" s="31">
        <f t="shared" si="187"/>
        <v>0</v>
      </c>
      <c r="BZ305" s="58">
        <f t="shared" si="188"/>
        <v>0</v>
      </c>
      <c r="CA305" s="17" t="s">
        <v>964</v>
      </c>
      <c r="CB305" s="21">
        <v>0</v>
      </c>
      <c r="CC305" s="21">
        <v>0</v>
      </c>
      <c r="CD305" s="21">
        <v>0</v>
      </c>
      <c r="CE305" s="21">
        <f t="shared" si="199"/>
        <v>0</v>
      </c>
      <c r="CF305" s="58"/>
      <c r="CG305" s="115">
        <f t="shared" si="189"/>
        <v>0</v>
      </c>
      <c r="CH305" s="58">
        <v>0</v>
      </c>
      <c r="CI305" s="114">
        <f>IF(Table1[[#This Row],[Check 3 Status]]="Continued", Table1[[#This Row],[Check 3 Students Summer]], 0)</f>
        <v>0</v>
      </c>
      <c r="CJ305" s="115">
        <f>Table1[[#This Row],[Check 3 Per Student Savings]]*CI305</f>
        <v>0</v>
      </c>
      <c r="CK305" s="114">
        <f>IF(Table1[[#This Row],[Check 3 Status]]="Continued", Table1[[#This Row],[Check 3 Students Fall]], 0)</f>
        <v>0</v>
      </c>
      <c r="CL305" s="115">
        <f>Table1[[#This Row],[Check 3 Per Student Savings]]*CK305</f>
        <v>0</v>
      </c>
      <c r="CM305" s="114">
        <f>IF(Table1[[#This Row],[Check 3 Status]]="Continued", Table1[[#This Row],[Check 3 Students Spring]], 0)</f>
        <v>0</v>
      </c>
      <c r="CN305" s="115">
        <f>Table1[[#This Row],[Check 3 Per Student Savings]]*CM305</f>
        <v>0</v>
      </c>
      <c r="CO305" s="114">
        <f t="shared" si="190"/>
        <v>0</v>
      </c>
      <c r="CP305" s="115">
        <f t="shared" si="191"/>
        <v>0</v>
      </c>
      <c r="CQ305" s="115" t="s">
        <v>964</v>
      </c>
      <c r="CR305" s="114">
        <v>0</v>
      </c>
      <c r="CS305" s="114">
        <v>0</v>
      </c>
      <c r="CT305" s="114">
        <v>0</v>
      </c>
      <c r="CU305" s="114">
        <f t="shared" si="192"/>
        <v>0</v>
      </c>
      <c r="CV305" s="115"/>
      <c r="CW305" s="115">
        <f t="shared" si="193"/>
        <v>0</v>
      </c>
      <c r="CX305" s="115"/>
      <c r="CY305" s="21">
        <f>IF(Table1[[#This Row],[Check 4 Status]]="Continued", Table1[[#This Row],[Check 4 Students Summer]], 0)</f>
        <v>0</v>
      </c>
      <c r="CZ305" s="58">
        <f>Table1[[#This Row],[Check 4 Per Student Savings]]*CY305</f>
        <v>0</v>
      </c>
      <c r="DA305" s="114">
        <f>IF(Table1[[#This Row],[Check 4 Status]]="Continued", Table1[[#This Row],[Check 4 Students Fall]], 0)</f>
        <v>0</v>
      </c>
      <c r="DB305" s="115">
        <f>Table1[[#This Row],[Check 4 Per Student Savings]]*DA305</f>
        <v>0</v>
      </c>
      <c r="DC305" s="21">
        <f>IF(Table1[[#This Row],[Check 4 Status]]="Continued", Table1[[#This Row],[Check 4 Students Spring]], 0)</f>
        <v>0</v>
      </c>
      <c r="DD305" s="58">
        <f>Table1[[#This Row],[Check 4 Per Student Savings]]*DC305</f>
        <v>0</v>
      </c>
      <c r="DE305" s="58">
        <f t="shared" si="194"/>
        <v>0</v>
      </c>
      <c r="DF305" s="58">
        <f t="shared" si="195"/>
        <v>0</v>
      </c>
      <c r="DG30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0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05" s="58">
        <f>Table1[[#This Row],[Grand Total Savings]]/Table1[[#This Row],[Total Award]]</f>
        <v>0</v>
      </c>
      <c r="DJ305" s="17"/>
      <c r="DK305" s="17"/>
      <c r="DL305" s="17"/>
      <c r="DM305" s="17"/>
      <c r="DX305" s="21"/>
      <c r="DY305" s="58"/>
      <c r="DZ305" s="21"/>
      <c r="EA305" s="21"/>
      <c r="EC305" s="17"/>
      <c r="ED305" s="17"/>
      <c r="EE305" s="17"/>
      <c r="EF305" s="17"/>
    </row>
    <row r="306" spans="1:136" x14ac:dyDescent="0.25">
      <c r="A306" s="163" t="s">
        <v>1421</v>
      </c>
      <c r="B306" s="163"/>
      <c r="C306" s="191" t="s">
        <v>129</v>
      </c>
      <c r="D306" s="108">
        <v>515994</v>
      </c>
      <c r="E306" s="199"/>
      <c r="F306" s="197"/>
      <c r="G306" s="198" t="s">
        <v>1280</v>
      </c>
      <c r="H306" s="95" t="s">
        <v>6</v>
      </c>
      <c r="I306" s="201" t="s">
        <v>962</v>
      </c>
      <c r="J306" s="17" t="s">
        <v>159</v>
      </c>
      <c r="K306" s="113">
        <v>4800</v>
      </c>
      <c r="L306" s="113" t="s">
        <v>1096</v>
      </c>
      <c r="M306" s="197" t="s">
        <v>1407</v>
      </c>
      <c r="N306" s="197" t="s">
        <v>1408</v>
      </c>
      <c r="O306" s="101" t="s">
        <v>1409</v>
      </c>
      <c r="P306" s="101" t="s">
        <v>303</v>
      </c>
      <c r="Q306" s="101" t="s">
        <v>304</v>
      </c>
      <c r="R306" s="197"/>
      <c r="S306" s="197"/>
      <c r="T306" s="17" t="s">
        <v>13</v>
      </c>
      <c r="U306" s="17" t="s">
        <v>1095</v>
      </c>
      <c r="V306" s="17" t="s">
        <v>1095</v>
      </c>
      <c r="W306" s="17" t="s">
        <v>1095</v>
      </c>
      <c r="X306" s="17" t="s">
        <v>1095</v>
      </c>
      <c r="Y306" s="58">
        <v>0</v>
      </c>
      <c r="Z306" s="58">
        <v>0</v>
      </c>
      <c r="AA306" s="58">
        <v>0</v>
      </c>
      <c r="AB306" s="21">
        <v>0</v>
      </c>
      <c r="AC306" s="21">
        <v>0</v>
      </c>
      <c r="AD306" s="21">
        <v>0</v>
      </c>
      <c r="AE306" s="58">
        <v>0</v>
      </c>
      <c r="AF306" s="17" t="s">
        <v>129</v>
      </c>
      <c r="AG306" s="115"/>
      <c r="AH306" s="115"/>
      <c r="AI306" s="58" t="s">
        <v>964</v>
      </c>
      <c r="AJ306" s="114">
        <f t="shared" si="198"/>
        <v>0</v>
      </c>
      <c r="AK306" s="31">
        <v>0</v>
      </c>
      <c r="AL306" s="21">
        <v>0</v>
      </c>
      <c r="AM306" s="31">
        <v>0</v>
      </c>
      <c r="AN306" s="21">
        <v>0</v>
      </c>
      <c r="AO306" s="31">
        <v>0</v>
      </c>
      <c r="AP306" s="21">
        <v>0</v>
      </c>
      <c r="AQ306" s="31">
        <v>0</v>
      </c>
      <c r="AR306" s="21">
        <v>0</v>
      </c>
      <c r="AS306" s="31">
        <v>0</v>
      </c>
      <c r="AT306" s="21">
        <v>0</v>
      </c>
      <c r="AU306" s="31">
        <v>0</v>
      </c>
      <c r="AV306" s="21">
        <v>0</v>
      </c>
      <c r="AW306" s="31">
        <v>0</v>
      </c>
      <c r="AX306" s="31">
        <v>0</v>
      </c>
      <c r="AY306" s="31">
        <v>0</v>
      </c>
      <c r="AZ306" s="31">
        <v>0</v>
      </c>
      <c r="BA306" s="31">
        <v>0</v>
      </c>
      <c r="BB306" s="31">
        <v>0</v>
      </c>
      <c r="BC306" s="31">
        <v>0</v>
      </c>
      <c r="BD306" s="31">
        <v>0</v>
      </c>
      <c r="BE306" s="31">
        <v>0</v>
      </c>
      <c r="BF306" s="31">
        <v>0</v>
      </c>
      <c r="BG306" s="31">
        <v>0</v>
      </c>
      <c r="BH306" s="31">
        <v>0</v>
      </c>
      <c r="BI306" s="31">
        <v>0</v>
      </c>
      <c r="BJ306" s="31">
        <v>0</v>
      </c>
      <c r="BK306" s="31">
        <v>0</v>
      </c>
      <c r="BL306" s="17" t="s">
        <v>964</v>
      </c>
      <c r="BM306" s="31">
        <v>0</v>
      </c>
      <c r="BN306" s="31">
        <v>0</v>
      </c>
      <c r="BO306" s="31">
        <v>0</v>
      </c>
      <c r="BP306" s="31">
        <v>0</v>
      </c>
      <c r="BQ306" s="31">
        <v>0</v>
      </c>
      <c r="BR306" s="31">
        <v>0</v>
      </c>
      <c r="BS306" s="21">
        <v>0</v>
      </c>
      <c r="BT306" s="21">
        <v>0</v>
      </c>
      <c r="BU306" s="21">
        <v>0</v>
      </c>
      <c r="BV306" s="21">
        <v>0</v>
      </c>
      <c r="BW306" s="21">
        <v>0</v>
      </c>
      <c r="BX306" s="115">
        <f>Table1[[#This Row],[Summer 2018 Price Check]]*Table1[[#This Row],[Spring 2019 Students]]</f>
        <v>0</v>
      </c>
      <c r="BY306" s="31">
        <f t="shared" si="187"/>
        <v>0</v>
      </c>
      <c r="BZ306" s="58">
        <f t="shared" si="188"/>
        <v>0</v>
      </c>
      <c r="CA306" s="17" t="s">
        <v>964</v>
      </c>
      <c r="CB306" s="21">
        <v>0</v>
      </c>
      <c r="CC306" s="21">
        <v>0</v>
      </c>
      <c r="CD306" s="21">
        <v>0</v>
      </c>
      <c r="CE306" s="21">
        <f t="shared" si="199"/>
        <v>0</v>
      </c>
      <c r="CF306" s="58"/>
      <c r="CG306" s="115">
        <f t="shared" si="189"/>
        <v>0</v>
      </c>
      <c r="CH306" s="58">
        <v>0</v>
      </c>
      <c r="CI306" s="114">
        <f>IF(Table1[[#This Row],[Check 3 Status]]="Continued", Table1[[#This Row],[Check 3 Students Summer]], 0)</f>
        <v>0</v>
      </c>
      <c r="CJ306" s="115">
        <f>Table1[[#This Row],[Check 3 Per Student Savings]]*CI306</f>
        <v>0</v>
      </c>
      <c r="CK306" s="114">
        <f>IF(Table1[[#This Row],[Check 3 Status]]="Continued", Table1[[#This Row],[Check 3 Students Fall]], 0)</f>
        <v>0</v>
      </c>
      <c r="CL306" s="115">
        <f>Table1[[#This Row],[Check 3 Per Student Savings]]*CK306</f>
        <v>0</v>
      </c>
      <c r="CM306" s="114">
        <f>IF(Table1[[#This Row],[Check 3 Status]]="Continued", Table1[[#This Row],[Check 3 Students Spring]], 0)</f>
        <v>0</v>
      </c>
      <c r="CN306" s="115">
        <f>Table1[[#This Row],[Check 3 Per Student Savings]]*CM306</f>
        <v>0</v>
      </c>
      <c r="CO306" s="114">
        <f t="shared" si="190"/>
        <v>0</v>
      </c>
      <c r="CP306" s="115">
        <f t="shared" si="191"/>
        <v>0</v>
      </c>
      <c r="CQ306" s="115" t="s">
        <v>964</v>
      </c>
      <c r="CR306" s="114">
        <v>0</v>
      </c>
      <c r="CS306" s="114">
        <v>0</v>
      </c>
      <c r="CT306" s="114">
        <v>0</v>
      </c>
      <c r="CU306" s="114">
        <f t="shared" si="192"/>
        <v>0</v>
      </c>
      <c r="CV306" s="115"/>
      <c r="CW306" s="115">
        <f t="shared" si="193"/>
        <v>0</v>
      </c>
      <c r="CX306" s="115"/>
      <c r="CY306" s="21">
        <f>IF(Table1[[#This Row],[Check 4 Status]]="Continued", Table1[[#This Row],[Check 4 Students Summer]], 0)</f>
        <v>0</v>
      </c>
      <c r="CZ306" s="58">
        <f>Table1[[#This Row],[Check 4 Per Student Savings]]*CY306</f>
        <v>0</v>
      </c>
      <c r="DA306" s="114">
        <f>IF(Table1[[#This Row],[Check 4 Status]]="Continued", Table1[[#This Row],[Check 4 Students Fall]], 0)</f>
        <v>0</v>
      </c>
      <c r="DB306" s="115">
        <f>Table1[[#This Row],[Check 4 Per Student Savings]]*DA306</f>
        <v>0</v>
      </c>
      <c r="DC306" s="21">
        <f>IF(Table1[[#This Row],[Check 4 Status]]="Continued", Table1[[#This Row],[Check 4 Students Spring]], 0)</f>
        <v>0</v>
      </c>
      <c r="DD306" s="58">
        <f>Table1[[#This Row],[Check 4 Per Student Savings]]*DC306</f>
        <v>0</v>
      </c>
      <c r="DE306" s="58">
        <f t="shared" si="194"/>
        <v>0</v>
      </c>
      <c r="DF306" s="58">
        <f t="shared" si="195"/>
        <v>0</v>
      </c>
      <c r="DG30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0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06" s="58">
        <f>Table1[[#This Row],[Grand Total Savings]]/Table1[[#This Row],[Total Award]]</f>
        <v>0</v>
      </c>
      <c r="DJ306" s="17"/>
      <c r="DK306" s="17"/>
      <c r="DL306" s="17"/>
      <c r="DM306" s="17"/>
      <c r="DX306" s="21"/>
      <c r="DY306" s="58"/>
      <c r="DZ306" s="21"/>
      <c r="EA306" s="21"/>
      <c r="EC306" s="17"/>
      <c r="ED306" s="17"/>
      <c r="EE306" s="17"/>
      <c r="EF306" s="17"/>
    </row>
    <row r="307" spans="1:136" x14ac:dyDescent="0.25">
      <c r="A307" s="163" t="s">
        <v>1422</v>
      </c>
      <c r="B307" s="163"/>
      <c r="C307" s="191" t="s">
        <v>129</v>
      </c>
      <c r="D307" s="108">
        <v>515886</v>
      </c>
      <c r="E307" s="199"/>
      <c r="F307" s="197"/>
      <c r="G307" s="198" t="s">
        <v>1280</v>
      </c>
      <c r="H307" s="95" t="s">
        <v>6</v>
      </c>
      <c r="I307" s="201" t="s">
        <v>962</v>
      </c>
      <c r="J307" s="17" t="s">
        <v>257</v>
      </c>
      <c r="K307" s="113">
        <v>2800</v>
      </c>
      <c r="L307" s="113" t="s">
        <v>1096</v>
      </c>
      <c r="M307" s="197" t="s">
        <v>1423</v>
      </c>
      <c r="N307" s="197" t="s">
        <v>1424</v>
      </c>
      <c r="O307" s="101" t="s">
        <v>986</v>
      </c>
      <c r="P307" s="101" t="s">
        <v>1228</v>
      </c>
      <c r="Q307" s="101" t="s">
        <v>192</v>
      </c>
      <c r="R307" s="197"/>
      <c r="S307" s="197"/>
      <c r="T307" s="17" t="s">
        <v>13</v>
      </c>
      <c r="U307" s="17" t="s">
        <v>1095</v>
      </c>
      <c r="V307" s="17" t="s">
        <v>1095</v>
      </c>
      <c r="W307" s="17" t="s">
        <v>1095</v>
      </c>
      <c r="X307" s="17" t="s">
        <v>1095</v>
      </c>
      <c r="Y307" s="58">
        <v>0</v>
      </c>
      <c r="Z307" s="58">
        <v>0</v>
      </c>
      <c r="AA307" s="58">
        <v>0</v>
      </c>
      <c r="AB307" s="21">
        <v>0</v>
      </c>
      <c r="AC307" s="21">
        <v>0</v>
      </c>
      <c r="AD307" s="21">
        <v>0</v>
      </c>
      <c r="AE307" s="58">
        <v>0</v>
      </c>
      <c r="AF307" s="17" t="s">
        <v>129</v>
      </c>
      <c r="AG307" s="115"/>
      <c r="AH307" s="115"/>
      <c r="AI307" s="58" t="s">
        <v>964</v>
      </c>
      <c r="AJ307" s="114">
        <f t="shared" si="198"/>
        <v>0</v>
      </c>
      <c r="AK307" s="31">
        <v>0</v>
      </c>
      <c r="AL307" s="21">
        <v>0</v>
      </c>
      <c r="AM307" s="31">
        <v>0</v>
      </c>
      <c r="AN307" s="21">
        <v>0</v>
      </c>
      <c r="AO307" s="31">
        <v>0</v>
      </c>
      <c r="AP307" s="21">
        <v>0</v>
      </c>
      <c r="AQ307" s="31">
        <v>0</v>
      </c>
      <c r="AR307" s="21">
        <v>0</v>
      </c>
      <c r="AS307" s="31">
        <v>0</v>
      </c>
      <c r="AT307" s="21">
        <v>0</v>
      </c>
      <c r="AU307" s="31">
        <v>0</v>
      </c>
      <c r="AV307" s="21">
        <v>0</v>
      </c>
      <c r="AW307" s="31">
        <v>0</v>
      </c>
      <c r="AX307" s="31">
        <v>0</v>
      </c>
      <c r="AY307" s="31">
        <v>0</v>
      </c>
      <c r="AZ307" s="31">
        <v>0</v>
      </c>
      <c r="BA307" s="31">
        <v>0</v>
      </c>
      <c r="BB307" s="31">
        <v>0</v>
      </c>
      <c r="BC307" s="31">
        <v>0</v>
      </c>
      <c r="BD307" s="31">
        <v>0</v>
      </c>
      <c r="BE307" s="31">
        <v>0</v>
      </c>
      <c r="BF307" s="31">
        <v>0</v>
      </c>
      <c r="BG307" s="31">
        <v>0</v>
      </c>
      <c r="BH307" s="31">
        <v>0</v>
      </c>
      <c r="BI307" s="31">
        <v>0</v>
      </c>
      <c r="BJ307" s="31">
        <v>0</v>
      </c>
      <c r="BK307" s="31">
        <v>0</v>
      </c>
      <c r="BL307" s="17" t="s">
        <v>964</v>
      </c>
      <c r="BM307" s="31">
        <v>0</v>
      </c>
      <c r="BN307" s="31">
        <v>0</v>
      </c>
      <c r="BO307" s="31">
        <v>0</v>
      </c>
      <c r="BP307" s="31">
        <v>0</v>
      </c>
      <c r="BQ307" s="31">
        <v>0</v>
      </c>
      <c r="BR307" s="31">
        <v>0</v>
      </c>
      <c r="BS307" s="21">
        <v>0</v>
      </c>
      <c r="BT307" s="21">
        <v>0</v>
      </c>
      <c r="BU307" s="21">
        <v>0</v>
      </c>
      <c r="BV307" s="21">
        <v>0</v>
      </c>
      <c r="BW307" s="21">
        <v>0</v>
      </c>
      <c r="BX307" s="115">
        <f>Table1[[#This Row],[Summer 2018 Price Check]]*Table1[[#This Row],[Spring 2019 Students]]</f>
        <v>0</v>
      </c>
      <c r="BY307" s="31">
        <f t="shared" si="187"/>
        <v>0</v>
      </c>
      <c r="BZ307" s="58">
        <f t="shared" si="188"/>
        <v>0</v>
      </c>
      <c r="CA307" s="17" t="s">
        <v>964</v>
      </c>
      <c r="CB307" s="21">
        <v>0</v>
      </c>
      <c r="CC307" s="21">
        <v>0</v>
      </c>
      <c r="CD307" s="21">
        <v>0</v>
      </c>
      <c r="CE307" s="21">
        <f t="shared" si="199"/>
        <v>0</v>
      </c>
      <c r="CF307" s="58"/>
      <c r="CG307" s="115">
        <f t="shared" si="189"/>
        <v>0</v>
      </c>
      <c r="CH307" s="58">
        <v>0</v>
      </c>
      <c r="CI307" s="114">
        <f>IF(Table1[[#This Row],[Check 3 Status]]="Continued", Table1[[#This Row],[Check 3 Students Summer]], 0)</f>
        <v>0</v>
      </c>
      <c r="CJ307" s="115">
        <f>Table1[[#This Row],[Check 3 Per Student Savings]]*CI307</f>
        <v>0</v>
      </c>
      <c r="CK307" s="114">
        <f>IF(Table1[[#This Row],[Check 3 Status]]="Continued", Table1[[#This Row],[Check 3 Students Fall]], 0)</f>
        <v>0</v>
      </c>
      <c r="CL307" s="115">
        <f>Table1[[#This Row],[Check 3 Per Student Savings]]*CK307</f>
        <v>0</v>
      </c>
      <c r="CM307" s="114">
        <f>IF(Table1[[#This Row],[Check 3 Status]]="Continued", Table1[[#This Row],[Check 3 Students Spring]], 0)</f>
        <v>0</v>
      </c>
      <c r="CN307" s="115">
        <f>Table1[[#This Row],[Check 3 Per Student Savings]]*CM307</f>
        <v>0</v>
      </c>
      <c r="CO307" s="114">
        <f t="shared" si="190"/>
        <v>0</v>
      </c>
      <c r="CP307" s="115">
        <f t="shared" si="191"/>
        <v>0</v>
      </c>
      <c r="CQ307" s="115" t="s">
        <v>964</v>
      </c>
      <c r="CR307" s="114">
        <v>0</v>
      </c>
      <c r="CS307" s="114">
        <v>0</v>
      </c>
      <c r="CT307" s="114">
        <v>0</v>
      </c>
      <c r="CU307" s="114">
        <f t="shared" si="192"/>
        <v>0</v>
      </c>
      <c r="CV307" s="115"/>
      <c r="CW307" s="115">
        <f t="shared" si="193"/>
        <v>0</v>
      </c>
      <c r="CX307" s="115"/>
      <c r="CY307" s="21">
        <f>IF(Table1[[#This Row],[Check 4 Status]]="Continued", Table1[[#This Row],[Check 4 Students Summer]], 0)</f>
        <v>0</v>
      </c>
      <c r="CZ307" s="58">
        <f>Table1[[#This Row],[Check 4 Per Student Savings]]*CY307</f>
        <v>0</v>
      </c>
      <c r="DA307" s="114">
        <f>IF(Table1[[#This Row],[Check 4 Status]]="Continued", Table1[[#This Row],[Check 4 Students Fall]], 0)</f>
        <v>0</v>
      </c>
      <c r="DB307" s="115">
        <f>Table1[[#This Row],[Check 4 Per Student Savings]]*DA307</f>
        <v>0</v>
      </c>
      <c r="DC307" s="21">
        <f>IF(Table1[[#This Row],[Check 4 Status]]="Continued", Table1[[#This Row],[Check 4 Students Spring]], 0)</f>
        <v>0</v>
      </c>
      <c r="DD307" s="58">
        <f>Table1[[#This Row],[Check 4 Per Student Savings]]*DC307</f>
        <v>0</v>
      </c>
      <c r="DE307" s="58">
        <f t="shared" si="194"/>
        <v>0</v>
      </c>
      <c r="DF307" s="58">
        <f t="shared" si="195"/>
        <v>0</v>
      </c>
      <c r="DG30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0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07" s="58">
        <f>Table1[[#This Row],[Grand Total Savings]]/Table1[[#This Row],[Total Award]]</f>
        <v>0</v>
      </c>
      <c r="DJ307" s="17"/>
      <c r="DK307" s="17"/>
      <c r="DL307" s="17"/>
      <c r="DM307" s="17"/>
      <c r="DX307" s="21"/>
      <c r="DY307" s="58"/>
      <c r="DZ307" s="21"/>
      <c r="EA307" s="21"/>
      <c r="EC307" s="17"/>
      <c r="ED307" s="17"/>
      <c r="EE307" s="17"/>
      <c r="EF307" s="17"/>
    </row>
    <row r="308" spans="1:136" x14ac:dyDescent="0.25">
      <c r="A308" s="163" t="s">
        <v>1425</v>
      </c>
      <c r="B308" s="163"/>
      <c r="C308" s="191" t="s">
        <v>129</v>
      </c>
      <c r="D308" s="108">
        <v>515867</v>
      </c>
      <c r="E308" s="199"/>
      <c r="F308" s="197"/>
      <c r="G308" s="198" t="s">
        <v>1280</v>
      </c>
      <c r="H308" s="95" t="s">
        <v>6</v>
      </c>
      <c r="I308" s="201" t="s">
        <v>962</v>
      </c>
      <c r="J308" s="17" t="s">
        <v>282</v>
      </c>
      <c r="K308" s="113">
        <v>2800</v>
      </c>
      <c r="L308" s="113" t="s">
        <v>1287</v>
      </c>
      <c r="M308" s="197" t="s">
        <v>1426</v>
      </c>
      <c r="N308" s="197" t="s">
        <v>1427</v>
      </c>
      <c r="O308" s="101" t="s">
        <v>1201</v>
      </c>
      <c r="P308" s="101" t="s">
        <v>1428</v>
      </c>
      <c r="Q308" s="101" t="s">
        <v>177</v>
      </c>
      <c r="R308" s="197"/>
      <c r="S308" s="197"/>
      <c r="T308" s="17" t="s">
        <v>13</v>
      </c>
      <c r="U308" s="17" t="s">
        <v>1095</v>
      </c>
      <c r="V308" s="17" t="s">
        <v>1095</v>
      </c>
      <c r="W308" s="17" t="s">
        <v>1095</v>
      </c>
      <c r="X308" s="17" t="s">
        <v>1095</v>
      </c>
      <c r="Y308" s="58">
        <v>0</v>
      </c>
      <c r="Z308" s="58">
        <v>0</v>
      </c>
      <c r="AA308" s="58">
        <v>0</v>
      </c>
      <c r="AB308" s="21">
        <v>0</v>
      </c>
      <c r="AC308" s="21">
        <v>0</v>
      </c>
      <c r="AD308" s="21">
        <v>0</v>
      </c>
      <c r="AE308" s="58">
        <v>0</v>
      </c>
      <c r="AF308" s="17" t="s">
        <v>129</v>
      </c>
      <c r="AG308" s="115"/>
      <c r="AH308" s="115"/>
      <c r="AI308" s="58" t="s">
        <v>964</v>
      </c>
      <c r="AJ308" s="114">
        <f t="shared" si="198"/>
        <v>0</v>
      </c>
      <c r="AK308" s="31">
        <v>0</v>
      </c>
      <c r="AL308" s="21">
        <v>0</v>
      </c>
      <c r="AM308" s="31">
        <v>0</v>
      </c>
      <c r="AN308" s="21">
        <v>0</v>
      </c>
      <c r="AO308" s="31">
        <v>0</v>
      </c>
      <c r="AP308" s="21">
        <v>0</v>
      </c>
      <c r="AQ308" s="31">
        <v>0</v>
      </c>
      <c r="AR308" s="21">
        <v>0</v>
      </c>
      <c r="AS308" s="31">
        <v>0</v>
      </c>
      <c r="AT308" s="21">
        <v>0</v>
      </c>
      <c r="AU308" s="31">
        <v>0</v>
      </c>
      <c r="AV308" s="21">
        <v>0</v>
      </c>
      <c r="AW308" s="31">
        <v>0</v>
      </c>
      <c r="AX308" s="31">
        <v>0</v>
      </c>
      <c r="AY308" s="31">
        <v>0</v>
      </c>
      <c r="AZ308" s="31">
        <v>0</v>
      </c>
      <c r="BA308" s="31">
        <v>0</v>
      </c>
      <c r="BB308" s="31">
        <v>0</v>
      </c>
      <c r="BC308" s="31">
        <v>0</v>
      </c>
      <c r="BD308" s="31">
        <v>0</v>
      </c>
      <c r="BE308" s="31">
        <v>0</v>
      </c>
      <c r="BF308" s="31">
        <v>0</v>
      </c>
      <c r="BG308" s="31">
        <v>0</v>
      </c>
      <c r="BH308" s="31">
        <v>0</v>
      </c>
      <c r="BI308" s="31">
        <v>0</v>
      </c>
      <c r="BJ308" s="31">
        <v>0</v>
      </c>
      <c r="BK308" s="31">
        <v>0</v>
      </c>
      <c r="BL308" s="17" t="s">
        <v>964</v>
      </c>
      <c r="BM308" s="31">
        <v>0</v>
      </c>
      <c r="BN308" s="31">
        <v>0</v>
      </c>
      <c r="BO308" s="31">
        <v>0</v>
      </c>
      <c r="BP308" s="31">
        <v>0</v>
      </c>
      <c r="BQ308" s="31">
        <v>0</v>
      </c>
      <c r="BR308" s="31">
        <v>0</v>
      </c>
      <c r="BS308" s="21">
        <v>0</v>
      </c>
      <c r="BT308" s="21">
        <v>0</v>
      </c>
      <c r="BU308" s="21">
        <v>0</v>
      </c>
      <c r="BV308" s="21">
        <v>0</v>
      </c>
      <c r="BW308" s="21">
        <v>0</v>
      </c>
      <c r="BX308" s="115">
        <f>Table1[[#This Row],[Summer 2018 Price Check]]*Table1[[#This Row],[Spring 2019 Students]]</f>
        <v>0</v>
      </c>
      <c r="BY308" s="31">
        <f t="shared" si="187"/>
        <v>0</v>
      </c>
      <c r="BZ308" s="58">
        <f t="shared" si="188"/>
        <v>0</v>
      </c>
      <c r="CA308" s="17" t="s">
        <v>964</v>
      </c>
      <c r="CB308" s="21">
        <v>0</v>
      </c>
      <c r="CC308" s="21">
        <v>0</v>
      </c>
      <c r="CD308" s="21">
        <v>0</v>
      </c>
      <c r="CE308" s="21">
        <f t="shared" si="199"/>
        <v>0</v>
      </c>
      <c r="CF308" s="58"/>
      <c r="CG308" s="115">
        <f t="shared" si="189"/>
        <v>0</v>
      </c>
      <c r="CH308" s="58">
        <v>0</v>
      </c>
      <c r="CI308" s="114">
        <f>IF(Table1[[#This Row],[Check 3 Status]]="Continued", Table1[[#This Row],[Check 3 Students Summer]], 0)</f>
        <v>0</v>
      </c>
      <c r="CJ308" s="115">
        <f>Table1[[#This Row],[Check 3 Per Student Savings]]*CI308</f>
        <v>0</v>
      </c>
      <c r="CK308" s="114">
        <f>IF(Table1[[#This Row],[Check 3 Status]]="Continued", Table1[[#This Row],[Check 3 Students Fall]], 0)</f>
        <v>0</v>
      </c>
      <c r="CL308" s="115">
        <f>Table1[[#This Row],[Check 3 Per Student Savings]]*CK308</f>
        <v>0</v>
      </c>
      <c r="CM308" s="114">
        <f>IF(Table1[[#This Row],[Check 3 Status]]="Continued", Table1[[#This Row],[Check 3 Students Spring]], 0)</f>
        <v>0</v>
      </c>
      <c r="CN308" s="115">
        <f>Table1[[#This Row],[Check 3 Per Student Savings]]*CM308</f>
        <v>0</v>
      </c>
      <c r="CO308" s="114">
        <f t="shared" si="190"/>
        <v>0</v>
      </c>
      <c r="CP308" s="115">
        <f t="shared" si="191"/>
        <v>0</v>
      </c>
      <c r="CQ308" s="115" t="s">
        <v>964</v>
      </c>
      <c r="CR308" s="114">
        <v>0</v>
      </c>
      <c r="CS308" s="114">
        <v>0</v>
      </c>
      <c r="CT308" s="114">
        <v>0</v>
      </c>
      <c r="CU308" s="114">
        <f t="shared" si="192"/>
        <v>0</v>
      </c>
      <c r="CV308" s="115"/>
      <c r="CW308" s="115">
        <f t="shared" si="193"/>
        <v>0</v>
      </c>
      <c r="CX308" s="115"/>
      <c r="CY308" s="21">
        <f>IF(Table1[[#This Row],[Check 4 Status]]="Continued", Table1[[#This Row],[Check 4 Students Summer]], 0)</f>
        <v>0</v>
      </c>
      <c r="CZ308" s="58">
        <f>Table1[[#This Row],[Check 4 Per Student Savings]]*CY308</f>
        <v>0</v>
      </c>
      <c r="DA308" s="114">
        <f>IF(Table1[[#This Row],[Check 4 Status]]="Continued", Table1[[#This Row],[Check 4 Students Fall]], 0)</f>
        <v>0</v>
      </c>
      <c r="DB308" s="115">
        <f>Table1[[#This Row],[Check 4 Per Student Savings]]*DA308</f>
        <v>0</v>
      </c>
      <c r="DC308" s="21">
        <f>IF(Table1[[#This Row],[Check 4 Status]]="Continued", Table1[[#This Row],[Check 4 Students Spring]], 0)</f>
        <v>0</v>
      </c>
      <c r="DD308" s="58">
        <f>Table1[[#This Row],[Check 4 Per Student Savings]]*DC308</f>
        <v>0</v>
      </c>
      <c r="DE308" s="58">
        <f t="shared" si="194"/>
        <v>0</v>
      </c>
      <c r="DF308" s="58">
        <f t="shared" si="195"/>
        <v>0</v>
      </c>
      <c r="DG30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0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08" s="58">
        <f>Table1[[#This Row],[Grand Total Savings]]/Table1[[#This Row],[Total Award]]</f>
        <v>0</v>
      </c>
      <c r="DJ308" s="17"/>
      <c r="DK308" s="17"/>
      <c r="DL308" s="17"/>
      <c r="DM308" s="17"/>
      <c r="DX308" s="21"/>
      <c r="DY308" s="58"/>
      <c r="DZ308" s="21"/>
      <c r="EA308" s="21"/>
      <c r="EC308" s="17"/>
      <c r="ED308" s="17"/>
      <c r="EE308" s="17"/>
      <c r="EF308" s="17"/>
    </row>
    <row r="309" spans="1:136" x14ac:dyDescent="0.25">
      <c r="A309" s="191" t="s">
        <v>1429</v>
      </c>
      <c r="B309" s="191"/>
      <c r="C309" s="191" t="s">
        <v>129</v>
      </c>
      <c r="D309" s="108">
        <v>515682</v>
      </c>
      <c r="E309" s="199"/>
      <c r="F309" s="197"/>
      <c r="G309" s="198" t="s">
        <v>1280</v>
      </c>
      <c r="H309" s="95" t="s">
        <v>6</v>
      </c>
      <c r="I309" s="201" t="s">
        <v>962</v>
      </c>
      <c r="J309" s="17" t="s">
        <v>499</v>
      </c>
      <c r="K309" s="113">
        <v>4800</v>
      </c>
      <c r="L309" s="113" t="s">
        <v>1287</v>
      </c>
      <c r="M309" s="197" t="s">
        <v>1430</v>
      </c>
      <c r="N309" s="197" t="s">
        <v>1431</v>
      </c>
      <c r="O309" s="101" t="s">
        <v>309</v>
      </c>
      <c r="P309" s="101" t="s">
        <v>310</v>
      </c>
      <c r="Q309" s="101" t="s">
        <v>148</v>
      </c>
      <c r="R309" s="197"/>
      <c r="S309" s="197"/>
      <c r="T309" s="17" t="s">
        <v>13</v>
      </c>
      <c r="U309" s="17" t="s">
        <v>1095</v>
      </c>
      <c r="V309" s="17" t="s">
        <v>1095</v>
      </c>
      <c r="W309" s="17" t="s">
        <v>1095</v>
      </c>
      <c r="X309" s="17" t="s">
        <v>1095</v>
      </c>
      <c r="Y309" s="58">
        <v>0</v>
      </c>
      <c r="Z309" s="58">
        <v>0</v>
      </c>
      <c r="AA309" s="58">
        <v>0</v>
      </c>
      <c r="AB309" s="21">
        <v>0</v>
      </c>
      <c r="AC309" s="21">
        <v>0</v>
      </c>
      <c r="AD309" s="21">
        <v>0</v>
      </c>
      <c r="AE309" s="58">
        <v>0</v>
      </c>
      <c r="AF309" s="17" t="s">
        <v>129</v>
      </c>
      <c r="AG309" s="115"/>
      <c r="AH309" s="115"/>
      <c r="AI309" s="58" t="s">
        <v>964</v>
      </c>
      <c r="AJ309" s="114">
        <f t="shared" si="198"/>
        <v>0</v>
      </c>
      <c r="AK309" s="31">
        <v>0</v>
      </c>
      <c r="AL309" s="21">
        <v>0</v>
      </c>
      <c r="AM309" s="31">
        <v>0</v>
      </c>
      <c r="AN309" s="21">
        <v>0</v>
      </c>
      <c r="AO309" s="31">
        <v>0</v>
      </c>
      <c r="AP309" s="21">
        <v>0</v>
      </c>
      <c r="AQ309" s="31">
        <v>0</v>
      </c>
      <c r="AR309" s="21">
        <v>0</v>
      </c>
      <c r="AS309" s="31">
        <v>0</v>
      </c>
      <c r="AT309" s="21">
        <v>0</v>
      </c>
      <c r="AU309" s="31">
        <v>0</v>
      </c>
      <c r="AV309" s="21">
        <v>0</v>
      </c>
      <c r="AW309" s="31">
        <v>0</v>
      </c>
      <c r="AX309" s="31">
        <v>0</v>
      </c>
      <c r="AY309" s="31">
        <v>0</v>
      </c>
      <c r="AZ309" s="31">
        <v>0</v>
      </c>
      <c r="BA309" s="31">
        <v>0</v>
      </c>
      <c r="BB309" s="31">
        <v>0</v>
      </c>
      <c r="BC309" s="31">
        <v>0</v>
      </c>
      <c r="BD309" s="31">
        <v>0</v>
      </c>
      <c r="BE309" s="31">
        <v>0</v>
      </c>
      <c r="BF309" s="31">
        <v>0</v>
      </c>
      <c r="BG309" s="31">
        <v>0</v>
      </c>
      <c r="BH309" s="31">
        <v>0</v>
      </c>
      <c r="BI309" s="31">
        <v>0</v>
      </c>
      <c r="BJ309" s="31">
        <v>0</v>
      </c>
      <c r="BK309" s="31">
        <v>0</v>
      </c>
      <c r="BL309" s="17" t="s">
        <v>964</v>
      </c>
      <c r="BM309" s="31">
        <v>0</v>
      </c>
      <c r="BN309" s="31">
        <v>0</v>
      </c>
      <c r="BO309" s="31">
        <v>0</v>
      </c>
      <c r="BP309" s="31">
        <v>0</v>
      </c>
      <c r="BQ309" s="31">
        <v>0</v>
      </c>
      <c r="BR309" s="31">
        <v>0</v>
      </c>
      <c r="BS309" s="21">
        <v>0</v>
      </c>
      <c r="BT309" s="21">
        <v>0</v>
      </c>
      <c r="BU309" s="21">
        <v>0</v>
      </c>
      <c r="BV309" s="21">
        <v>0</v>
      </c>
      <c r="BW309" s="21">
        <v>0</v>
      </c>
      <c r="BX309" s="115">
        <f>Table1[[#This Row],[Summer 2018 Price Check]]*Table1[[#This Row],[Spring 2019 Students]]</f>
        <v>0</v>
      </c>
      <c r="BY309" s="31">
        <f t="shared" si="187"/>
        <v>0</v>
      </c>
      <c r="BZ309" s="58">
        <f t="shared" si="188"/>
        <v>0</v>
      </c>
      <c r="CA309" s="17" t="s">
        <v>964</v>
      </c>
      <c r="CB309" s="21">
        <v>0</v>
      </c>
      <c r="CC309" s="21">
        <v>0</v>
      </c>
      <c r="CD309" s="21">
        <v>0</v>
      </c>
      <c r="CE309" s="21">
        <f t="shared" si="199"/>
        <v>0</v>
      </c>
      <c r="CF309" s="58"/>
      <c r="CG309" s="115">
        <f t="shared" si="189"/>
        <v>0</v>
      </c>
      <c r="CH309" s="58">
        <v>0</v>
      </c>
      <c r="CI309" s="114">
        <f>IF(Table1[[#This Row],[Check 3 Status]]="Continued", Table1[[#This Row],[Check 3 Students Summer]], 0)</f>
        <v>0</v>
      </c>
      <c r="CJ309" s="115">
        <f>Table1[[#This Row],[Check 3 Per Student Savings]]*CI309</f>
        <v>0</v>
      </c>
      <c r="CK309" s="114">
        <f>IF(Table1[[#This Row],[Check 3 Status]]="Continued", Table1[[#This Row],[Check 3 Students Fall]], 0)</f>
        <v>0</v>
      </c>
      <c r="CL309" s="115">
        <f>Table1[[#This Row],[Check 3 Per Student Savings]]*CK309</f>
        <v>0</v>
      </c>
      <c r="CM309" s="114">
        <f>IF(Table1[[#This Row],[Check 3 Status]]="Continued", Table1[[#This Row],[Check 3 Students Spring]], 0)</f>
        <v>0</v>
      </c>
      <c r="CN309" s="115">
        <f>Table1[[#This Row],[Check 3 Per Student Savings]]*CM309</f>
        <v>0</v>
      </c>
      <c r="CO309" s="114">
        <f t="shared" si="190"/>
        <v>0</v>
      </c>
      <c r="CP309" s="115">
        <f t="shared" si="191"/>
        <v>0</v>
      </c>
      <c r="CQ309" s="115" t="s">
        <v>964</v>
      </c>
      <c r="CR309" s="114">
        <v>0</v>
      </c>
      <c r="CS309" s="114">
        <v>0</v>
      </c>
      <c r="CT309" s="114">
        <v>0</v>
      </c>
      <c r="CU309" s="114">
        <f t="shared" si="192"/>
        <v>0</v>
      </c>
      <c r="CV309" s="115"/>
      <c r="CW309" s="115">
        <f t="shared" si="193"/>
        <v>0</v>
      </c>
      <c r="CX309" s="115"/>
      <c r="CY309" s="21">
        <f>IF(Table1[[#This Row],[Check 4 Status]]="Continued", Table1[[#This Row],[Check 4 Students Summer]], 0)</f>
        <v>0</v>
      </c>
      <c r="CZ309" s="58">
        <f>Table1[[#This Row],[Check 4 Per Student Savings]]*CY309</f>
        <v>0</v>
      </c>
      <c r="DA309" s="114">
        <f>IF(Table1[[#This Row],[Check 4 Status]]="Continued", Table1[[#This Row],[Check 4 Students Fall]], 0)</f>
        <v>0</v>
      </c>
      <c r="DB309" s="115">
        <f>Table1[[#This Row],[Check 4 Per Student Savings]]*DA309</f>
        <v>0</v>
      </c>
      <c r="DC309" s="21">
        <f>IF(Table1[[#This Row],[Check 4 Status]]="Continued", Table1[[#This Row],[Check 4 Students Spring]], 0)</f>
        <v>0</v>
      </c>
      <c r="DD309" s="58">
        <f>Table1[[#This Row],[Check 4 Per Student Savings]]*DC309</f>
        <v>0</v>
      </c>
      <c r="DE309" s="58">
        <f t="shared" si="194"/>
        <v>0</v>
      </c>
      <c r="DF309" s="58">
        <f t="shared" si="195"/>
        <v>0</v>
      </c>
      <c r="DG30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0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09" s="58">
        <f>Table1[[#This Row],[Grand Total Savings]]/Table1[[#This Row],[Total Award]]</f>
        <v>0</v>
      </c>
      <c r="DJ309" s="17"/>
      <c r="DK309" s="17"/>
      <c r="DL309" s="17"/>
      <c r="DM309" s="17"/>
      <c r="DX309" s="21"/>
      <c r="DY309" s="58"/>
      <c r="DZ309" s="21"/>
      <c r="EA309" s="21"/>
      <c r="EC309" s="17"/>
      <c r="ED309" s="17"/>
      <c r="EE309" s="17"/>
      <c r="EF309" s="17"/>
    </row>
    <row r="310" spans="1:136" x14ac:dyDescent="0.25">
      <c r="A310" s="163" t="s">
        <v>1432</v>
      </c>
      <c r="B310" s="163"/>
      <c r="C310" s="191" t="s">
        <v>129</v>
      </c>
      <c r="D310" s="108">
        <v>516258</v>
      </c>
      <c r="E310" s="199"/>
      <c r="F310" s="197"/>
      <c r="G310" s="202" t="s">
        <v>1280</v>
      </c>
      <c r="H310" s="95" t="s">
        <v>6</v>
      </c>
      <c r="I310" s="201" t="s">
        <v>962</v>
      </c>
      <c r="J310" s="17" t="s">
        <v>159</v>
      </c>
      <c r="K310" s="113">
        <v>4800</v>
      </c>
      <c r="L310" s="113" t="s">
        <v>1096</v>
      </c>
      <c r="M310" s="197" t="s">
        <v>1433</v>
      </c>
      <c r="N310" s="197" t="s">
        <v>1434</v>
      </c>
      <c r="O310" s="101" t="s">
        <v>1435</v>
      </c>
      <c r="P310" s="101" t="s">
        <v>1436</v>
      </c>
      <c r="Q310" s="101" t="s">
        <v>177</v>
      </c>
      <c r="R310" s="197"/>
      <c r="S310" s="197"/>
      <c r="T310" s="17" t="s">
        <v>13</v>
      </c>
      <c r="U310" s="17" t="s">
        <v>1095</v>
      </c>
      <c r="V310" s="17" t="s">
        <v>1095</v>
      </c>
      <c r="W310" s="17" t="s">
        <v>1095</v>
      </c>
      <c r="X310" s="17" t="s">
        <v>1095</v>
      </c>
      <c r="Y310" s="58">
        <v>0</v>
      </c>
      <c r="Z310" s="58">
        <v>0</v>
      </c>
      <c r="AA310" s="58">
        <v>0</v>
      </c>
      <c r="AB310" s="21">
        <v>0</v>
      </c>
      <c r="AC310" s="21">
        <v>0</v>
      </c>
      <c r="AD310" s="21">
        <v>0</v>
      </c>
      <c r="AE310" s="58">
        <v>0</v>
      </c>
      <c r="AF310" s="17" t="s">
        <v>129</v>
      </c>
      <c r="AG310" s="115"/>
      <c r="AH310" s="115"/>
      <c r="AI310" s="58" t="s">
        <v>964</v>
      </c>
      <c r="AJ310" s="114">
        <f t="shared" si="198"/>
        <v>0</v>
      </c>
      <c r="AK310" s="31">
        <v>0</v>
      </c>
      <c r="AL310" s="21">
        <v>0</v>
      </c>
      <c r="AM310" s="31">
        <v>0</v>
      </c>
      <c r="AN310" s="21">
        <v>0</v>
      </c>
      <c r="AO310" s="31">
        <v>0</v>
      </c>
      <c r="AP310" s="21">
        <v>0</v>
      </c>
      <c r="AQ310" s="31">
        <v>0</v>
      </c>
      <c r="AR310" s="21">
        <v>0</v>
      </c>
      <c r="AS310" s="31">
        <v>0</v>
      </c>
      <c r="AT310" s="21">
        <v>0</v>
      </c>
      <c r="AU310" s="31">
        <v>0</v>
      </c>
      <c r="AV310" s="21">
        <v>0</v>
      </c>
      <c r="AW310" s="31">
        <v>0</v>
      </c>
      <c r="AX310" s="31">
        <v>0</v>
      </c>
      <c r="AY310" s="31">
        <v>0</v>
      </c>
      <c r="AZ310" s="31">
        <v>0</v>
      </c>
      <c r="BA310" s="31">
        <v>0</v>
      </c>
      <c r="BB310" s="31">
        <v>0</v>
      </c>
      <c r="BC310" s="31">
        <v>0</v>
      </c>
      <c r="BD310" s="31">
        <v>0</v>
      </c>
      <c r="BE310" s="31">
        <v>0</v>
      </c>
      <c r="BF310" s="31">
        <v>0</v>
      </c>
      <c r="BG310" s="31">
        <v>0</v>
      </c>
      <c r="BH310" s="31">
        <v>0</v>
      </c>
      <c r="BI310" s="31">
        <v>0</v>
      </c>
      <c r="BJ310" s="31">
        <v>0</v>
      </c>
      <c r="BK310" s="31">
        <v>0</v>
      </c>
      <c r="BL310" s="17" t="s">
        <v>964</v>
      </c>
      <c r="BM310" s="31">
        <v>0</v>
      </c>
      <c r="BN310" s="31">
        <v>0</v>
      </c>
      <c r="BO310" s="31">
        <v>0</v>
      </c>
      <c r="BP310" s="31">
        <v>0</v>
      </c>
      <c r="BQ310" s="31">
        <v>0</v>
      </c>
      <c r="BR310" s="31">
        <v>0</v>
      </c>
      <c r="BS310" s="21">
        <v>0</v>
      </c>
      <c r="BT310" s="21">
        <v>0</v>
      </c>
      <c r="BU310" s="21">
        <v>0</v>
      </c>
      <c r="BV310" s="21">
        <v>0</v>
      </c>
      <c r="BW310" s="21">
        <v>0</v>
      </c>
      <c r="BX310" s="115">
        <f>Table1[[#This Row],[Summer 2018 Price Check]]*Table1[[#This Row],[Spring 2019 Students]]</f>
        <v>0</v>
      </c>
      <c r="BY310" s="31">
        <f t="shared" si="187"/>
        <v>0</v>
      </c>
      <c r="BZ310" s="58">
        <f t="shared" si="188"/>
        <v>0</v>
      </c>
      <c r="CA310" s="17" t="s">
        <v>964</v>
      </c>
      <c r="CB310" s="21">
        <v>0</v>
      </c>
      <c r="CC310" s="21">
        <v>0</v>
      </c>
      <c r="CD310" s="21">
        <v>0</v>
      </c>
      <c r="CE310" s="21">
        <f t="shared" si="199"/>
        <v>0</v>
      </c>
      <c r="CF310" s="58"/>
      <c r="CG310" s="115">
        <f t="shared" si="189"/>
        <v>0</v>
      </c>
      <c r="CH310" s="58">
        <v>0</v>
      </c>
      <c r="CI310" s="114">
        <f>IF(Table1[[#This Row],[Check 3 Status]]="Continued", Table1[[#This Row],[Check 3 Students Summer]], 0)</f>
        <v>0</v>
      </c>
      <c r="CJ310" s="115">
        <f>Table1[[#This Row],[Check 3 Per Student Savings]]*CI310</f>
        <v>0</v>
      </c>
      <c r="CK310" s="114">
        <f>IF(Table1[[#This Row],[Check 3 Status]]="Continued", Table1[[#This Row],[Check 3 Students Fall]], 0)</f>
        <v>0</v>
      </c>
      <c r="CL310" s="115">
        <f>Table1[[#This Row],[Check 3 Per Student Savings]]*CK310</f>
        <v>0</v>
      </c>
      <c r="CM310" s="114">
        <f>IF(Table1[[#This Row],[Check 3 Status]]="Continued", Table1[[#This Row],[Check 3 Students Spring]], 0)</f>
        <v>0</v>
      </c>
      <c r="CN310" s="115">
        <f>Table1[[#This Row],[Check 3 Per Student Savings]]*CM310</f>
        <v>0</v>
      </c>
      <c r="CO310" s="114">
        <f t="shared" si="190"/>
        <v>0</v>
      </c>
      <c r="CP310" s="115">
        <f t="shared" si="191"/>
        <v>0</v>
      </c>
      <c r="CQ310" s="115" t="s">
        <v>964</v>
      </c>
      <c r="CR310" s="114">
        <v>0</v>
      </c>
      <c r="CS310" s="114">
        <v>0</v>
      </c>
      <c r="CT310" s="114">
        <v>0</v>
      </c>
      <c r="CU310" s="114">
        <f t="shared" si="192"/>
        <v>0</v>
      </c>
      <c r="CV310" s="115"/>
      <c r="CW310" s="115">
        <f t="shared" si="193"/>
        <v>0</v>
      </c>
      <c r="CX310" s="115"/>
      <c r="CY310" s="21">
        <f>IF(Table1[[#This Row],[Check 4 Status]]="Continued", Table1[[#This Row],[Check 4 Students Summer]], 0)</f>
        <v>0</v>
      </c>
      <c r="CZ310" s="58">
        <f>Table1[[#This Row],[Check 4 Per Student Savings]]*CY310</f>
        <v>0</v>
      </c>
      <c r="DA310" s="114">
        <f>IF(Table1[[#This Row],[Check 4 Status]]="Continued", Table1[[#This Row],[Check 4 Students Fall]], 0)</f>
        <v>0</v>
      </c>
      <c r="DB310" s="115">
        <f>Table1[[#This Row],[Check 4 Per Student Savings]]*DA310</f>
        <v>0</v>
      </c>
      <c r="DC310" s="21">
        <f>IF(Table1[[#This Row],[Check 4 Status]]="Continued", Table1[[#This Row],[Check 4 Students Spring]], 0)</f>
        <v>0</v>
      </c>
      <c r="DD310" s="58">
        <f>Table1[[#This Row],[Check 4 Per Student Savings]]*DC310</f>
        <v>0</v>
      </c>
      <c r="DE310" s="58">
        <f t="shared" si="194"/>
        <v>0</v>
      </c>
      <c r="DF310" s="58">
        <f t="shared" si="195"/>
        <v>0</v>
      </c>
      <c r="DG31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1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10" s="58">
        <f>Table1[[#This Row],[Grand Total Savings]]/Table1[[#This Row],[Total Award]]</f>
        <v>0</v>
      </c>
      <c r="DJ310" s="17"/>
      <c r="DK310" s="17"/>
      <c r="DL310" s="17"/>
      <c r="DM310" s="17"/>
      <c r="DX310" s="21"/>
      <c r="DY310" s="58"/>
      <c r="DZ310" s="21"/>
      <c r="EA310" s="21"/>
      <c r="EC310" s="17"/>
      <c r="ED310" s="17"/>
      <c r="EE310" s="17"/>
      <c r="EF310" s="17"/>
    </row>
    <row r="311" spans="1:136" s="214" customFormat="1" x14ac:dyDescent="0.25">
      <c r="A311" s="214">
        <v>438</v>
      </c>
      <c r="C311" s="214" t="s">
        <v>125</v>
      </c>
      <c r="D311" s="214">
        <v>516170</v>
      </c>
      <c r="E311" s="215"/>
      <c r="F311" s="216"/>
      <c r="G311" s="217" t="s">
        <v>1437</v>
      </c>
      <c r="H311" s="218" t="s">
        <v>6</v>
      </c>
      <c r="I311" s="230" t="s">
        <v>118</v>
      </c>
      <c r="J311" s="214" t="s">
        <v>172</v>
      </c>
      <c r="K311" s="216">
        <v>30000</v>
      </c>
      <c r="L311" s="216" t="s">
        <v>1443</v>
      </c>
      <c r="M311" s="214" t="s">
        <v>1438</v>
      </c>
      <c r="N311" s="214" t="s">
        <v>1439</v>
      </c>
      <c r="O311" s="214" t="s">
        <v>1440</v>
      </c>
      <c r="P311" s="214" t="s">
        <v>1441</v>
      </c>
      <c r="Q311" s="216" t="s">
        <v>317</v>
      </c>
      <c r="R311" s="216"/>
      <c r="S311" s="216"/>
      <c r="T311" s="214" t="s">
        <v>1442</v>
      </c>
      <c r="U311" s="214" t="s">
        <v>1095</v>
      </c>
      <c r="V311" s="214" t="s">
        <v>1095</v>
      </c>
      <c r="W311" s="214" t="s">
        <v>1095</v>
      </c>
      <c r="X311" s="214" t="s">
        <v>1095</v>
      </c>
      <c r="Y311" s="219">
        <v>195617.73</v>
      </c>
      <c r="Z311" s="220">
        <v>1463</v>
      </c>
      <c r="AA311" s="221">
        <v>133.71</v>
      </c>
      <c r="AB311" s="220">
        <v>112</v>
      </c>
      <c r="AC311" s="220">
        <v>696</v>
      </c>
      <c r="AD311" s="220">
        <v>655</v>
      </c>
      <c r="AE311" s="214" t="s">
        <v>1443</v>
      </c>
      <c r="AF311" s="221" t="s">
        <v>129</v>
      </c>
      <c r="AG311" s="221"/>
      <c r="AH311" s="221"/>
      <c r="AI311" s="221" t="s">
        <v>130</v>
      </c>
      <c r="AJ311" s="220">
        <v>0</v>
      </c>
      <c r="AK311" s="220">
        <v>0</v>
      </c>
      <c r="AL311" s="220">
        <v>0</v>
      </c>
      <c r="AM311" s="220">
        <v>0</v>
      </c>
      <c r="AN311" s="220">
        <v>0</v>
      </c>
      <c r="AO311" s="220">
        <v>0</v>
      </c>
      <c r="AP311" s="220">
        <v>0</v>
      </c>
      <c r="AQ311" s="220">
        <v>0</v>
      </c>
      <c r="AR311" s="220">
        <v>0</v>
      </c>
      <c r="AS311" s="220">
        <v>0</v>
      </c>
      <c r="AT311" s="220">
        <v>0</v>
      </c>
      <c r="AU311" s="220">
        <v>0</v>
      </c>
      <c r="AV311" s="220">
        <v>0</v>
      </c>
      <c r="AW311" s="220">
        <v>0</v>
      </c>
      <c r="AX311" s="220">
        <v>0</v>
      </c>
      <c r="AY311" s="220">
        <v>0</v>
      </c>
      <c r="AZ311" s="220">
        <v>0</v>
      </c>
      <c r="BA311" s="220">
        <v>0</v>
      </c>
      <c r="BB311" s="220">
        <v>0</v>
      </c>
      <c r="BC311" s="220">
        <v>0</v>
      </c>
      <c r="BD311" s="220">
        <v>0</v>
      </c>
      <c r="BE311" s="220">
        <v>0</v>
      </c>
      <c r="BF311" s="220">
        <v>0</v>
      </c>
      <c r="BG311" s="220">
        <v>0</v>
      </c>
      <c r="BH311" s="220">
        <v>0</v>
      </c>
      <c r="BI311" s="220">
        <v>0</v>
      </c>
      <c r="BJ311" s="220">
        <v>0</v>
      </c>
      <c r="BK311" s="220">
        <v>0</v>
      </c>
      <c r="BL311" s="214" t="s">
        <v>130</v>
      </c>
      <c r="BM311" s="220">
        <v>0</v>
      </c>
      <c r="BN311" s="220">
        <v>0</v>
      </c>
      <c r="BO311" s="220">
        <v>0</v>
      </c>
      <c r="BP311" s="222">
        <f t="shared" ref="BP311:BQ350" si="200">SUM(BM311:BO311)</f>
        <v>0</v>
      </c>
      <c r="BQ311" s="222">
        <f t="shared" si="200"/>
        <v>0</v>
      </c>
      <c r="BR311" s="221">
        <f>Table1[[#This Row],[Check 2 Students Total]]*Table1[[#This Row],[Summer 2018 Price Check]]</f>
        <v>0</v>
      </c>
      <c r="BS311" s="220">
        <v>0</v>
      </c>
      <c r="BT311" s="220">
        <v>0</v>
      </c>
      <c r="BU311" s="220">
        <v>0</v>
      </c>
      <c r="BV311" s="220">
        <v>0</v>
      </c>
      <c r="BW311" s="220">
        <v>0</v>
      </c>
      <c r="BX311" s="221">
        <f>Table1[[#This Row],[Summer 2018 Price Check]]*Table1[[#This Row],[Spring 2019 Students]]</f>
        <v>0</v>
      </c>
      <c r="BY311" s="222">
        <f t="shared" si="187"/>
        <v>0</v>
      </c>
      <c r="BZ311" s="221">
        <f t="shared" si="188"/>
        <v>0</v>
      </c>
      <c r="CA311" s="214" t="s">
        <v>130</v>
      </c>
      <c r="CB311" s="220">
        <f t="shared" ref="CB311:CB334" si="201">AB311</f>
        <v>112</v>
      </c>
      <c r="CC311" s="220">
        <f t="shared" ref="CC311:CC334" si="202">AC311</f>
        <v>696</v>
      </c>
      <c r="CD311" s="220">
        <f t="shared" ref="CD311:CD334" si="203">AD311</f>
        <v>655</v>
      </c>
      <c r="CE311" s="220">
        <f t="shared" si="199"/>
        <v>1463</v>
      </c>
      <c r="CF311" s="221">
        <f t="shared" ref="CF311:CF334" si="204">AA311</f>
        <v>133.71</v>
      </c>
      <c r="CG311" s="221">
        <f t="shared" si="189"/>
        <v>195617.73</v>
      </c>
      <c r="CH311" s="214" t="s">
        <v>1443</v>
      </c>
      <c r="CI311" s="220">
        <v>0</v>
      </c>
      <c r="CJ311" s="221">
        <f>Table1[[#This Row],[Check 3 Per Student Savings]]*CI311</f>
        <v>0</v>
      </c>
      <c r="CK311" s="220">
        <v>0</v>
      </c>
      <c r="CL311" s="221">
        <f>Table1[[#This Row],[Check 3 Per Student Savings]]*CK311</f>
        <v>0</v>
      </c>
      <c r="CM311" s="220">
        <v>0</v>
      </c>
      <c r="CN311" s="221">
        <f>Table1[[#This Row],[Check 3 Per Student Savings]]*CM311</f>
        <v>0</v>
      </c>
      <c r="CO311" s="220">
        <f t="shared" si="190"/>
        <v>0</v>
      </c>
      <c r="CP311" s="221">
        <f t="shared" si="191"/>
        <v>0</v>
      </c>
      <c r="CQ311" s="221" t="s">
        <v>130</v>
      </c>
      <c r="CR311" s="220">
        <v>112</v>
      </c>
      <c r="CS311" s="220">
        <v>696</v>
      </c>
      <c r="CT311" s="220">
        <v>655</v>
      </c>
      <c r="CU311" s="220">
        <f t="shared" si="192"/>
        <v>1463</v>
      </c>
      <c r="CV311" s="221">
        <v>133.71</v>
      </c>
      <c r="CW311" s="221">
        <f t="shared" si="193"/>
        <v>195617.73</v>
      </c>
      <c r="CX311" s="221"/>
      <c r="CY311" s="21">
        <f>IF(Table1[[#This Row],[Check 4 Status]]="Continued", Table1[[#This Row],[Check 4 Students Summer]], 0)</f>
        <v>112</v>
      </c>
      <c r="CZ311" s="58">
        <f>Table1[[#This Row],[Check 4 Per Student Savings]]*CY311</f>
        <v>14975.52</v>
      </c>
      <c r="DA311" s="220">
        <f>IF(Table1[[#This Row],[Check 4 Status]]="Continued", Table1[[#This Row],[Check 4 Students Fall]], 0)</f>
        <v>696</v>
      </c>
      <c r="DB311" s="221">
        <f>Table1[[#This Row],[Check 4 Per Student Savings]]*DA311</f>
        <v>93062.16</v>
      </c>
      <c r="DC311" s="21">
        <f>IF(Table1[[#This Row],[Check 4 Status]]="Continued", Table1[[#This Row],[Check 4 Students Spring]], 0)</f>
        <v>655</v>
      </c>
      <c r="DD311" s="58">
        <f>Table1[[#This Row],[Check 4 Per Student Savings]]*DC311</f>
        <v>87580.05</v>
      </c>
      <c r="DE311" s="58">
        <f t="shared" si="194"/>
        <v>1463</v>
      </c>
      <c r="DF311" s="58">
        <f t="shared" si="195"/>
        <v>195617.73</v>
      </c>
      <c r="DG31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1463</v>
      </c>
      <c r="DH31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195617.73</v>
      </c>
      <c r="DI311" s="221">
        <f>Table1[[#This Row],[Grand Total Savings]]/Table1[[#This Row],[Total Award]]</f>
        <v>6.5205910000000005</v>
      </c>
      <c r="DX311" s="220"/>
      <c r="DY311" s="221"/>
      <c r="DZ311" s="220"/>
      <c r="EA311" s="220"/>
    </row>
    <row r="312" spans="1:136" x14ac:dyDescent="0.25">
      <c r="A312" s="128">
        <v>439</v>
      </c>
      <c r="B312" s="128"/>
      <c r="C312" s="203" t="s">
        <v>125</v>
      </c>
      <c r="D312" s="118">
        <v>516278</v>
      </c>
      <c r="E312" s="116"/>
      <c r="F312" s="117"/>
      <c r="G312" s="202" t="s">
        <v>1437</v>
      </c>
      <c r="H312" s="95" t="s">
        <v>6</v>
      </c>
      <c r="I312" s="229" t="s">
        <v>118</v>
      </c>
      <c r="J312" s="17" t="s">
        <v>243</v>
      </c>
      <c r="K312" s="101">
        <v>30000</v>
      </c>
      <c r="L312" s="101" t="s">
        <v>1287</v>
      </c>
      <c r="M312" s="17" t="s">
        <v>1444</v>
      </c>
      <c r="N312" s="17" t="s">
        <v>1445</v>
      </c>
      <c r="O312" s="17" t="s">
        <v>1446</v>
      </c>
      <c r="P312" s="17" t="s">
        <v>1447</v>
      </c>
      <c r="Q312" s="101" t="s">
        <v>177</v>
      </c>
      <c r="R312" s="101"/>
      <c r="S312" s="197"/>
      <c r="T312" s="17" t="s">
        <v>1442</v>
      </c>
      <c r="U312" s="17" t="s">
        <v>1095</v>
      </c>
      <c r="V312" s="17" t="s">
        <v>1095</v>
      </c>
      <c r="W312" s="17" t="s">
        <v>1095</v>
      </c>
      <c r="X312" s="17" t="s">
        <v>1095</v>
      </c>
      <c r="Y312" s="56">
        <v>61603.5</v>
      </c>
      <c r="Z312" s="21">
        <v>525</v>
      </c>
      <c r="AA312" s="58">
        <v>117.34</v>
      </c>
      <c r="AB312" s="21">
        <v>90</v>
      </c>
      <c r="AC312" s="21">
        <v>180</v>
      </c>
      <c r="AD312" s="21">
        <v>255</v>
      </c>
      <c r="AE312" s="17" t="s">
        <v>1287</v>
      </c>
      <c r="AF312" s="58" t="s">
        <v>129</v>
      </c>
      <c r="AG312" s="58"/>
      <c r="AH312" s="58"/>
      <c r="AI312" s="111" t="s">
        <v>130</v>
      </c>
      <c r="AJ312" s="21">
        <v>0</v>
      </c>
      <c r="AK312" s="21">
        <v>0</v>
      </c>
      <c r="AL312" s="21">
        <v>0</v>
      </c>
      <c r="AM312" s="21">
        <v>0</v>
      </c>
      <c r="AN312" s="21">
        <v>0</v>
      </c>
      <c r="AO312" s="21">
        <v>0</v>
      </c>
      <c r="AP312" s="21">
        <v>0</v>
      </c>
      <c r="AQ312" s="21">
        <v>0</v>
      </c>
      <c r="AR312" s="21">
        <v>0</v>
      </c>
      <c r="AS312" s="21">
        <v>0</v>
      </c>
      <c r="AT312" s="21">
        <v>0</v>
      </c>
      <c r="AU312" s="21">
        <v>0</v>
      </c>
      <c r="AV312" s="21">
        <v>0</v>
      </c>
      <c r="AW312" s="21">
        <v>0</v>
      </c>
      <c r="AX312" s="21">
        <v>0</v>
      </c>
      <c r="AY312" s="21">
        <v>0</v>
      </c>
      <c r="AZ312" s="21">
        <v>0</v>
      </c>
      <c r="BA312" s="21">
        <v>0</v>
      </c>
      <c r="BB312" s="21">
        <v>0</v>
      </c>
      <c r="BC312" s="21">
        <v>0</v>
      </c>
      <c r="BD312" s="21">
        <v>0</v>
      </c>
      <c r="BE312" s="21">
        <v>0</v>
      </c>
      <c r="BF312" s="21">
        <v>0</v>
      </c>
      <c r="BG312" s="21">
        <v>0</v>
      </c>
      <c r="BH312" s="21">
        <v>0</v>
      </c>
      <c r="BI312" s="21">
        <v>0</v>
      </c>
      <c r="BJ312" s="21">
        <v>0</v>
      </c>
      <c r="BK312" s="21">
        <v>0</v>
      </c>
      <c r="BL312" s="17" t="s">
        <v>130</v>
      </c>
      <c r="BM312" s="21">
        <v>0</v>
      </c>
      <c r="BN312" s="21">
        <v>0</v>
      </c>
      <c r="BO312" s="21">
        <v>0</v>
      </c>
      <c r="BP312" s="31">
        <f t="shared" si="200"/>
        <v>0</v>
      </c>
      <c r="BQ312" s="31">
        <f t="shared" si="200"/>
        <v>0</v>
      </c>
      <c r="BR312" s="58">
        <f>Table1[[#This Row],[Check 2 Students Total]]*Table1[[#This Row],[Summer 2018 Price Check]]</f>
        <v>0</v>
      </c>
      <c r="BS312" s="21">
        <v>0</v>
      </c>
      <c r="BT312" s="21">
        <v>0</v>
      </c>
      <c r="BU312" s="21">
        <v>0</v>
      </c>
      <c r="BV312" s="21">
        <v>0</v>
      </c>
      <c r="BW312" s="21">
        <v>0</v>
      </c>
      <c r="BX312" s="115">
        <f>Table1[[#This Row],[Summer 2018 Price Check]]*Table1[[#This Row],[Spring 2019 Students]]</f>
        <v>0</v>
      </c>
      <c r="BY312" s="31">
        <f t="shared" si="187"/>
        <v>0</v>
      </c>
      <c r="BZ312" s="58">
        <f t="shared" si="188"/>
        <v>0</v>
      </c>
      <c r="CA312" s="17" t="s">
        <v>130</v>
      </c>
      <c r="CB312" s="21">
        <f t="shared" si="201"/>
        <v>90</v>
      </c>
      <c r="CC312" s="21">
        <f t="shared" si="202"/>
        <v>180</v>
      </c>
      <c r="CD312" s="21">
        <f t="shared" si="203"/>
        <v>255</v>
      </c>
      <c r="CE312" s="21">
        <f t="shared" si="199"/>
        <v>525</v>
      </c>
      <c r="CF312" s="58">
        <f t="shared" si="204"/>
        <v>117.34</v>
      </c>
      <c r="CG312" s="115">
        <f t="shared" si="189"/>
        <v>61603.5</v>
      </c>
      <c r="CH312" s="17" t="s">
        <v>1287</v>
      </c>
      <c r="CI312" s="114">
        <v>0</v>
      </c>
      <c r="CJ312" s="115">
        <f>Table1[[#This Row],[Check 3 Per Student Savings]]*CI312</f>
        <v>0</v>
      </c>
      <c r="CK312" s="114">
        <v>0</v>
      </c>
      <c r="CL312" s="115">
        <f>Table1[[#This Row],[Check 3 Per Student Savings]]*CK312</f>
        <v>0</v>
      </c>
      <c r="CM312" s="114">
        <f>IF(Table1[[#This Row],[Check 3 Status]]="Continued", Table1[[#This Row],[Check 3 Students Spring]], 0)</f>
        <v>255</v>
      </c>
      <c r="CN312" s="115">
        <f>Table1[[#This Row],[Check 3 Per Student Savings]]*CM312</f>
        <v>29921.7</v>
      </c>
      <c r="CO312" s="114">
        <f t="shared" si="190"/>
        <v>255</v>
      </c>
      <c r="CP312" s="115">
        <f t="shared" si="191"/>
        <v>29921.7</v>
      </c>
      <c r="CQ312" s="115" t="s">
        <v>130</v>
      </c>
      <c r="CR312" s="114">
        <v>90</v>
      </c>
      <c r="CS312" s="114">
        <v>180</v>
      </c>
      <c r="CT312" s="114">
        <v>255</v>
      </c>
      <c r="CU312" s="114">
        <f t="shared" si="192"/>
        <v>525</v>
      </c>
      <c r="CV312" s="115">
        <v>117.34</v>
      </c>
      <c r="CW312" s="115">
        <f t="shared" si="193"/>
        <v>61603.5</v>
      </c>
      <c r="CX312" s="17" t="s">
        <v>1287</v>
      </c>
      <c r="CY312" s="21">
        <f>IF(Table1[[#This Row],[Check 4 Status]]="Continued", Table1[[#This Row],[Check 4 Students Summer]], 0)</f>
        <v>90</v>
      </c>
      <c r="CZ312" s="58">
        <f>Table1[[#This Row],[Check 4 Per Student Savings]]*CY312</f>
        <v>10560.6</v>
      </c>
      <c r="DA312" s="114">
        <f>IF(Table1[[#This Row],[Check 4 Status]]="Continued", Table1[[#This Row],[Check 4 Students Fall]], 0)</f>
        <v>180</v>
      </c>
      <c r="DB312" s="115">
        <f>Table1[[#This Row],[Check 4 Per Student Savings]]*DA312</f>
        <v>21121.200000000001</v>
      </c>
      <c r="DC312" s="21">
        <f>IF(Table1[[#This Row],[Check 4 Status]]="Continued", Table1[[#This Row],[Check 4 Students Spring]], 0)</f>
        <v>255</v>
      </c>
      <c r="DD312" s="58">
        <f>Table1[[#This Row],[Check 4 Per Student Savings]]*DC312</f>
        <v>29921.7</v>
      </c>
      <c r="DE312" s="58">
        <f t="shared" si="194"/>
        <v>525</v>
      </c>
      <c r="DF312" s="58">
        <f t="shared" si="195"/>
        <v>61603.5</v>
      </c>
      <c r="DG31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780</v>
      </c>
      <c r="DH31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91525.2</v>
      </c>
      <c r="DI312" s="119">
        <f>Table1[[#This Row],[Grand Total Savings]]/Table1[[#This Row],[Total Award]]</f>
        <v>3.05084</v>
      </c>
      <c r="DJ312" s="17"/>
      <c r="DK312" s="17"/>
      <c r="DL312" s="17"/>
      <c r="DM312" s="17"/>
      <c r="DX312" s="21"/>
      <c r="DY312" s="58"/>
      <c r="DZ312" s="21"/>
      <c r="EA312" s="21"/>
      <c r="EC312" s="17"/>
      <c r="ED312" s="17"/>
      <c r="EE312" s="17"/>
      <c r="EF312" s="17"/>
    </row>
    <row r="313" spans="1:136" x14ac:dyDescent="0.25">
      <c r="A313" s="121">
        <v>440</v>
      </c>
      <c r="B313" s="121"/>
      <c r="C313" s="191" t="s">
        <v>129</v>
      </c>
      <c r="D313" s="118">
        <v>516268</v>
      </c>
      <c r="E313" s="116"/>
      <c r="F313" s="117"/>
      <c r="G313" s="202" t="s">
        <v>1437</v>
      </c>
      <c r="H313" s="95" t="s">
        <v>6</v>
      </c>
      <c r="I313" s="229" t="s">
        <v>118</v>
      </c>
      <c r="J313" s="17" t="s">
        <v>132</v>
      </c>
      <c r="K313" s="101">
        <v>30000</v>
      </c>
      <c r="L313" s="101" t="s">
        <v>1287</v>
      </c>
      <c r="M313" s="17" t="s">
        <v>1448</v>
      </c>
      <c r="N313" s="17" t="s">
        <v>1449</v>
      </c>
      <c r="O313" s="17" t="s">
        <v>1450</v>
      </c>
      <c r="P313" s="17" t="s">
        <v>1451</v>
      </c>
      <c r="Q313" s="101" t="s">
        <v>177</v>
      </c>
      <c r="R313" s="101"/>
      <c r="S313" s="197"/>
      <c r="T313" s="17" t="s">
        <v>1442</v>
      </c>
      <c r="U313" s="17" t="s">
        <v>1095</v>
      </c>
      <c r="V313" s="17" t="s">
        <v>1095</v>
      </c>
      <c r="W313" s="17" t="s">
        <v>1095</v>
      </c>
      <c r="X313" s="17" t="s">
        <v>1095</v>
      </c>
      <c r="Y313" s="56">
        <v>254643.20000000001</v>
      </c>
      <c r="Z313" s="21">
        <v>1715</v>
      </c>
      <c r="AA313" s="58">
        <v>148.47999999999999</v>
      </c>
      <c r="AB313" s="21">
        <v>424</v>
      </c>
      <c r="AC313" s="21">
        <v>646</v>
      </c>
      <c r="AD313" s="21">
        <v>646</v>
      </c>
      <c r="AE313" s="17" t="s">
        <v>1287</v>
      </c>
      <c r="AF313" s="58" t="s">
        <v>129</v>
      </c>
      <c r="AG313" s="58"/>
      <c r="AH313" s="58"/>
      <c r="AI313" s="111" t="s">
        <v>130</v>
      </c>
      <c r="AJ313" s="21">
        <v>0</v>
      </c>
      <c r="AK313" s="21">
        <v>0</v>
      </c>
      <c r="AL313" s="21">
        <v>0</v>
      </c>
      <c r="AM313" s="21">
        <v>0</v>
      </c>
      <c r="AN313" s="21">
        <v>0</v>
      </c>
      <c r="AO313" s="21">
        <v>0</v>
      </c>
      <c r="AP313" s="21">
        <v>0</v>
      </c>
      <c r="AQ313" s="21">
        <v>0</v>
      </c>
      <c r="AR313" s="21">
        <v>0</v>
      </c>
      <c r="AS313" s="21">
        <v>0</v>
      </c>
      <c r="AT313" s="21">
        <v>0</v>
      </c>
      <c r="AU313" s="21">
        <v>0</v>
      </c>
      <c r="AV313" s="21">
        <v>0</v>
      </c>
      <c r="AW313" s="21">
        <v>0</v>
      </c>
      <c r="AX313" s="21">
        <v>0</v>
      </c>
      <c r="AY313" s="21">
        <v>0</v>
      </c>
      <c r="AZ313" s="21">
        <v>0</v>
      </c>
      <c r="BA313" s="21">
        <v>0</v>
      </c>
      <c r="BB313" s="21">
        <v>0</v>
      </c>
      <c r="BC313" s="21">
        <v>0</v>
      </c>
      <c r="BD313" s="21">
        <v>0</v>
      </c>
      <c r="BE313" s="21">
        <v>0</v>
      </c>
      <c r="BF313" s="21">
        <v>0</v>
      </c>
      <c r="BG313" s="21">
        <v>0</v>
      </c>
      <c r="BH313" s="21">
        <v>0</v>
      </c>
      <c r="BI313" s="21">
        <v>0</v>
      </c>
      <c r="BJ313" s="21">
        <v>0</v>
      </c>
      <c r="BK313" s="21">
        <v>0</v>
      </c>
      <c r="BL313" s="17" t="s">
        <v>130</v>
      </c>
      <c r="BM313" s="21">
        <v>0</v>
      </c>
      <c r="BN313" s="21">
        <v>0</v>
      </c>
      <c r="BO313" s="21">
        <v>0</v>
      </c>
      <c r="BP313" s="31">
        <f t="shared" si="200"/>
        <v>0</v>
      </c>
      <c r="BQ313" s="31">
        <f t="shared" si="200"/>
        <v>0</v>
      </c>
      <c r="BR313" s="58">
        <f>Table1[[#This Row],[Check 2 Students Total]]*Table1[[#This Row],[Summer 2018 Price Check]]</f>
        <v>0</v>
      </c>
      <c r="BS313" s="21">
        <v>0</v>
      </c>
      <c r="BT313" s="21">
        <v>0</v>
      </c>
      <c r="BU313" s="21">
        <v>0</v>
      </c>
      <c r="BV313" s="21">
        <v>0</v>
      </c>
      <c r="BW313" s="21">
        <v>0</v>
      </c>
      <c r="BX313" s="115">
        <f>Table1[[#This Row],[Summer 2018 Price Check]]*Table1[[#This Row],[Spring 2019 Students]]</f>
        <v>0</v>
      </c>
      <c r="BY313" s="31">
        <f t="shared" si="187"/>
        <v>0</v>
      </c>
      <c r="BZ313" s="58">
        <f t="shared" si="188"/>
        <v>0</v>
      </c>
      <c r="CA313" s="17" t="s">
        <v>130</v>
      </c>
      <c r="CB313" s="21">
        <f t="shared" si="201"/>
        <v>424</v>
      </c>
      <c r="CC313" s="21">
        <f t="shared" si="202"/>
        <v>646</v>
      </c>
      <c r="CD313" s="21">
        <f t="shared" si="203"/>
        <v>646</v>
      </c>
      <c r="CE313" s="21">
        <f t="shared" si="199"/>
        <v>1716</v>
      </c>
      <c r="CF313" s="58">
        <f t="shared" si="204"/>
        <v>148.47999999999999</v>
      </c>
      <c r="CG313" s="115">
        <f t="shared" si="189"/>
        <v>254791.67999999999</v>
      </c>
      <c r="CH313" s="17" t="s">
        <v>1287</v>
      </c>
      <c r="CI313" s="114">
        <v>0</v>
      </c>
      <c r="CJ313" s="115">
        <f>Table1[[#This Row],[Check 3 Per Student Savings]]*CI313</f>
        <v>0</v>
      </c>
      <c r="CK313" s="114">
        <v>0</v>
      </c>
      <c r="CL313" s="115">
        <f>Table1[[#This Row],[Check 3 Per Student Savings]]*CK313</f>
        <v>0</v>
      </c>
      <c r="CM313" s="114">
        <f>IF(Table1[[#This Row],[Check 3 Status]]="Continued", Table1[[#This Row],[Check 3 Students Spring]], 0)</f>
        <v>646</v>
      </c>
      <c r="CN313" s="115">
        <f>Table1[[#This Row],[Check 3 Per Student Savings]]*CM313</f>
        <v>95918.079999999987</v>
      </c>
      <c r="CO313" s="114">
        <f t="shared" si="190"/>
        <v>646</v>
      </c>
      <c r="CP313" s="115">
        <f t="shared" si="191"/>
        <v>95918.079999999987</v>
      </c>
      <c r="CQ313" s="115" t="s">
        <v>130</v>
      </c>
      <c r="CR313" s="114">
        <v>424</v>
      </c>
      <c r="CS313" s="114">
        <v>646</v>
      </c>
      <c r="CT313" s="114">
        <v>646</v>
      </c>
      <c r="CU313" s="114">
        <f t="shared" si="192"/>
        <v>1716</v>
      </c>
      <c r="CV313" s="115">
        <v>148.47999999999999</v>
      </c>
      <c r="CW313" s="115">
        <f t="shared" si="193"/>
        <v>254791.67999999999</v>
      </c>
      <c r="CX313" s="17" t="s">
        <v>1287</v>
      </c>
      <c r="CY313" s="21">
        <f>IF(Table1[[#This Row],[Check 4 Status]]="Continued", Table1[[#This Row],[Check 4 Students Summer]], 0)</f>
        <v>424</v>
      </c>
      <c r="CZ313" s="58">
        <f>Table1[[#This Row],[Check 4 Per Student Savings]]*CY313</f>
        <v>62955.519999999997</v>
      </c>
      <c r="DA313" s="114">
        <f>IF(Table1[[#This Row],[Check 4 Status]]="Continued", Table1[[#This Row],[Check 4 Students Fall]], 0)</f>
        <v>646</v>
      </c>
      <c r="DB313" s="115">
        <f>Table1[[#This Row],[Check 4 Per Student Savings]]*DA313</f>
        <v>95918.079999999987</v>
      </c>
      <c r="DC313" s="21">
        <f>IF(Table1[[#This Row],[Check 4 Status]]="Continued", Table1[[#This Row],[Check 4 Students Spring]], 0)</f>
        <v>646</v>
      </c>
      <c r="DD313" s="58">
        <f>Table1[[#This Row],[Check 4 Per Student Savings]]*DC313</f>
        <v>95918.079999999987</v>
      </c>
      <c r="DE313" s="58">
        <f t="shared" si="194"/>
        <v>1716</v>
      </c>
      <c r="DF313" s="58">
        <f t="shared" si="195"/>
        <v>254791.67999999996</v>
      </c>
      <c r="DG31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2362</v>
      </c>
      <c r="DH31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350709.75999999995</v>
      </c>
      <c r="DI313" s="119">
        <f>Table1[[#This Row],[Grand Total Savings]]/Table1[[#This Row],[Total Award]]</f>
        <v>11.690325333333332</v>
      </c>
      <c r="DJ313" s="17"/>
      <c r="DK313" s="17"/>
      <c r="DL313" s="17"/>
      <c r="DM313" s="17"/>
      <c r="DX313" s="21"/>
      <c r="DY313" s="58"/>
      <c r="DZ313" s="21"/>
      <c r="EA313" s="21"/>
      <c r="EC313" s="17"/>
      <c r="ED313" s="17"/>
      <c r="EE313" s="17"/>
      <c r="EF313" s="17"/>
    </row>
    <row r="314" spans="1:136" x14ac:dyDescent="0.25">
      <c r="A314" s="121">
        <v>442</v>
      </c>
      <c r="B314" s="121"/>
      <c r="C314" s="191" t="s">
        <v>129</v>
      </c>
      <c r="D314" s="118">
        <v>516272</v>
      </c>
      <c r="E314" s="116"/>
      <c r="F314" s="117"/>
      <c r="G314" s="202" t="s">
        <v>1437</v>
      </c>
      <c r="H314" s="95" t="s">
        <v>6</v>
      </c>
      <c r="I314" s="229" t="s">
        <v>118</v>
      </c>
      <c r="J314" s="17" t="s">
        <v>132</v>
      </c>
      <c r="K314" s="101">
        <v>10800</v>
      </c>
      <c r="L314" s="101" t="s">
        <v>1443</v>
      </c>
      <c r="M314" s="17" t="s">
        <v>862</v>
      </c>
      <c r="N314" s="17" t="s">
        <v>863</v>
      </c>
      <c r="O314" s="17" t="s">
        <v>1452</v>
      </c>
      <c r="P314" s="17" t="s">
        <v>1453</v>
      </c>
      <c r="Q314" s="101" t="s">
        <v>776</v>
      </c>
      <c r="R314" s="101"/>
      <c r="S314" s="197"/>
      <c r="T314" s="17" t="s">
        <v>1442</v>
      </c>
      <c r="U314" s="17" t="s">
        <v>1095</v>
      </c>
      <c r="V314" s="17" t="s">
        <v>1095</v>
      </c>
      <c r="W314" s="17" t="s">
        <v>1095</v>
      </c>
      <c r="X314" s="17" t="s">
        <v>1095</v>
      </c>
      <c r="Y314" s="56">
        <v>26847</v>
      </c>
      <c r="Z314" s="21">
        <v>225</v>
      </c>
      <c r="AA314" s="58">
        <v>119.32</v>
      </c>
      <c r="AB314" s="21">
        <v>45</v>
      </c>
      <c r="AC314" s="21">
        <v>185</v>
      </c>
      <c r="AD314" s="21">
        <v>25</v>
      </c>
      <c r="AE314" s="17" t="s">
        <v>1443</v>
      </c>
      <c r="AF314" s="58" t="s">
        <v>129</v>
      </c>
      <c r="AG314" s="58"/>
      <c r="AH314" s="58"/>
      <c r="AI314" s="111" t="s">
        <v>130</v>
      </c>
      <c r="AJ314" s="21">
        <v>0</v>
      </c>
      <c r="AK314" s="21">
        <v>0</v>
      </c>
      <c r="AL314" s="21">
        <v>0</v>
      </c>
      <c r="AM314" s="21">
        <v>0</v>
      </c>
      <c r="AN314" s="21">
        <v>0</v>
      </c>
      <c r="AO314" s="21">
        <v>0</v>
      </c>
      <c r="AP314" s="21">
        <v>0</v>
      </c>
      <c r="AQ314" s="21">
        <v>0</v>
      </c>
      <c r="AR314" s="21">
        <v>0</v>
      </c>
      <c r="AS314" s="21">
        <v>0</v>
      </c>
      <c r="AT314" s="21">
        <v>0</v>
      </c>
      <c r="AU314" s="21">
        <v>0</v>
      </c>
      <c r="AV314" s="21">
        <v>0</v>
      </c>
      <c r="AW314" s="21">
        <v>0</v>
      </c>
      <c r="AX314" s="21">
        <v>0</v>
      </c>
      <c r="AY314" s="21">
        <v>0</v>
      </c>
      <c r="AZ314" s="21">
        <v>0</v>
      </c>
      <c r="BA314" s="21">
        <v>0</v>
      </c>
      <c r="BB314" s="21">
        <v>0</v>
      </c>
      <c r="BC314" s="21">
        <v>0</v>
      </c>
      <c r="BD314" s="21">
        <v>0</v>
      </c>
      <c r="BE314" s="21">
        <v>0</v>
      </c>
      <c r="BF314" s="21">
        <v>0</v>
      </c>
      <c r="BG314" s="21">
        <v>0</v>
      </c>
      <c r="BH314" s="21">
        <v>0</v>
      </c>
      <c r="BI314" s="21">
        <v>0</v>
      </c>
      <c r="BJ314" s="21">
        <v>0</v>
      </c>
      <c r="BK314" s="21">
        <v>0</v>
      </c>
      <c r="BL314" s="17" t="s">
        <v>130</v>
      </c>
      <c r="BM314" s="21">
        <v>0</v>
      </c>
      <c r="BN314" s="21">
        <v>0</v>
      </c>
      <c r="BO314" s="21">
        <v>0</v>
      </c>
      <c r="BP314" s="31">
        <f t="shared" si="200"/>
        <v>0</v>
      </c>
      <c r="BQ314" s="31">
        <f t="shared" si="200"/>
        <v>0</v>
      </c>
      <c r="BR314" s="58">
        <f>Table1[[#This Row],[Check 2 Students Total]]*Table1[[#This Row],[Summer 2018 Price Check]]</f>
        <v>0</v>
      </c>
      <c r="BS314" s="21">
        <v>0</v>
      </c>
      <c r="BT314" s="21">
        <v>0</v>
      </c>
      <c r="BU314" s="21">
        <v>0</v>
      </c>
      <c r="BV314" s="21">
        <v>0</v>
      </c>
      <c r="BW314" s="21">
        <v>0</v>
      </c>
      <c r="BX314" s="115">
        <f>Table1[[#This Row],[Summer 2018 Price Check]]*Table1[[#This Row],[Spring 2019 Students]]</f>
        <v>0</v>
      </c>
      <c r="BY314" s="31">
        <f t="shared" si="187"/>
        <v>0</v>
      </c>
      <c r="BZ314" s="58">
        <f t="shared" si="188"/>
        <v>0</v>
      </c>
      <c r="CA314" s="17" t="s">
        <v>130</v>
      </c>
      <c r="CB314" s="21">
        <f t="shared" si="201"/>
        <v>45</v>
      </c>
      <c r="CC314" s="21">
        <f t="shared" si="202"/>
        <v>185</v>
      </c>
      <c r="CD314" s="21">
        <f t="shared" si="203"/>
        <v>25</v>
      </c>
      <c r="CE314" s="21">
        <f t="shared" si="199"/>
        <v>255</v>
      </c>
      <c r="CF314" s="58">
        <f t="shared" si="204"/>
        <v>119.32</v>
      </c>
      <c r="CG314" s="115">
        <f t="shared" si="189"/>
        <v>30426.6</v>
      </c>
      <c r="CH314" s="17" t="s">
        <v>1443</v>
      </c>
      <c r="CI314" s="114">
        <v>0</v>
      </c>
      <c r="CJ314" s="115">
        <f>Table1[[#This Row],[Check 3 Per Student Savings]]*CI314</f>
        <v>0</v>
      </c>
      <c r="CK314" s="114">
        <v>0</v>
      </c>
      <c r="CL314" s="115">
        <f>Table1[[#This Row],[Check 3 Per Student Savings]]*CK314</f>
        <v>0</v>
      </c>
      <c r="CM314" s="114">
        <v>0</v>
      </c>
      <c r="CN314" s="115">
        <f>Table1[[#This Row],[Check 3 Per Student Savings]]*CM314</f>
        <v>0</v>
      </c>
      <c r="CO314" s="114">
        <f t="shared" si="190"/>
        <v>0</v>
      </c>
      <c r="CP314" s="115">
        <f t="shared" si="191"/>
        <v>0</v>
      </c>
      <c r="CQ314" s="115" t="s">
        <v>130</v>
      </c>
      <c r="CR314" s="114">
        <v>45</v>
      </c>
      <c r="CS314" s="114">
        <v>185</v>
      </c>
      <c r="CT314" s="114">
        <v>25</v>
      </c>
      <c r="CU314" s="114">
        <f t="shared" si="192"/>
        <v>255</v>
      </c>
      <c r="CV314" s="115">
        <v>119.32</v>
      </c>
      <c r="CW314" s="115">
        <f t="shared" si="193"/>
        <v>30426.6</v>
      </c>
      <c r="CX314" s="17" t="s">
        <v>1443</v>
      </c>
      <c r="CY314" s="21">
        <f>IF(Table1[[#This Row],[Check 4 Status]]="Continued", Table1[[#This Row],[Check 4 Students Summer]], 0)</f>
        <v>45</v>
      </c>
      <c r="CZ314" s="58">
        <f>Table1[[#This Row],[Check 4 Per Student Savings]]*CY314</f>
        <v>5369.4</v>
      </c>
      <c r="DA314" s="114">
        <f>IF(Table1[[#This Row],[Check 4 Status]]="Continued", Table1[[#This Row],[Check 4 Students Fall]], 0)</f>
        <v>185</v>
      </c>
      <c r="DB314" s="115">
        <f>Table1[[#This Row],[Check 4 Per Student Savings]]*DA314</f>
        <v>22074.199999999997</v>
      </c>
      <c r="DC314" s="21">
        <f>IF(Table1[[#This Row],[Check 4 Status]]="Continued", Table1[[#This Row],[Check 4 Students Spring]], 0)</f>
        <v>25</v>
      </c>
      <c r="DD314" s="58">
        <f>Table1[[#This Row],[Check 4 Per Student Savings]]*DC314</f>
        <v>2983</v>
      </c>
      <c r="DE314" s="58">
        <f t="shared" si="194"/>
        <v>255</v>
      </c>
      <c r="DF314" s="58">
        <f t="shared" si="195"/>
        <v>30426.6</v>
      </c>
      <c r="DG31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255</v>
      </c>
      <c r="DH31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30426.6</v>
      </c>
      <c r="DI314" s="119">
        <f>Table1[[#This Row],[Grand Total Savings]]/Table1[[#This Row],[Total Award]]</f>
        <v>2.8172777777777775</v>
      </c>
      <c r="DJ314" s="17"/>
      <c r="DK314" s="17"/>
      <c r="DL314" s="17"/>
      <c r="DM314" s="17"/>
      <c r="DX314" s="21"/>
      <c r="DY314" s="58"/>
      <c r="DZ314" s="21"/>
      <c r="EA314" s="21"/>
      <c r="EC314" s="17"/>
      <c r="ED314" s="17"/>
      <c r="EE314" s="17"/>
      <c r="EF314" s="17"/>
    </row>
    <row r="315" spans="1:136" x14ac:dyDescent="0.25">
      <c r="A315" s="121">
        <v>443</v>
      </c>
      <c r="B315" s="17" t="s">
        <v>2011</v>
      </c>
      <c r="C315" s="191" t="s">
        <v>129</v>
      </c>
      <c r="D315" s="118">
        <v>516274</v>
      </c>
      <c r="E315" s="116"/>
      <c r="F315" s="117"/>
      <c r="G315" s="202" t="s">
        <v>1437</v>
      </c>
      <c r="H315" s="95" t="s">
        <v>6</v>
      </c>
      <c r="I315" s="229" t="s">
        <v>118</v>
      </c>
      <c r="J315" s="17" t="s">
        <v>132</v>
      </c>
      <c r="K315" s="101">
        <v>10800</v>
      </c>
      <c r="L315" s="101" t="s">
        <v>1287</v>
      </c>
      <c r="M315" s="17" t="s">
        <v>862</v>
      </c>
      <c r="N315" s="17" t="s">
        <v>863</v>
      </c>
      <c r="O315" s="17" t="s">
        <v>1454</v>
      </c>
      <c r="P315" s="17" t="s">
        <v>1455</v>
      </c>
      <c r="Q315" s="101" t="s">
        <v>248</v>
      </c>
      <c r="R315" s="101"/>
      <c r="S315" s="197"/>
      <c r="T315" s="17" t="s">
        <v>1442</v>
      </c>
      <c r="U315" s="17" t="s">
        <v>1095</v>
      </c>
      <c r="V315" s="17" t="s">
        <v>1095</v>
      </c>
      <c r="W315" s="17" t="s">
        <v>1095</v>
      </c>
      <c r="X315" s="17" t="s">
        <v>1095</v>
      </c>
      <c r="Y315" s="56">
        <v>13500</v>
      </c>
      <c r="Z315" s="21">
        <v>200</v>
      </c>
      <c r="AA315" s="58">
        <v>67.5</v>
      </c>
      <c r="AB315" s="21" t="s">
        <v>1299</v>
      </c>
      <c r="AC315" s="21" t="s">
        <v>1344</v>
      </c>
      <c r="AD315" s="21" t="s">
        <v>1344</v>
      </c>
      <c r="AE315" s="17" t="s">
        <v>1287</v>
      </c>
      <c r="AF315" s="58" t="s">
        <v>129</v>
      </c>
      <c r="AG315" s="58"/>
      <c r="AH315" s="58"/>
      <c r="AI315" s="111" t="s">
        <v>130</v>
      </c>
      <c r="AJ315" s="21">
        <v>0</v>
      </c>
      <c r="AK315" s="21">
        <v>0</v>
      </c>
      <c r="AL315" s="21">
        <v>0</v>
      </c>
      <c r="AM315" s="21">
        <v>0</v>
      </c>
      <c r="AN315" s="21">
        <v>0</v>
      </c>
      <c r="AO315" s="21">
        <v>0</v>
      </c>
      <c r="AP315" s="21">
        <v>0</v>
      </c>
      <c r="AQ315" s="21">
        <v>0</v>
      </c>
      <c r="AR315" s="21">
        <v>0</v>
      </c>
      <c r="AS315" s="21">
        <v>0</v>
      </c>
      <c r="AT315" s="21">
        <v>0</v>
      </c>
      <c r="AU315" s="21">
        <v>0</v>
      </c>
      <c r="AV315" s="21">
        <v>0</v>
      </c>
      <c r="AW315" s="21">
        <v>0</v>
      </c>
      <c r="AX315" s="21">
        <v>0</v>
      </c>
      <c r="AY315" s="21">
        <v>0</v>
      </c>
      <c r="AZ315" s="21">
        <v>0</v>
      </c>
      <c r="BA315" s="21">
        <v>0</v>
      </c>
      <c r="BB315" s="21">
        <v>0</v>
      </c>
      <c r="BC315" s="21">
        <v>0</v>
      </c>
      <c r="BD315" s="21">
        <v>0</v>
      </c>
      <c r="BE315" s="21">
        <v>0</v>
      </c>
      <c r="BF315" s="21">
        <v>0</v>
      </c>
      <c r="BG315" s="21">
        <v>0</v>
      </c>
      <c r="BH315" s="21">
        <v>0</v>
      </c>
      <c r="BI315" s="21">
        <v>0</v>
      </c>
      <c r="BJ315" s="21">
        <v>0</v>
      </c>
      <c r="BK315" s="21">
        <v>0</v>
      </c>
      <c r="BL315" s="17" t="s">
        <v>130</v>
      </c>
      <c r="BM315" s="21">
        <v>0</v>
      </c>
      <c r="BN315" s="21">
        <v>0</v>
      </c>
      <c r="BO315" s="21">
        <v>0</v>
      </c>
      <c r="BP315" s="31">
        <f t="shared" si="200"/>
        <v>0</v>
      </c>
      <c r="BQ315" s="31">
        <f t="shared" si="200"/>
        <v>0</v>
      </c>
      <c r="BR315" s="58">
        <f>Table1[[#This Row],[Check 2 Students Total]]*Table1[[#This Row],[Summer 2018 Price Check]]</f>
        <v>0</v>
      </c>
      <c r="BS315" s="21">
        <v>0</v>
      </c>
      <c r="BT315" s="21">
        <v>0</v>
      </c>
      <c r="BU315" s="21">
        <v>0</v>
      </c>
      <c r="BV315" s="21">
        <v>0</v>
      </c>
      <c r="BW315" s="21">
        <v>0</v>
      </c>
      <c r="BX315" s="115">
        <f>Table1[[#This Row],[Summer 2018 Price Check]]*Table1[[#This Row],[Spring 2019 Students]]</f>
        <v>0</v>
      </c>
      <c r="BY315" s="31">
        <f t="shared" si="187"/>
        <v>0</v>
      </c>
      <c r="BZ315" s="58">
        <f t="shared" si="188"/>
        <v>0</v>
      </c>
      <c r="CA315" s="17" t="s">
        <v>130</v>
      </c>
      <c r="CB315" s="21" t="str">
        <f t="shared" si="201"/>
        <v>0</v>
      </c>
      <c r="CC315" s="21" t="str">
        <f t="shared" si="202"/>
        <v>100</v>
      </c>
      <c r="CD315" s="21" t="str">
        <f t="shared" si="203"/>
        <v>100</v>
      </c>
      <c r="CE315" s="21">
        <f t="shared" si="199"/>
        <v>200</v>
      </c>
      <c r="CF315" s="58">
        <f t="shared" si="204"/>
        <v>67.5</v>
      </c>
      <c r="CG315" s="115">
        <f t="shared" si="189"/>
        <v>13500</v>
      </c>
      <c r="CH315" s="17" t="s">
        <v>1287</v>
      </c>
      <c r="CI315" s="114" t="str">
        <f>IF(Table1[[#This Row],[Check 3 Status]]="Continued", Table1[[#This Row],[Check 3 Students Summer]], 0)</f>
        <v>0</v>
      </c>
      <c r="CJ315" s="115">
        <f>Table1[[#This Row],[Check 3 Per Student Savings]]*CI315</f>
        <v>0</v>
      </c>
      <c r="CK315" s="114">
        <v>0</v>
      </c>
      <c r="CL315" s="115">
        <f>Table1[[#This Row],[Check 3 Per Student Savings]]*CK315</f>
        <v>0</v>
      </c>
      <c r="CM315" s="114" t="str">
        <f>IF(Table1[[#This Row],[Check 3 Status]]="Continued", Table1[[#This Row],[Check 3 Students Spring]], 0)</f>
        <v>100</v>
      </c>
      <c r="CN315" s="115">
        <f>Table1[[#This Row],[Check 3 Per Student Savings]]*CM315</f>
        <v>6750</v>
      </c>
      <c r="CO315" s="114">
        <f t="shared" si="190"/>
        <v>100</v>
      </c>
      <c r="CP315" s="115">
        <f t="shared" si="191"/>
        <v>6750</v>
      </c>
      <c r="CQ315" s="115" t="s">
        <v>130</v>
      </c>
      <c r="CR315" s="114" t="s">
        <v>1299</v>
      </c>
      <c r="CS315" s="114" t="s">
        <v>1344</v>
      </c>
      <c r="CT315" s="114" t="s">
        <v>1344</v>
      </c>
      <c r="CU315" s="114">
        <f t="shared" si="192"/>
        <v>200</v>
      </c>
      <c r="CV315" s="115">
        <v>67.5</v>
      </c>
      <c r="CW315" s="115">
        <f t="shared" si="193"/>
        <v>13500</v>
      </c>
      <c r="CX315" s="17" t="s">
        <v>1287</v>
      </c>
      <c r="CY315" s="21" t="str">
        <f>IF(Table1[[#This Row],[Check 4 Status]]="Continued", Table1[[#This Row],[Check 4 Students Summer]], 0)</f>
        <v>0</v>
      </c>
      <c r="CZ315" s="58">
        <f>Table1[[#This Row],[Check 4 Per Student Savings]]*CY315</f>
        <v>0</v>
      </c>
      <c r="DA315" s="114" t="str">
        <f>IF(Table1[[#This Row],[Check 4 Status]]="Continued", Table1[[#This Row],[Check 4 Students Fall]], 0)</f>
        <v>100</v>
      </c>
      <c r="DB315" s="115">
        <f>Table1[[#This Row],[Check 4 Per Student Savings]]*DA315</f>
        <v>6750</v>
      </c>
      <c r="DC315" s="21" t="str">
        <f>IF(Table1[[#This Row],[Check 4 Status]]="Continued", Table1[[#This Row],[Check 4 Students Spring]], 0)</f>
        <v>100</v>
      </c>
      <c r="DD315" s="58">
        <f>Table1[[#This Row],[Check 4 Per Student Savings]]*DC315</f>
        <v>6750</v>
      </c>
      <c r="DE315" s="58">
        <f t="shared" si="194"/>
        <v>200</v>
      </c>
      <c r="DF315" s="58">
        <f t="shared" si="195"/>
        <v>13500</v>
      </c>
      <c r="DG31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300</v>
      </c>
      <c r="DH31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20250</v>
      </c>
      <c r="DI315" s="119">
        <f>Table1[[#This Row],[Grand Total Savings]]/Table1[[#This Row],[Total Award]]</f>
        <v>1.875</v>
      </c>
      <c r="DJ315" s="17"/>
      <c r="DK315" s="17"/>
      <c r="DL315" s="17"/>
      <c r="DM315" s="17"/>
      <c r="DX315" s="21"/>
      <c r="DY315" s="58"/>
      <c r="DZ315" s="21"/>
      <c r="EA315" s="21"/>
      <c r="EC315" s="17"/>
      <c r="ED315" s="17"/>
      <c r="EE315" s="17"/>
      <c r="EF315" s="17"/>
    </row>
    <row r="316" spans="1:136" x14ac:dyDescent="0.25">
      <c r="A316" s="128">
        <v>445</v>
      </c>
      <c r="B316" s="128"/>
      <c r="C316" s="191" t="s">
        <v>129</v>
      </c>
      <c r="D316" s="118">
        <v>516199</v>
      </c>
      <c r="E316" s="116"/>
      <c r="F316" s="117"/>
      <c r="G316" s="202" t="s">
        <v>1437</v>
      </c>
      <c r="H316" s="95" t="s">
        <v>6</v>
      </c>
      <c r="I316" s="229" t="s">
        <v>118</v>
      </c>
      <c r="J316" s="17" t="s">
        <v>388</v>
      </c>
      <c r="K316" s="101">
        <v>25800</v>
      </c>
      <c r="L316" s="101" t="s">
        <v>1443</v>
      </c>
      <c r="M316" s="17" t="s">
        <v>1456</v>
      </c>
      <c r="N316" s="17" t="s">
        <v>1457</v>
      </c>
      <c r="O316" s="17" t="s">
        <v>1458</v>
      </c>
      <c r="P316" s="17" t="s">
        <v>353</v>
      </c>
      <c r="Q316" s="101" t="s">
        <v>304</v>
      </c>
      <c r="R316" s="101"/>
      <c r="S316" s="197"/>
      <c r="T316" s="17" t="s">
        <v>1459</v>
      </c>
      <c r="U316" s="17" t="s">
        <v>1095</v>
      </c>
      <c r="V316" s="17" t="s">
        <v>1095</v>
      </c>
      <c r="W316" s="17" t="s">
        <v>1095</v>
      </c>
      <c r="X316" s="17" t="s">
        <v>1095</v>
      </c>
      <c r="Y316" s="56">
        <v>85060.800000000003</v>
      </c>
      <c r="Z316" s="21">
        <v>440</v>
      </c>
      <c r="AA316" s="58">
        <v>193.32</v>
      </c>
      <c r="AB316" s="21" t="s">
        <v>1460</v>
      </c>
      <c r="AC316" s="21" t="s">
        <v>1461</v>
      </c>
      <c r="AD316" s="21" t="s">
        <v>1462</v>
      </c>
      <c r="AE316" s="17" t="s">
        <v>1443</v>
      </c>
      <c r="AF316" s="58" t="s">
        <v>129</v>
      </c>
      <c r="AG316" s="58"/>
      <c r="AH316" s="58"/>
      <c r="AI316" s="111" t="s">
        <v>130</v>
      </c>
      <c r="AJ316" s="21">
        <v>0</v>
      </c>
      <c r="AK316" s="21">
        <v>0</v>
      </c>
      <c r="AL316" s="21">
        <v>0</v>
      </c>
      <c r="AM316" s="21">
        <v>0</v>
      </c>
      <c r="AN316" s="21">
        <v>0</v>
      </c>
      <c r="AO316" s="21">
        <v>0</v>
      </c>
      <c r="AP316" s="21">
        <v>0</v>
      </c>
      <c r="AQ316" s="21">
        <v>0</v>
      </c>
      <c r="AR316" s="21">
        <v>0</v>
      </c>
      <c r="AS316" s="21">
        <v>0</v>
      </c>
      <c r="AT316" s="21">
        <v>0</v>
      </c>
      <c r="AU316" s="21">
        <v>0</v>
      </c>
      <c r="AV316" s="21">
        <v>0</v>
      </c>
      <c r="AW316" s="21">
        <v>0</v>
      </c>
      <c r="AX316" s="21">
        <v>0</v>
      </c>
      <c r="AY316" s="21">
        <v>0</v>
      </c>
      <c r="AZ316" s="21">
        <v>0</v>
      </c>
      <c r="BA316" s="21">
        <v>0</v>
      </c>
      <c r="BB316" s="21">
        <v>0</v>
      </c>
      <c r="BC316" s="21">
        <v>0</v>
      </c>
      <c r="BD316" s="21">
        <v>0</v>
      </c>
      <c r="BE316" s="21">
        <v>0</v>
      </c>
      <c r="BF316" s="21">
        <v>0</v>
      </c>
      <c r="BG316" s="21">
        <v>0</v>
      </c>
      <c r="BH316" s="21">
        <v>0</v>
      </c>
      <c r="BI316" s="21">
        <v>0</v>
      </c>
      <c r="BJ316" s="21">
        <v>0</v>
      </c>
      <c r="BK316" s="21">
        <v>0</v>
      </c>
      <c r="BL316" s="17" t="s">
        <v>130</v>
      </c>
      <c r="BM316" s="21">
        <v>0</v>
      </c>
      <c r="BN316" s="21">
        <v>0</v>
      </c>
      <c r="BO316" s="21">
        <v>0</v>
      </c>
      <c r="BP316" s="31">
        <f t="shared" si="200"/>
        <v>0</v>
      </c>
      <c r="BQ316" s="31">
        <f t="shared" si="200"/>
        <v>0</v>
      </c>
      <c r="BR316" s="58">
        <f>Table1[[#This Row],[Check 2 Students Total]]*Table1[[#This Row],[Summer 2018 Price Check]]</f>
        <v>0</v>
      </c>
      <c r="BS316" s="21">
        <v>0</v>
      </c>
      <c r="BT316" s="21">
        <v>0</v>
      </c>
      <c r="BU316" s="21">
        <v>0</v>
      </c>
      <c r="BV316" s="21">
        <v>0</v>
      </c>
      <c r="BW316" s="21">
        <v>0</v>
      </c>
      <c r="BX316" s="115">
        <f>Table1[[#This Row],[Summer 2018 Price Check]]*Table1[[#This Row],[Spring 2019 Students]]</f>
        <v>0</v>
      </c>
      <c r="BY316" s="31">
        <f t="shared" si="187"/>
        <v>0</v>
      </c>
      <c r="BZ316" s="58">
        <f t="shared" si="188"/>
        <v>0</v>
      </c>
      <c r="CA316" s="17" t="s">
        <v>130</v>
      </c>
      <c r="CB316" s="21" t="str">
        <f t="shared" si="201"/>
        <v>68</v>
      </c>
      <c r="CC316" s="21" t="str">
        <f t="shared" si="202"/>
        <v>183</v>
      </c>
      <c r="CD316" s="21" t="str">
        <f t="shared" si="203"/>
        <v>189</v>
      </c>
      <c r="CE316" s="21">
        <f t="shared" si="199"/>
        <v>440</v>
      </c>
      <c r="CF316" s="58">
        <f t="shared" si="204"/>
        <v>193.32</v>
      </c>
      <c r="CG316" s="115">
        <f t="shared" si="189"/>
        <v>85060.800000000003</v>
      </c>
      <c r="CH316" s="17" t="s">
        <v>1443</v>
      </c>
      <c r="CI316" s="114">
        <v>0</v>
      </c>
      <c r="CJ316" s="115">
        <f>Table1[[#This Row],[Check 3 Per Student Savings]]*CI316</f>
        <v>0</v>
      </c>
      <c r="CK316" s="114">
        <v>0</v>
      </c>
      <c r="CL316" s="115">
        <f>Table1[[#This Row],[Check 3 Per Student Savings]]*CK316</f>
        <v>0</v>
      </c>
      <c r="CM316" s="114">
        <v>0</v>
      </c>
      <c r="CN316" s="115">
        <f>Table1[[#This Row],[Check 3 Per Student Savings]]*CM316</f>
        <v>0</v>
      </c>
      <c r="CO316" s="114">
        <f t="shared" si="190"/>
        <v>0</v>
      </c>
      <c r="CP316" s="115">
        <f t="shared" si="191"/>
        <v>0</v>
      </c>
      <c r="CQ316" s="115" t="s">
        <v>130</v>
      </c>
      <c r="CR316" s="114" t="s">
        <v>1460</v>
      </c>
      <c r="CS316" s="114" t="s">
        <v>1461</v>
      </c>
      <c r="CT316" s="114" t="s">
        <v>1462</v>
      </c>
      <c r="CU316" s="114">
        <f t="shared" si="192"/>
        <v>440</v>
      </c>
      <c r="CV316" s="115">
        <v>193.32</v>
      </c>
      <c r="CW316" s="115">
        <f t="shared" si="193"/>
        <v>85060.800000000003</v>
      </c>
      <c r="CX316" s="17" t="s">
        <v>1443</v>
      </c>
      <c r="CY316" s="21" t="str">
        <f>IF(Table1[[#This Row],[Check 4 Status]]="Continued", Table1[[#This Row],[Check 4 Students Summer]], 0)</f>
        <v>68</v>
      </c>
      <c r="CZ316" s="58">
        <f>Table1[[#This Row],[Check 4 Per Student Savings]]*CY316</f>
        <v>13145.76</v>
      </c>
      <c r="DA316" s="114" t="str">
        <f>IF(Table1[[#This Row],[Check 4 Status]]="Continued", Table1[[#This Row],[Check 4 Students Fall]], 0)</f>
        <v>183</v>
      </c>
      <c r="DB316" s="115">
        <f>Table1[[#This Row],[Check 4 Per Student Savings]]*DA316</f>
        <v>35377.56</v>
      </c>
      <c r="DC316" s="21" t="str">
        <f>IF(Table1[[#This Row],[Check 4 Status]]="Continued", Table1[[#This Row],[Check 4 Students Spring]], 0)</f>
        <v>189</v>
      </c>
      <c r="DD316" s="58">
        <f>Table1[[#This Row],[Check 4 Per Student Savings]]*DC316</f>
        <v>36537.479999999996</v>
      </c>
      <c r="DE316" s="58">
        <f t="shared" si="194"/>
        <v>440</v>
      </c>
      <c r="DF316" s="58">
        <f t="shared" si="195"/>
        <v>85060.799999999988</v>
      </c>
      <c r="DG31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440</v>
      </c>
      <c r="DH31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85060.799999999988</v>
      </c>
      <c r="DI316" s="119">
        <f>Table1[[#This Row],[Grand Total Savings]]/Table1[[#This Row],[Total Award]]</f>
        <v>3.2969302325581391</v>
      </c>
      <c r="DJ316" s="17"/>
      <c r="DK316" s="17"/>
      <c r="DL316" s="17"/>
      <c r="DM316" s="17"/>
      <c r="DX316" s="21"/>
      <c r="DY316" s="58"/>
      <c r="DZ316" s="21"/>
      <c r="EA316" s="21"/>
      <c r="EC316" s="17"/>
      <c r="ED316" s="17"/>
      <c r="EE316" s="17"/>
      <c r="EF316" s="17"/>
    </row>
    <row r="317" spans="1:136" x14ac:dyDescent="0.25">
      <c r="A317" s="128">
        <v>447</v>
      </c>
      <c r="B317" s="128"/>
      <c r="C317" s="191" t="s">
        <v>129</v>
      </c>
      <c r="D317" s="118">
        <v>516214</v>
      </c>
      <c r="E317" s="116"/>
      <c r="F317" s="117"/>
      <c r="G317" s="202" t="s">
        <v>1437</v>
      </c>
      <c r="H317" s="95" t="s">
        <v>6</v>
      </c>
      <c r="I317" s="229" t="s">
        <v>118</v>
      </c>
      <c r="J317" s="17" t="s">
        <v>324</v>
      </c>
      <c r="K317" s="101">
        <v>10800</v>
      </c>
      <c r="L317" s="101" t="s">
        <v>1443</v>
      </c>
      <c r="M317" s="17" t="s">
        <v>1463</v>
      </c>
      <c r="N317" s="17" t="s">
        <v>1464</v>
      </c>
      <c r="O317" s="17" t="s">
        <v>1465</v>
      </c>
      <c r="P317" s="17" t="s">
        <v>1466</v>
      </c>
      <c r="Q317" s="101" t="s">
        <v>714</v>
      </c>
      <c r="R317" s="101"/>
      <c r="S317" s="197"/>
      <c r="T317" s="17" t="s">
        <v>1442</v>
      </c>
      <c r="U317" s="17" t="s">
        <v>1095</v>
      </c>
      <c r="V317" s="17" t="s">
        <v>1095</v>
      </c>
      <c r="W317" s="17" t="s">
        <v>1095</v>
      </c>
      <c r="X317" s="17" t="s">
        <v>1095</v>
      </c>
      <c r="Y317" s="56">
        <v>32678.799999999999</v>
      </c>
      <c r="Z317" s="21">
        <v>280</v>
      </c>
      <c r="AA317" s="58">
        <v>116.71</v>
      </c>
      <c r="AB317" s="21" t="s">
        <v>1467</v>
      </c>
      <c r="AC317" s="21" t="s">
        <v>1468</v>
      </c>
      <c r="AD317" s="21" t="s">
        <v>1468</v>
      </c>
      <c r="AE317" s="17" t="s">
        <v>1443</v>
      </c>
      <c r="AF317" s="58" t="s">
        <v>129</v>
      </c>
      <c r="AG317" s="58"/>
      <c r="AH317" s="58"/>
      <c r="AI317" s="111" t="s">
        <v>130</v>
      </c>
      <c r="AJ317" s="21">
        <v>0</v>
      </c>
      <c r="AK317" s="21">
        <v>0</v>
      </c>
      <c r="AL317" s="21">
        <v>0</v>
      </c>
      <c r="AM317" s="21">
        <v>0</v>
      </c>
      <c r="AN317" s="21">
        <v>0</v>
      </c>
      <c r="AO317" s="21">
        <v>0</v>
      </c>
      <c r="AP317" s="21">
        <v>0</v>
      </c>
      <c r="AQ317" s="21">
        <v>0</v>
      </c>
      <c r="AR317" s="21">
        <v>0</v>
      </c>
      <c r="AS317" s="21">
        <v>0</v>
      </c>
      <c r="AT317" s="21">
        <v>0</v>
      </c>
      <c r="AU317" s="21">
        <v>0</v>
      </c>
      <c r="AV317" s="21">
        <v>0</v>
      </c>
      <c r="AW317" s="21">
        <v>0</v>
      </c>
      <c r="AX317" s="21">
        <v>0</v>
      </c>
      <c r="AY317" s="21">
        <v>0</v>
      </c>
      <c r="AZ317" s="21">
        <v>0</v>
      </c>
      <c r="BA317" s="21">
        <v>0</v>
      </c>
      <c r="BB317" s="21">
        <v>0</v>
      </c>
      <c r="BC317" s="21">
        <v>0</v>
      </c>
      <c r="BD317" s="21">
        <v>0</v>
      </c>
      <c r="BE317" s="21">
        <v>0</v>
      </c>
      <c r="BF317" s="21">
        <v>0</v>
      </c>
      <c r="BG317" s="21">
        <v>0</v>
      </c>
      <c r="BH317" s="21">
        <v>0</v>
      </c>
      <c r="BI317" s="21">
        <v>0</v>
      </c>
      <c r="BJ317" s="21">
        <v>0</v>
      </c>
      <c r="BK317" s="21">
        <v>0</v>
      </c>
      <c r="BL317" s="17" t="s">
        <v>130</v>
      </c>
      <c r="BM317" s="21">
        <v>0</v>
      </c>
      <c r="BN317" s="21">
        <v>0</v>
      </c>
      <c r="BO317" s="21">
        <v>0</v>
      </c>
      <c r="BP317" s="31">
        <f t="shared" si="200"/>
        <v>0</v>
      </c>
      <c r="BQ317" s="31">
        <f t="shared" si="200"/>
        <v>0</v>
      </c>
      <c r="BR317" s="58">
        <f>Table1[[#This Row],[Check 2 Students Total]]*Table1[[#This Row],[Summer 2018 Price Check]]</f>
        <v>0</v>
      </c>
      <c r="BS317" s="21">
        <v>0</v>
      </c>
      <c r="BT317" s="21">
        <v>0</v>
      </c>
      <c r="BU317" s="21">
        <v>0</v>
      </c>
      <c r="BV317" s="21">
        <v>0</v>
      </c>
      <c r="BW317" s="21">
        <v>0</v>
      </c>
      <c r="BX317" s="115">
        <f>Table1[[#This Row],[Summer 2018 Price Check]]*Table1[[#This Row],[Spring 2019 Students]]</f>
        <v>0</v>
      </c>
      <c r="BY317" s="31">
        <f t="shared" si="187"/>
        <v>0</v>
      </c>
      <c r="BZ317" s="58">
        <f t="shared" si="188"/>
        <v>0</v>
      </c>
      <c r="CA317" s="17" t="s">
        <v>130</v>
      </c>
      <c r="CB317" s="21" t="str">
        <f t="shared" si="201"/>
        <v>35</v>
      </c>
      <c r="CC317" s="21" t="str">
        <f t="shared" si="202"/>
        <v>140</v>
      </c>
      <c r="CD317" s="21" t="str">
        <f t="shared" si="203"/>
        <v>140</v>
      </c>
      <c r="CE317" s="21">
        <f t="shared" si="199"/>
        <v>315</v>
      </c>
      <c r="CF317" s="58">
        <f t="shared" si="204"/>
        <v>116.71</v>
      </c>
      <c r="CG317" s="115">
        <f t="shared" si="189"/>
        <v>36763.65</v>
      </c>
      <c r="CH317" s="17" t="s">
        <v>1443</v>
      </c>
      <c r="CI317" s="114">
        <v>0</v>
      </c>
      <c r="CJ317" s="115">
        <f>Table1[[#This Row],[Check 3 Per Student Savings]]*CI317</f>
        <v>0</v>
      </c>
      <c r="CK317" s="114">
        <v>0</v>
      </c>
      <c r="CL317" s="115">
        <f>Table1[[#This Row],[Check 3 Per Student Savings]]*CK317</f>
        <v>0</v>
      </c>
      <c r="CM317" s="114">
        <v>0</v>
      </c>
      <c r="CN317" s="115">
        <f>Table1[[#This Row],[Check 3 Per Student Savings]]*CM317</f>
        <v>0</v>
      </c>
      <c r="CO317" s="114">
        <f t="shared" si="190"/>
        <v>0</v>
      </c>
      <c r="CP317" s="115">
        <f t="shared" si="191"/>
        <v>0</v>
      </c>
      <c r="CQ317" s="115" t="s">
        <v>130</v>
      </c>
      <c r="CR317" s="114" t="s">
        <v>1467</v>
      </c>
      <c r="CS317" s="114" t="s">
        <v>1468</v>
      </c>
      <c r="CT317" s="114" t="s">
        <v>1468</v>
      </c>
      <c r="CU317" s="114">
        <f t="shared" si="192"/>
        <v>315</v>
      </c>
      <c r="CV317" s="115">
        <v>116.71</v>
      </c>
      <c r="CW317" s="115">
        <f t="shared" si="193"/>
        <v>36763.65</v>
      </c>
      <c r="CX317" s="17" t="s">
        <v>1443</v>
      </c>
      <c r="CY317" s="21" t="str">
        <f>IF(Table1[[#This Row],[Check 4 Status]]="Continued", Table1[[#This Row],[Check 4 Students Summer]], 0)</f>
        <v>35</v>
      </c>
      <c r="CZ317" s="58">
        <f>Table1[[#This Row],[Check 4 Per Student Savings]]*CY317</f>
        <v>4084.85</v>
      </c>
      <c r="DA317" s="114" t="str">
        <f>IF(Table1[[#This Row],[Check 4 Status]]="Continued", Table1[[#This Row],[Check 4 Students Fall]], 0)</f>
        <v>140</v>
      </c>
      <c r="DB317" s="115">
        <f>Table1[[#This Row],[Check 4 Per Student Savings]]*DA317</f>
        <v>16339.4</v>
      </c>
      <c r="DC317" s="21" t="str">
        <f>IF(Table1[[#This Row],[Check 4 Status]]="Continued", Table1[[#This Row],[Check 4 Students Spring]], 0)</f>
        <v>140</v>
      </c>
      <c r="DD317" s="58">
        <f>Table1[[#This Row],[Check 4 Per Student Savings]]*DC317</f>
        <v>16339.4</v>
      </c>
      <c r="DE317" s="58">
        <f t="shared" si="194"/>
        <v>315</v>
      </c>
      <c r="DF317" s="58">
        <f t="shared" si="195"/>
        <v>36763.65</v>
      </c>
      <c r="DG31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315</v>
      </c>
      <c r="DH31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36763.65</v>
      </c>
      <c r="DI317" s="119">
        <f>Table1[[#This Row],[Grand Total Savings]]/Table1[[#This Row],[Total Award]]</f>
        <v>3.4040416666666666</v>
      </c>
      <c r="DJ317" s="17"/>
      <c r="DK317" s="17"/>
      <c r="DL317" s="17"/>
      <c r="DM317" s="17"/>
      <c r="DX317" s="21"/>
      <c r="DY317" s="58"/>
      <c r="DZ317" s="21"/>
      <c r="EA317" s="21"/>
      <c r="EC317" s="17"/>
      <c r="ED317" s="17"/>
      <c r="EE317" s="17"/>
      <c r="EF317" s="17"/>
    </row>
    <row r="318" spans="1:136" ht="15.75" thickBot="1" x14ac:dyDescent="0.3">
      <c r="A318" s="128">
        <v>449</v>
      </c>
      <c r="B318" s="128"/>
      <c r="C318" s="191" t="s">
        <v>129</v>
      </c>
      <c r="D318" s="118">
        <v>516262</v>
      </c>
      <c r="E318" s="116"/>
      <c r="F318" s="117"/>
      <c r="G318" s="204" t="s">
        <v>1437</v>
      </c>
      <c r="H318" s="95" t="s">
        <v>6</v>
      </c>
      <c r="I318" s="229" t="s">
        <v>118</v>
      </c>
      <c r="J318" s="17" t="s">
        <v>2000</v>
      </c>
      <c r="K318" s="101">
        <v>10800</v>
      </c>
      <c r="L318" s="101" t="s">
        <v>1443</v>
      </c>
      <c r="M318" s="17" t="s">
        <v>1469</v>
      </c>
      <c r="N318" s="17" t="s">
        <v>1470</v>
      </c>
      <c r="O318" s="17" t="s">
        <v>372</v>
      </c>
      <c r="P318" s="17" t="s">
        <v>373</v>
      </c>
      <c r="Q318" s="101" t="s">
        <v>148</v>
      </c>
      <c r="R318" s="101"/>
      <c r="S318" s="197"/>
      <c r="T318" s="17" t="s">
        <v>1459</v>
      </c>
      <c r="U318" s="17" t="s">
        <v>1095</v>
      </c>
      <c r="V318" s="17" t="s">
        <v>1095</v>
      </c>
      <c r="W318" s="17" t="s">
        <v>1095</v>
      </c>
      <c r="X318" s="17" t="s">
        <v>1095</v>
      </c>
      <c r="Y318" s="56">
        <v>34320</v>
      </c>
      <c r="Z318" s="21">
        <v>330</v>
      </c>
      <c r="AA318" s="58">
        <v>104</v>
      </c>
      <c r="AB318" s="21" t="s">
        <v>1299</v>
      </c>
      <c r="AC318" s="21" t="s">
        <v>1471</v>
      </c>
      <c r="AD318" s="21" t="s">
        <v>1472</v>
      </c>
      <c r="AE318" s="17" t="s">
        <v>1443</v>
      </c>
      <c r="AF318" s="58" t="s">
        <v>129</v>
      </c>
      <c r="AG318" s="58"/>
      <c r="AH318" s="58"/>
      <c r="AI318" s="111" t="s">
        <v>130</v>
      </c>
      <c r="AJ318" s="21">
        <v>0</v>
      </c>
      <c r="AK318" s="21">
        <v>0</v>
      </c>
      <c r="AL318" s="21">
        <v>0</v>
      </c>
      <c r="AM318" s="21">
        <v>0</v>
      </c>
      <c r="AN318" s="21">
        <v>0</v>
      </c>
      <c r="AO318" s="21">
        <v>0</v>
      </c>
      <c r="AP318" s="21">
        <v>0</v>
      </c>
      <c r="AQ318" s="21">
        <v>0</v>
      </c>
      <c r="AR318" s="21">
        <v>0</v>
      </c>
      <c r="AS318" s="21">
        <v>0</v>
      </c>
      <c r="AT318" s="21">
        <v>0</v>
      </c>
      <c r="AU318" s="21">
        <v>0</v>
      </c>
      <c r="AV318" s="21">
        <v>0</v>
      </c>
      <c r="AW318" s="21">
        <v>0</v>
      </c>
      <c r="AX318" s="21">
        <v>0</v>
      </c>
      <c r="AY318" s="21">
        <v>0</v>
      </c>
      <c r="AZ318" s="21">
        <v>0</v>
      </c>
      <c r="BA318" s="21">
        <v>0</v>
      </c>
      <c r="BB318" s="21">
        <v>0</v>
      </c>
      <c r="BC318" s="21">
        <v>0</v>
      </c>
      <c r="BD318" s="21">
        <v>0</v>
      </c>
      <c r="BE318" s="21">
        <v>0</v>
      </c>
      <c r="BF318" s="21">
        <v>0</v>
      </c>
      <c r="BG318" s="21">
        <v>0</v>
      </c>
      <c r="BH318" s="21">
        <v>0</v>
      </c>
      <c r="BI318" s="21">
        <v>0</v>
      </c>
      <c r="BJ318" s="21">
        <v>0</v>
      </c>
      <c r="BK318" s="21">
        <v>0</v>
      </c>
      <c r="BL318" s="17" t="s">
        <v>130</v>
      </c>
      <c r="BM318" s="21">
        <v>0</v>
      </c>
      <c r="BN318" s="21">
        <v>0</v>
      </c>
      <c r="BO318" s="21">
        <v>0</v>
      </c>
      <c r="BP318" s="31">
        <f t="shared" si="200"/>
        <v>0</v>
      </c>
      <c r="BQ318" s="31">
        <f t="shared" si="200"/>
        <v>0</v>
      </c>
      <c r="BR318" s="58">
        <f>Table1[[#This Row],[Check 2 Students Total]]*Table1[[#This Row],[Summer 2018 Price Check]]</f>
        <v>0</v>
      </c>
      <c r="BS318" s="21">
        <v>0</v>
      </c>
      <c r="BT318" s="21">
        <v>0</v>
      </c>
      <c r="BU318" s="21">
        <v>0</v>
      </c>
      <c r="BV318" s="21">
        <v>0</v>
      </c>
      <c r="BW318" s="21">
        <v>0</v>
      </c>
      <c r="BX318" s="115">
        <f>Table1[[#This Row],[Summer 2018 Price Check]]*Table1[[#This Row],[Spring 2019 Students]]</f>
        <v>0</v>
      </c>
      <c r="BY318" s="31">
        <f t="shared" si="187"/>
        <v>0</v>
      </c>
      <c r="BZ318" s="58">
        <f t="shared" si="188"/>
        <v>0</v>
      </c>
      <c r="CA318" s="17" t="s">
        <v>130</v>
      </c>
      <c r="CB318" s="21" t="str">
        <f t="shared" si="201"/>
        <v>0</v>
      </c>
      <c r="CC318" s="21" t="str">
        <f t="shared" si="202"/>
        <v>90</v>
      </c>
      <c r="CD318" s="21" t="str">
        <f t="shared" si="203"/>
        <v>240</v>
      </c>
      <c r="CE318" s="21">
        <f t="shared" si="199"/>
        <v>330</v>
      </c>
      <c r="CF318" s="58">
        <f t="shared" si="204"/>
        <v>104</v>
      </c>
      <c r="CG318" s="115">
        <f t="shared" si="189"/>
        <v>34320</v>
      </c>
      <c r="CH318" s="17" t="s">
        <v>1443</v>
      </c>
      <c r="CI318" s="114">
        <v>0</v>
      </c>
      <c r="CJ318" s="115">
        <f>Table1[[#This Row],[Check 3 Per Student Savings]]*CI318</f>
        <v>0</v>
      </c>
      <c r="CK318" s="114">
        <v>0</v>
      </c>
      <c r="CL318" s="115">
        <f>Table1[[#This Row],[Check 3 Per Student Savings]]*CK318</f>
        <v>0</v>
      </c>
      <c r="CM318" s="114">
        <v>0</v>
      </c>
      <c r="CN318" s="115">
        <f>Table1[[#This Row],[Check 3 Per Student Savings]]*CM318</f>
        <v>0</v>
      </c>
      <c r="CO318" s="114">
        <f t="shared" si="190"/>
        <v>0</v>
      </c>
      <c r="CP318" s="115">
        <f t="shared" si="191"/>
        <v>0</v>
      </c>
      <c r="CQ318" s="115" t="s">
        <v>130</v>
      </c>
      <c r="CR318" s="114" t="s">
        <v>1299</v>
      </c>
      <c r="CS318" s="114" t="s">
        <v>1471</v>
      </c>
      <c r="CT318" s="114" t="s">
        <v>1472</v>
      </c>
      <c r="CU318" s="114">
        <f t="shared" si="192"/>
        <v>330</v>
      </c>
      <c r="CV318" s="115">
        <v>104</v>
      </c>
      <c r="CW318" s="115">
        <f t="shared" si="193"/>
        <v>34320</v>
      </c>
      <c r="CX318" s="17" t="s">
        <v>1443</v>
      </c>
      <c r="CY318" s="21" t="str">
        <f>IF(Table1[[#This Row],[Check 4 Status]]="Continued", Table1[[#This Row],[Check 4 Students Summer]], 0)</f>
        <v>0</v>
      </c>
      <c r="CZ318" s="58">
        <f>Table1[[#This Row],[Check 4 Per Student Savings]]*CY318</f>
        <v>0</v>
      </c>
      <c r="DA318" s="114" t="str">
        <f>IF(Table1[[#This Row],[Check 4 Status]]="Continued", Table1[[#This Row],[Check 4 Students Fall]], 0)</f>
        <v>90</v>
      </c>
      <c r="DB318" s="115">
        <f>Table1[[#This Row],[Check 4 Per Student Savings]]*DA318</f>
        <v>9360</v>
      </c>
      <c r="DC318" s="21" t="str">
        <f>IF(Table1[[#This Row],[Check 4 Status]]="Continued", Table1[[#This Row],[Check 4 Students Spring]], 0)</f>
        <v>240</v>
      </c>
      <c r="DD318" s="58">
        <f>Table1[[#This Row],[Check 4 Per Student Savings]]*DC318</f>
        <v>24960</v>
      </c>
      <c r="DE318" s="58">
        <f t="shared" si="194"/>
        <v>330</v>
      </c>
      <c r="DF318" s="58">
        <f t="shared" si="195"/>
        <v>34320</v>
      </c>
      <c r="DG31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330</v>
      </c>
      <c r="DH31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34320</v>
      </c>
      <c r="DI318" s="119">
        <f>Table1[[#This Row],[Grand Total Savings]]/Table1[[#This Row],[Total Award]]</f>
        <v>3.1777777777777776</v>
      </c>
      <c r="DJ318" s="17"/>
      <c r="DK318" s="17"/>
      <c r="DL318" s="17"/>
      <c r="DM318" s="17"/>
      <c r="DX318" s="21"/>
      <c r="DY318" s="58"/>
      <c r="DZ318" s="21"/>
      <c r="EA318" s="21"/>
      <c r="EC318" s="17"/>
      <c r="ED318" s="17"/>
      <c r="EE318" s="17"/>
      <c r="EF318" s="17"/>
    </row>
    <row r="319" spans="1:136" ht="15.75" thickTop="1" x14ac:dyDescent="0.25">
      <c r="A319" s="128">
        <v>450</v>
      </c>
      <c r="B319" s="128"/>
      <c r="C319" s="191" t="s">
        <v>129</v>
      </c>
      <c r="D319" s="118">
        <v>516266</v>
      </c>
      <c r="E319" s="116"/>
      <c r="F319" s="117"/>
      <c r="G319" s="200" t="s">
        <v>1437</v>
      </c>
      <c r="H319" s="95" t="s">
        <v>6</v>
      </c>
      <c r="I319" s="229" t="s">
        <v>118</v>
      </c>
      <c r="J319" s="17" t="s">
        <v>172</v>
      </c>
      <c r="K319" s="101">
        <v>10800</v>
      </c>
      <c r="L319" s="101" t="s">
        <v>1287</v>
      </c>
      <c r="M319" s="17" t="s">
        <v>1473</v>
      </c>
      <c r="N319" s="17" t="s">
        <v>1474</v>
      </c>
      <c r="O319" s="17" t="s">
        <v>1475</v>
      </c>
      <c r="P319" s="17" t="s">
        <v>1476</v>
      </c>
      <c r="Q319" s="101" t="s">
        <v>543</v>
      </c>
      <c r="R319" s="101"/>
      <c r="S319" s="197"/>
      <c r="T319" s="17" t="s">
        <v>1459</v>
      </c>
      <c r="U319" s="17" t="s">
        <v>1095</v>
      </c>
      <c r="V319" s="17" t="s">
        <v>1095</v>
      </c>
      <c r="W319" s="17" t="s">
        <v>1095</v>
      </c>
      <c r="X319" s="17" t="s">
        <v>1095</v>
      </c>
      <c r="Y319" s="56">
        <v>35997</v>
      </c>
      <c r="Z319" s="21">
        <v>300</v>
      </c>
      <c r="AA319" s="58">
        <v>119</v>
      </c>
      <c r="AB319" s="21" t="s">
        <v>1344</v>
      </c>
      <c r="AC319" s="21" t="s">
        <v>1344</v>
      </c>
      <c r="AD319" s="21" t="s">
        <v>1344</v>
      </c>
      <c r="AE319" s="17" t="s">
        <v>1287</v>
      </c>
      <c r="AF319" s="58" t="s">
        <v>129</v>
      </c>
      <c r="AG319" s="58"/>
      <c r="AH319" s="58"/>
      <c r="AI319" s="111" t="s">
        <v>130</v>
      </c>
      <c r="AJ319" s="21">
        <v>0</v>
      </c>
      <c r="AK319" s="21">
        <v>0</v>
      </c>
      <c r="AL319" s="21">
        <v>0</v>
      </c>
      <c r="AM319" s="21">
        <v>0</v>
      </c>
      <c r="AN319" s="21">
        <v>0</v>
      </c>
      <c r="AO319" s="21">
        <v>0</v>
      </c>
      <c r="AP319" s="21">
        <v>0</v>
      </c>
      <c r="AQ319" s="21">
        <v>0</v>
      </c>
      <c r="AR319" s="21">
        <v>0</v>
      </c>
      <c r="AS319" s="21">
        <v>0</v>
      </c>
      <c r="AT319" s="21">
        <v>0</v>
      </c>
      <c r="AU319" s="21">
        <v>0</v>
      </c>
      <c r="AV319" s="21">
        <v>0</v>
      </c>
      <c r="AW319" s="21">
        <v>0</v>
      </c>
      <c r="AX319" s="21">
        <v>0</v>
      </c>
      <c r="AY319" s="21">
        <v>0</v>
      </c>
      <c r="AZ319" s="21">
        <v>0</v>
      </c>
      <c r="BA319" s="21">
        <v>0</v>
      </c>
      <c r="BB319" s="21">
        <v>0</v>
      </c>
      <c r="BC319" s="21">
        <v>0</v>
      </c>
      <c r="BD319" s="21">
        <v>0</v>
      </c>
      <c r="BE319" s="21">
        <v>0</v>
      </c>
      <c r="BF319" s="21">
        <v>0</v>
      </c>
      <c r="BG319" s="21">
        <v>0</v>
      </c>
      <c r="BH319" s="21">
        <v>0</v>
      </c>
      <c r="BI319" s="21">
        <v>0</v>
      </c>
      <c r="BJ319" s="21">
        <v>0</v>
      </c>
      <c r="BK319" s="21">
        <v>0</v>
      </c>
      <c r="BL319" s="17" t="s">
        <v>130</v>
      </c>
      <c r="BM319" s="21">
        <v>0</v>
      </c>
      <c r="BN319" s="21">
        <v>0</v>
      </c>
      <c r="BO319" s="21">
        <v>0</v>
      </c>
      <c r="BP319" s="31">
        <f t="shared" si="200"/>
        <v>0</v>
      </c>
      <c r="BQ319" s="31">
        <f t="shared" si="200"/>
        <v>0</v>
      </c>
      <c r="BR319" s="58">
        <f>Table1[[#This Row],[Check 2 Students Total]]*Table1[[#This Row],[Summer 2018 Price Check]]</f>
        <v>0</v>
      </c>
      <c r="BS319" s="21">
        <v>0</v>
      </c>
      <c r="BT319" s="21">
        <v>0</v>
      </c>
      <c r="BU319" s="21">
        <v>0</v>
      </c>
      <c r="BV319" s="21">
        <v>0</v>
      </c>
      <c r="BW319" s="21">
        <v>0</v>
      </c>
      <c r="BX319" s="115">
        <f>Table1[[#This Row],[Summer 2018 Price Check]]*Table1[[#This Row],[Spring 2019 Students]]</f>
        <v>0</v>
      </c>
      <c r="BY319" s="31">
        <f t="shared" si="187"/>
        <v>0</v>
      </c>
      <c r="BZ319" s="58">
        <f t="shared" si="188"/>
        <v>0</v>
      </c>
      <c r="CA319" s="17" t="s">
        <v>130</v>
      </c>
      <c r="CB319" s="21" t="str">
        <f t="shared" si="201"/>
        <v>100</v>
      </c>
      <c r="CC319" s="21" t="str">
        <f t="shared" si="202"/>
        <v>100</v>
      </c>
      <c r="CD319" s="21" t="str">
        <f t="shared" si="203"/>
        <v>100</v>
      </c>
      <c r="CE319" s="21">
        <f t="shared" si="199"/>
        <v>300</v>
      </c>
      <c r="CF319" s="58">
        <f t="shared" si="204"/>
        <v>119</v>
      </c>
      <c r="CG319" s="115">
        <f t="shared" si="189"/>
        <v>35700</v>
      </c>
      <c r="CH319" s="17" t="s">
        <v>1287</v>
      </c>
      <c r="CI319" s="114">
        <v>0</v>
      </c>
      <c r="CJ319" s="115">
        <f>Table1[[#This Row],[Check 3 Per Student Savings]]*CI319</f>
        <v>0</v>
      </c>
      <c r="CK319" s="114">
        <v>0</v>
      </c>
      <c r="CL319" s="115">
        <f>Table1[[#This Row],[Check 3 Per Student Savings]]*CK319</f>
        <v>0</v>
      </c>
      <c r="CM319" s="114" t="str">
        <f>IF(Table1[[#This Row],[Check 3 Status]]="Continued", Table1[[#This Row],[Check 3 Students Spring]], 0)</f>
        <v>100</v>
      </c>
      <c r="CN319" s="115">
        <f>Table1[[#This Row],[Check 3 Per Student Savings]]*CM319</f>
        <v>11900</v>
      </c>
      <c r="CO319" s="114">
        <f t="shared" si="190"/>
        <v>100</v>
      </c>
      <c r="CP319" s="115">
        <f t="shared" si="191"/>
        <v>11900</v>
      </c>
      <c r="CQ319" s="115" t="s">
        <v>130</v>
      </c>
      <c r="CR319" s="114" t="s">
        <v>1344</v>
      </c>
      <c r="CS319" s="114" t="s">
        <v>1344</v>
      </c>
      <c r="CT319" s="114" t="s">
        <v>1344</v>
      </c>
      <c r="CU319" s="114">
        <f t="shared" si="192"/>
        <v>300</v>
      </c>
      <c r="CV319" s="115">
        <v>119</v>
      </c>
      <c r="CW319" s="115">
        <f t="shared" si="193"/>
        <v>35700</v>
      </c>
      <c r="CX319" s="17" t="s">
        <v>1287</v>
      </c>
      <c r="CY319" s="21" t="str">
        <f>IF(Table1[[#This Row],[Check 4 Status]]="Continued", Table1[[#This Row],[Check 4 Students Summer]], 0)</f>
        <v>100</v>
      </c>
      <c r="CZ319" s="58">
        <f>Table1[[#This Row],[Check 4 Per Student Savings]]*CY319</f>
        <v>11900</v>
      </c>
      <c r="DA319" s="114" t="str">
        <f>IF(Table1[[#This Row],[Check 4 Status]]="Continued", Table1[[#This Row],[Check 4 Students Fall]], 0)</f>
        <v>100</v>
      </c>
      <c r="DB319" s="115">
        <f>Table1[[#This Row],[Check 4 Per Student Savings]]*DA319</f>
        <v>11900</v>
      </c>
      <c r="DC319" s="21" t="str">
        <f>IF(Table1[[#This Row],[Check 4 Status]]="Continued", Table1[[#This Row],[Check 4 Students Spring]], 0)</f>
        <v>100</v>
      </c>
      <c r="DD319" s="58">
        <f>Table1[[#This Row],[Check 4 Per Student Savings]]*DC319</f>
        <v>11900</v>
      </c>
      <c r="DE319" s="58">
        <f t="shared" si="194"/>
        <v>300</v>
      </c>
      <c r="DF319" s="58">
        <f t="shared" si="195"/>
        <v>35700</v>
      </c>
      <c r="DG31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400</v>
      </c>
      <c r="DH31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47600</v>
      </c>
      <c r="DI319" s="119">
        <f>Table1[[#This Row],[Grand Total Savings]]/Table1[[#This Row],[Total Award]]</f>
        <v>4.4074074074074074</v>
      </c>
      <c r="DJ319" s="17"/>
      <c r="DK319" s="17"/>
      <c r="DL319" s="17"/>
      <c r="DM319" s="17"/>
      <c r="DX319" s="21"/>
      <c r="DY319" s="58"/>
      <c r="DZ319" s="21"/>
      <c r="EA319" s="21"/>
      <c r="EC319" s="17"/>
      <c r="ED319" s="17"/>
      <c r="EE319" s="17"/>
      <c r="EF319" s="17"/>
    </row>
    <row r="320" spans="1:136" x14ac:dyDescent="0.25">
      <c r="A320" s="121">
        <v>451</v>
      </c>
      <c r="B320" s="121"/>
      <c r="C320" s="191" t="s">
        <v>129</v>
      </c>
      <c r="D320" s="118">
        <v>516276</v>
      </c>
      <c r="E320" s="116"/>
      <c r="F320" s="117"/>
      <c r="G320" s="202" t="s">
        <v>1437</v>
      </c>
      <c r="H320" s="95" t="s">
        <v>6</v>
      </c>
      <c r="I320" s="229" t="s">
        <v>118</v>
      </c>
      <c r="J320" s="17" t="s">
        <v>132</v>
      </c>
      <c r="K320" s="101">
        <v>15800</v>
      </c>
      <c r="L320" s="101" t="s">
        <v>1443</v>
      </c>
      <c r="M320" s="17" t="s">
        <v>919</v>
      </c>
      <c r="N320" s="17" t="s">
        <v>920</v>
      </c>
      <c r="O320" s="17" t="s">
        <v>1477</v>
      </c>
      <c r="P320" s="17" t="s">
        <v>1478</v>
      </c>
      <c r="Q320" s="101" t="s">
        <v>177</v>
      </c>
      <c r="R320" s="101"/>
      <c r="S320" s="197"/>
      <c r="T320" s="17" t="s">
        <v>1442</v>
      </c>
      <c r="U320" s="17" t="s">
        <v>1095</v>
      </c>
      <c r="V320" s="17" t="s">
        <v>1095</v>
      </c>
      <c r="W320" s="17" t="s">
        <v>1095</v>
      </c>
      <c r="X320" s="17" t="s">
        <v>1095</v>
      </c>
      <c r="Y320" s="56">
        <v>36514.800000000003</v>
      </c>
      <c r="Z320" s="21">
        <v>315</v>
      </c>
      <c r="AA320" s="58">
        <v>115.92</v>
      </c>
      <c r="AB320" s="21" t="s">
        <v>1479</v>
      </c>
      <c r="AC320" s="21" t="s">
        <v>1480</v>
      </c>
      <c r="AD320" s="21" t="s">
        <v>1480</v>
      </c>
      <c r="AE320" s="17" t="s">
        <v>1443</v>
      </c>
      <c r="AF320" s="58" t="s">
        <v>129</v>
      </c>
      <c r="AG320" s="58"/>
      <c r="AH320" s="58"/>
      <c r="AI320" s="111" t="s">
        <v>130</v>
      </c>
      <c r="AJ320" s="21">
        <v>0</v>
      </c>
      <c r="AK320" s="21">
        <v>0</v>
      </c>
      <c r="AL320" s="21">
        <v>0</v>
      </c>
      <c r="AM320" s="21">
        <v>0</v>
      </c>
      <c r="AN320" s="21">
        <v>0</v>
      </c>
      <c r="AO320" s="21">
        <v>0</v>
      </c>
      <c r="AP320" s="21">
        <v>0</v>
      </c>
      <c r="AQ320" s="21">
        <v>0</v>
      </c>
      <c r="AR320" s="21">
        <v>0</v>
      </c>
      <c r="AS320" s="21">
        <v>0</v>
      </c>
      <c r="AT320" s="21">
        <v>0</v>
      </c>
      <c r="AU320" s="21">
        <v>0</v>
      </c>
      <c r="AV320" s="21">
        <v>0</v>
      </c>
      <c r="AW320" s="21">
        <v>0</v>
      </c>
      <c r="AX320" s="21">
        <v>0</v>
      </c>
      <c r="AY320" s="21">
        <v>0</v>
      </c>
      <c r="AZ320" s="21">
        <v>0</v>
      </c>
      <c r="BA320" s="21">
        <v>0</v>
      </c>
      <c r="BB320" s="21">
        <v>0</v>
      </c>
      <c r="BC320" s="21">
        <v>0</v>
      </c>
      <c r="BD320" s="21">
        <v>0</v>
      </c>
      <c r="BE320" s="21">
        <v>0</v>
      </c>
      <c r="BF320" s="21">
        <v>0</v>
      </c>
      <c r="BG320" s="21">
        <v>0</v>
      </c>
      <c r="BH320" s="21">
        <v>0</v>
      </c>
      <c r="BI320" s="21">
        <v>0</v>
      </c>
      <c r="BJ320" s="21">
        <v>0</v>
      </c>
      <c r="BK320" s="21">
        <v>0</v>
      </c>
      <c r="BL320" s="17" t="s">
        <v>130</v>
      </c>
      <c r="BM320" s="21">
        <v>0</v>
      </c>
      <c r="BN320" s="21">
        <v>0</v>
      </c>
      <c r="BO320" s="21">
        <v>0</v>
      </c>
      <c r="BP320" s="31">
        <f t="shared" si="200"/>
        <v>0</v>
      </c>
      <c r="BQ320" s="31">
        <f t="shared" si="200"/>
        <v>0</v>
      </c>
      <c r="BR320" s="58">
        <f>Table1[[#This Row],[Check 2 Students Total]]*Table1[[#This Row],[Summer 2018 Price Check]]</f>
        <v>0</v>
      </c>
      <c r="BS320" s="21">
        <v>0</v>
      </c>
      <c r="BT320" s="21">
        <v>0</v>
      </c>
      <c r="BU320" s="21">
        <v>0</v>
      </c>
      <c r="BV320" s="21">
        <v>0</v>
      </c>
      <c r="BW320" s="21">
        <v>0</v>
      </c>
      <c r="BX320" s="115">
        <f>Table1[[#This Row],[Summer 2018 Price Check]]*Table1[[#This Row],[Spring 2019 Students]]</f>
        <v>0</v>
      </c>
      <c r="BY320" s="31">
        <f t="shared" si="187"/>
        <v>0</v>
      </c>
      <c r="BZ320" s="58">
        <f t="shared" si="188"/>
        <v>0</v>
      </c>
      <c r="CA320" s="17" t="s">
        <v>130</v>
      </c>
      <c r="CB320" s="21" t="str">
        <f t="shared" si="201"/>
        <v>70</v>
      </c>
      <c r="CC320" s="21" t="str">
        <f t="shared" si="202"/>
        <v>105</v>
      </c>
      <c r="CD320" s="21" t="str">
        <f t="shared" si="203"/>
        <v>105</v>
      </c>
      <c r="CE320" s="21">
        <f t="shared" si="199"/>
        <v>280</v>
      </c>
      <c r="CF320" s="58">
        <f t="shared" si="204"/>
        <v>115.92</v>
      </c>
      <c r="CG320" s="115">
        <f t="shared" si="189"/>
        <v>32457.600000000002</v>
      </c>
      <c r="CH320" s="17" t="s">
        <v>1443</v>
      </c>
      <c r="CI320" s="114">
        <v>0</v>
      </c>
      <c r="CJ320" s="115">
        <f>Table1[[#This Row],[Check 3 Per Student Savings]]*CI320</f>
        <v>0</v>
      </c>
      <c r="CK320" s="114">
        <v>0</v>
      </c>
      <c r="CL320" s="115">
        <f>Table1[[#This Row],[Check 3 Per Student Savings]]*CK320</f>
        <v>0</v>
      </c>
      <c r="CM320" s="114">
        <v>0</v>
      </c>
      <c r="CN320" s="115">
        <f>Table1[[#This Row],[Check 3 Per Student Savings]]*CM320</f>
        <v>0</v>
      </c>
      <c r="CO320" s="114">
        <f t="shared" si="190"/>
        <v>0</v>
      </c>
      <c r="CP320" s="115">
        <f t="shared" si="191"/>
        <v>0</v>
      </c>
      <c r="CQ320" s="115" t="s">
        <v>130</v>
      </c>
      <c r="CR320" s="114" t="s">
        <v>1479</v>
      </c>
      <c r="CS320" s="114" t="s">
        <v>1480</v>
      </c>
      <c r="CT320" s="114" t="s">
        <v>1480</v>
      </c>
      <c r="CU320" s="114">
        <f t="shared" si="192"/>
        <v>280</v>
      </c>
      <c r="CV320" s="115">
        <v>115.92</v>
      </c>
      <c r="CW320" s="115">
        <f t="shared" si="193"/>
        <v>32457.600000000002</v>
      </c>
      <c r="CX320" s="17" t="s">
        <v>1443</v>
      </c>
      <c r="CY320" s="21" t="str">
        <f>IF(Table1[[#This Row],[Check 4 Status]]="Continued", Table1[[#This Row],[Check 4 Students Summer]], 0)</f>
        <v>70</v>
      </c>
      <c r="CZ320" s="58">
        <f>Table1[[#This Row],[Check 4 Per Student Savings]]*CY320</f>
        <v>8114.4000000000005</v>
      </c>
      <c r="DA320" s="114" t="str">
        <f>IF(Table1[[#This Row],[Check 4 Status]]="Continued", Table1[[#This Row],[Check 4 Students Fall]], 0)</f>
        <v>105</v>
      </c>
      <c r="DB320" s="115">
        <f>Table1[[#This Row],[Check 4 Per Student Savings]]*DA320</f>
        <v>12171.6</v>
      </c>
      <c r="DC320" s="21" t="str">
        <f>IF(Table1[[#This Row],[Check 4 Status]]="Continued", Table1[[#This Row],[Check 4 Students Spring]], 0)</f>
        <v>105</v>
      </c>
      <c r="DD320" s="58">
        <f>Table1[[#This Row],[Check 4 Per Student Savings]]*DC320</f>
        <v>12171.6</v>
      </c>
      <c r="DE320" s="58">
        <f t="shared" si="194"/>
        <v>280</v>
      </c>
      <c r="DF320" s="58">
        <f t="shared" si="195"/>
        <v>32457.599999999999</v>
      </c>
      <c r="DG32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280</v>
      </c>
      <c r="DH32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32457.599999999999</v>
      </c>
      <c r="DI320" s="119">
        <f>Table1[[#This Row],[Grand Total Savings]]/Table1[[#This Row],[Total Award]]</f>
        <v>2.0542784810126582</v>
      </c>
      <c r="DJ320" s="17"/>
      <c r="DK320" s="17"/>
      <c r="DL320" s="17"/>
      <c r="DM320" s="17"/>
      <c r="DY320" s="21"/>
      <c r="DZ320" s="58"/>
      <c r="EA320" s="21"/>
      <c r="EB320" s="21"/>
      <c r="EC320" s="17"/>
      <c r="ED320" s="17"/>
      <c r="EE320" s="17"/>
      <c r="EF320" s="17"/>
    </row>
    <row r="321" spans="1:136" x14ac:dyDescent="0.25">
      <c r="A321" s="128">
        <v>453</v>
      </c>
      <c r="B321" s="128"/>
      <c r="C321" s="191" t="s">
        <v>129</v>
      </c>
      <c r="D321" s="118">
        <v>516172</v>
      </c>
      <c r="E321" s="116"/>
      <c r="F321" s="117"/>
      <c r="G321" s="202" t="s">
        <v>1437</v>
      </c>
      <c r="H321" s="95" t="s">
        <v>6</v>
      </c>
      <c r="I321" s="229" t="s">
        <v>118</v>
      </c>
      <c r="J321" s="17" t="s">
        <v>159</v>
      </c>
      <c r="K321" s="101">
        <v>30000</v>
      </c>
      <c r="L321" s="101" t="s">
        <v>1443</v>
      </c>
      <c r="M321" s="17" t="s">
        <v>1407</v>
      </c>
      <c r="N321" s="17" t="s">
        <v>1408</v>
      </c>
      <c r="O321" s="17" t="s">
        <v>1481</v>
      </c>
      <c r="P321" s="17" t="s">
        <v>353</v>
      </c>
      <c r="Q321" s="101" t="s">
        <v>304</v>
      </c>
      <c r="R321" s="101"/>
      <c r="S321" s="197"/>
      <c r="T321" s="17" t="s">
        <v>1459</v>
      </c>
      <c r="U321" s="17" t="s">
        <v>1095</v>
      </c>
      <c r="V321" s="17" t="s">
        <v>1095</v>
      </c>
      <c r="W321" s="17" t="s">
        <v>1095</v>
      </c>
      <c r="X321" s="17" t="s">
        <v>1095</v>
      </c>
      <c r="Y321" s="56">
        <v>400000</v>
      </c>
      <c r="Z321" s="21">
        <v>6000</v>
      </c>
      <c r="AA321" s="58">
        <v>100</v>
      </c>
      <c r="AB321" s="21" t="s">
        <v>1339</v>
      </c>
      <c r="AC321" s="21" t="s">
        <v>1482</v>
      </c>
      <c r="AD321" s="21" t="s">
        <v>1483</v>
      </c>
      <c r="AE321" s="17" t="s">
        <v>1443</v>
      </c>
      <c r="AF321" s="58" t="s">
        <v>129</v>
      </c>
      <c r="AG321" s="58"/>
      <c r="AH321" s="58"/>
      <c r="AI321" s="111" t="s">
        <v>130</v>
      </c>
      <c r="AJ321" s="21">
        <v>0</v>
      </c>
      <c r="AK321" s="21">
        <v>0</v>
      </c>
      <c r="AL321" s="21">
        <v>0</v>
      </c>
      <c r="AM321" s="21">
        <v>0</v>
      </c>
      <c r="AN321" s="21">
        <v>0</v>
      </c>
      <c r="AO321" s="21">
        <v>0</v>
      </c>
      <c r="AP321" s="21">
        <v>0</v>
      </c>
      <c r="AQ321" s="21">
        <v>0</v>
      </c>
      <c r="AR321" s="21">
        <v>0</v>
      </c>
      <c r="AS321" s="21">
        <v>0</v>
      </c>
      <c r="AT321" s="21">
        <v>0</v>
      </c>
      <c r="AU321" s="21">
        <v>0</v>
      </c>
      <c r="AV321" s="21">
        <v>0</v>
      </c>
      <c r="AW321" s="21">
        <v>0</v>
      </c>
      <c r="AX321" s="21">
        <v>0</v>
      </c>
      <c r="AY321" s="21">
        <v>0</v>
      </c>
      <c r="AZ321" s="21">
        <v>0</v>
      </c>
      <c r="BA321" s="21">
        <v>0</v>
      </c>
      <c r="BB321" s="21">
        <v>0</v>
      </c>
      <c r="BC321" s="21">
        <v>0</v>
      </c>
      <c r="BD321" s="21">
        <v>0</v>
      </c>
      <c r="BE321" s="21">
        <v>0</v>
      </c>
      <c r="BF321" s="21">
        <v>0</v>
      </c>
      <c r="BG321" s="21">
        <v>0</v>
      </c>
      <c r="BH321" s="21">
        <v>0</v>
      </c>
      <c r="BI321" s="21">
        <v>0</v>
      </c>
      <c r="BJ321" s="21">
        <v>0</v>
      </c>
      <c r="BK321" s="21">
        <v>0</v>
      </c>
      <c r="BL321" s="17" t="s">
        <v>130</v>
      </c>
      <c r="BM321" s="21">
        <v>0</v>
      </c>
      <c r="BN321" s="21">
        <v>0</v>
      </c>
      <c r="BO321" s="21">
        <v>0</v>
      </c>
      <c r="BP321" s="31">
        <f t="shared" si="200"/>
        <v>0</v>
      </c>
      <c r="BQ321" s="31">
        <f t="shared" si="200"/>
        <v>0</v>
      </c>
      <c r="BR321" s="58">
        <f>Table1[[#This Row],[Check 2 Students Total]]*Table1[[#This Row],[Summer 2018 Price Check]]</f>
        <v>0</v>
      </c>
      <c r="BS321" s="21">
        <v>0</v>
      </c>
      <c r="BT321" s="21">
        <v>0</v>
      </c>
      <c r="BU321" s="21">
        <v>0</v>
      </c>
      <c r="BV321" s="21">
        <v>0</v>
      </c>
      <c r="BW321" s="21">
        <v>0</v>
      </c>
      <c r="BX321" s="115">
        <f>Table1[[#This Row],[Summer 2018 Price Check]]*Table1[[#This Row],[Spring 2019 Students]]</f>
        <v>0</v>
      </c>
      <c r="BY321" s="31">
        <f t="shared" si="187"/>
        <v>0</v>
      </c>
      <c r="BZ321" s="58">
        <f t="shared" si="188"/>
        <v>0</v>
      </c>
      <c r="CA321" s="17" t="s">
        <v>130</v>
      </c>
      <c r="CB321" s="21" t="str">
        <f t="shared" si="201"/>
        <v>400</v>
      </c>
      <c r="CC321" s="21" t="str">
        <f t="shared" si="202"/>
        <v>3,000</v>
      </c>
      <c r="CD321" s="21" t="str">
        <f t="shared" si="203"/>
        <v>2,600</v>
      </c>
      <c r="CE321" s="21">
        <f t="shared" si="199"/>
        <v>6000</v>
      </c>
      <c r="CF321" s="58">
        <f t="shared" si="204"/>
        <v>100</v>
      </c>
      <c r="CG321" s="115">
        <f t="shared" si="189"/>
        <v>600000</v>
      </c>
      <c r="CH321" s="17" t="s">
        <v>1443</v>
      </c>
      <c r="CI321" s="114">
        <v>0</v>
      </c>
      <c r="CJ321" s="115">
        <f>Table1[[#This Row],[Check 3 Per Student Savings]]*CI321</f>
        <v>0</v>
      </c>
      <c r="CK321" s="114">
        <v>0</v>
      </c>
      <c r="CL321" s="115">
        <f>Table1[[#This Row],[Check 3 Per Student Savings]]*CK321</f>
        <v>0</v>
      </c>
      <c r="CM321" s="114">
        <v>0</v>
      </c>
      <c r="CN321" s="115">
        <f>Table1[[#This Row],[Check 3 Per Student Savings]]*CM321</f>
        <v>0</v>
      </c>
      <c r="CO321" s="114">
        <f t="shared" si="190"/>
        <v>0</v>
      </c>
      <c r="CP321" s="115">
        <f t="shared" si="191"/>
        <v>0</v>
      </c>
      <c r="CQ321" s="115" t="s">
        <v>130</v>
      </c>
      <c r="CR321" s="114" t="s">
        <v>1339</v>
      </c>
      <c r="CS321" s="114" t="s">
        <v>1482</v>
      </c>
      <c r="CT321" s="114" t="s">
        <v>1483</v>
      </c>
      <c r="CU321" s="114">
        <f t="shared" si="192"/>
        <v>6000</v>
      </c>
      <c r="CV321" s="115">
        <v>100</v>
      </c>
      <c r="CW321" s="115">
        <f t="shared" si="193"/>
        <v>600000</v>
      </c>
      <c r="CX321" s="17" t="s">
        <v>1443</v>
      </c>
      <c r="CY321" s="21" t="str">
        <f>IF(Table1[[#This Row],[Check 4 Status]]="Continued", Table1[[#This Row],[Check 4 Students Summer]], 0)</f>
        <v>400</v>
      </c>
      <c r="CZ321" s="58">
        <f>Table1[[#This Row],[Check 4 Per Student Savings]]*CY321</f>
        <v>40000</v>
      </c>
      <c r="DA321" s="114" t="str">
        <f>IF(Table1[[#This Row],[Check 4 Status]]="Continued", Table1[[#This Row],[Check 4 Students Fall]], 0)</f>
        <v>3,000</v>
      </c>
      <c r="DB321" s="115">
        <f>Table1[[#This Row],[Check 4 Per Student Savings]]*DA321</f>
        <v>300000</v>
      </c>
      <c r="DC321" s="21" t="str">
        <f>IF(Table1[[#This Row],[Check 4 Status]]="Continued", Table1[[#This Row],[Check 4 Students Spring]], 0)</f>
        <v>2,600</v>
      </c>
      <c r="DD321" s="58">
        <f>Table1[[#This Row],[Check 4 Per Student Savings]]*DC321</f>
        <v>260000</v>
      </c>
      <c r="DE321" s="58">
        <f t="shared" si="194"/>
        <v>6000</v>
      </c>
      <c r="DF321" s="58">
        <f t="shared" si="195"/>
        <v>600000</v>
      </c>
      <c r="DG32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6000</v>
      </c>
      <c r="DH32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600000</v>
      </c>
      <c r="DI321" s="119">
        <f>Table1[[#This Row],[Grand Total Savings]]/Table1[[#This Row],[Total Award]]</f>
        <v>20</v>
      </c>
      <c r="DJ321" s="17"/>
      <c r="DK321" s="17"/>
      <c r="DL321" s="17"/>
      <c r="DM321" s="17"/>
      <c r="DY321" s="21"/>
      <c r="DZ321" s="58"/>
      <c r="EA321" s="21"/>
      <c r="EB321" s="21"/>
      <c r="EC321" s="17"/>
      <c r="ED321" s="17"/>
      <c r="EE321" s="17"/>
      <c r="EF321" s="17"/>
    </row>
    <row r="322" spans="1:136" x14ac:dyDescent="0.25">
      <c r="A322" s="128">
        <v>454</v>
      </c>
      <c r="B322" s="128"/>
      <c r="C322" s="191" t="s">
        <v>129</v>
      </c>
      <c r="D322" s="118">
        <v>516267</v>
      </c>
      <c r="E322" s="116"/>
      <c r="F322" s="117"/>
      <c r="G322" s="202" t="s">
        <v>1437</v>
      </c>
      <c r="H322" s="95" t="s">
        <v>6</v>
      </c>
      <c r="I322" s="229" t="s">
        <v>118</v>
      </c>
      <c r="J322" s="17" t="s">
        <v>250</v>
      </c>
      <c r="K322" s="101">
        <v>30000</v>
      </c>
      <c r="L322" s="101" t="s">
        <v>1287</v>
      </c>
      <c r="M322" s="17" t="s">
        <v>565</v>
      </c>
      <c r="N322" s="17" t="s">
        <v>957</v>
      </c>
      <c r="O322" s="17" t="s">
        <v>646</v>
      </c>
      <c r="P322" s="17" t="s">
        <v>645</v>
      </c>
      <c r="Q322" s="101" t="s">
        <v>148</v>
      </c>
      <c r="R322" s="101"/>
      <c r="S322" s="197"/>
      <c r="T322" s="17" t="s">
        <v>1459</v>
      </c>
      <c r="U322" s="17" t="s">
        <v>1095</v>
      </c>
      <c r="V322" s="17" t="s">
        <v>1095</v>
      </c>
      <c r="W322" s="17" t="s">
        <v>1095</v>
      </c>
      <c r="X322" s="17" t="s">
        <v>1095</v>
      </c>
      <c r="Y322" s="56">
        <v>178560</v>
      </c>
      <c r="Z322" s="21">
        <v>1920</v>
      </c>
      <c r="AA322" s="58">
        <v>93</v>
      </c>
      <c r="AB322" s="21" t="s">
        <v>1311</v>
      </c>
      <c r="AC322" s="21" t="s">
        <v>1484</v>
      </c>
      <c r="AD322" s="21" t="s">
        <v>1485</v>
      </c>
      <c r="AE322" s="17" t="s">
        <v>1287</v>
      </c>
      <c r="AF322" s="58" t="s">
        <v>129</v>
      </c>
      <c r="AG322" s="58"/>
      <c r="AH322" s="58"/>
      <c r="AI322" s="111" t="s">
        <v>130</v>
      </c>
      <c r="AJ322" s="21">
        <v>0</v>
      </c>
      <c r="AK322" s="21">
        <v>0</v>
      </c>
      <c r="AL322" s="21">
        <v>0</v>
      </c>
      <c r="AM322" s="21">
        <v>0</v>
      </c>
      <c r="AN322" s="21">
        <v>0</v>
      </c>
      <c r="AO322" s="21">
        <v>0</v>
      </c>
      <c r="AP322" s="21">
        <v>0</v>
      </c>
      <c r="AQ322" s="21">
        <v>0</v>
      </c>
      <c r="AR322" s="21">
        <v>0</v>
      </c>
      <c r="AS322" s="21">
        <v>0</v>
      </c>
      <c r="AT322" s="21">
        <v>0</v>
      </c>
      <c r="AU322" s="21">
        <v>0</v>
      </c>
      <c r="AV322" s="21">
        <v>0</v>
      </c>
      <c r="AW322" s="21">
        <v>0</v>
      </c>
      <c r="AX322" s="21">
        <v>0</v>
      </c>
      <c r="AY322" s="21">
        <v>0</v>
      </c>
      <c r="AZ322" s="21">
        <v>0</v>
      </c>
      <c r="BA322" s="21">
        <v>0</v>
      </c>
      <c r="BB322" s="21">
        <v>0</v>
      </c>
      <c r="BC322" s="21">
        <v>0</v>
      </c>
      <c r="BD322" s="21">
        <v>0</v>
      </c>
      <c r="BE322" s="21">
        <v>0</v>
      </c>
      <c r="BF322" s="21">
        <v>0</v>
      </c>
      <c r="BG322" s="21">
        <v>0</v>
      </c>
      <c r="BH322" s="21">
        <v>0</v>
      </c>
      <c r="BI322" s="21">
        <v>0</v>
      </c>
      <c r="BJ322" s="21">
        <v>0</v>
      </c>
      <c r="BK322" s="21">
        <v>0</v>
      </c>
      <c r="BL322" s="17" t="s">
        <v>130</v>
      </c>
      <c r="BM322" s="21">
        <v>0</v>
      </c>
      <c r="BN322" s="21">
        <v>0</v>
      </c>
      <c r="BO322" s="21">
        <v>0</v>
      </c>
      <c r="BP322" s="31">
        <f t="shared" si="200"/>
        <v>0</v>
      </c>
      <c r="BQ322" s="31">
        <f t="shared" si="200"/>
        <v>0</v>
      </c>
      <c r="BR322" s="58">
        <f>Table1[[#This Row],[Check 2 Students Total]]*Table1[[#This Row],[Summer 2018 Price Check]]</f>
        <v>0</v>
      </c>
      <c r="BS322" s="21">
        <v>0</v>
      </c>
      <c r="BT322" s="21">
        <v>0</v>
      </c>
      <c r="BU322" s="21">
        <v>0</v>
      </c>
      <c r="BV322" s="21">
        <v>0</v>
      </c>
      <c r="BW322" s="21">
        <v>0</v>
      </c>
      <c r="BX322" s="115">
        <f>Table1[[#This Row],[Summer 2018 Price Check]]*Table1[[#This Row],[Spring 2019 Students]]</f>
        <v>0</v>
      </c>
      <c r="BY322" s="31">
        <f t="shared" ref="BY322:BY350" si="205">BS322+BU322+BW322</f>
        <v>0</v>
      </c>
      <c r="BZ322" s="58">
        <f t="shared" ref="BZ322:BZ350" si="206">BT322+BV322+BX322</f>
        <v>0</v>
      </c>
      <c r="CA322" s="17" t="s">
        <v>130</v>
      </c>
      <c r="CB322" s="21" t="str">
        <f t="shared" si="201"/>
        <v>25</v>
      </c>
      <c r="CC322" s="21" t="str">
        <f t="shared" si="202"/>
        <v>1080</v>
      </c>
      <c r="CD322" s="21" t="str">
        <f t="shared" si="203"/>
        <v>840</v>
      </c>
      <c r="CE322" s="21">
        <f t="shared" si="199"/>
        <v>1945</v>
      </c>
      <c r="CF322" s="58">
        <f t="shared" si="204"/>
        <v>93</v>
      </c>
      <c r="CG322" s="115">
        <f t="shared" ref="CG322:CG334" si="207">(CE322*CF322)</f>
        <v>180885</v>
      </c>
      <c r="CH322" s="17" t="s">
        <v>1287</v>
      </c>
      <c r="CI322" s="114">
        <v>0</v>
      </c>
      <c r="CJ322" s="115">
        <f>Table1[[#This Row],[Check 3 Per Student Savings]]*CI322</f>
        <v>0</v>
      </c>
      <c r="CK322" s="114">
        <v>0</v>
      </c>
      <c r="CL322" s="115">
        <f>Table1[[#This Row],[Check 3 Per Student Savings]]*CK322</f>
        <v>0</v>
      </c>
      <c r="CM322" s="114" t="str">
        <f>IF(Table1[[#This Row],[Check 3 Status]]="Continued", Table1[[#This Row],[Check 3 Students Spring]], 0)</f>
        <v>840</v>
      </c>
      <c r="CN322" s="115">
        <f>Table1[[#This Row],[Check 3 Per Student Savings]]*CM322</f>
        <v>78120</v>
      </c>
      <c r="CO322" s="114">
        <f t="shared" ref="CO322:CO378" si="208">CI322+CK322+CM322</f>
        <v>840</v>
      </c>
      <c r="CP322" s="115">
        <f t="shared" ref="CP322:CP378" si="209">CJ322+CL322+CN322</f>
        <v>78120</v>
      </c>
      <c r="CQ322" s="115" t="s">
        <v>130</v>
      </c>
      <c r="CR322" s="114" t="s">
        <v>1311</v>
      </c>
      <c r="CS322" s="114" t="s">
        <v>1484</v>
      </c>
      <c r="CT322" s="114" t="s">
        <v>1485</v>
      </c>
      <c r="CU322" s="114">
        <f t="shared" ref="CU322:CU385" si="210">CR322+CS322+CT322</f>
        <v>1945</v>
      </c>
      <c r="CV322" s="115">
        <v>93</v>
      </c>
      <c r="CW322" s="115">
        <f t="shared" ref="CW322:CW385" si="211">CU322*CV322</f>
        <v>180885</v>
      </c>
      <c r="CX322" s="17" t="s">
        <v>1287</v>
      </c>
      <c r="CY322" s="21" t="str">
        <f>IF(Table1[[#This Row],[Check 4 Status]]="Continued", Table1[[#This Row],[Check 4 Students Summer]], 0)</f>
        <v>25</v>
      </c>
      <c r="CZ322" s="58">
        <f>Table1[[#This Row],[Check 4 Per Student Savings]]*CY322</f>
        <v>2325</v>
      </c>
      <c r="DA322" s="114" t="str">
        <f>IF(Table1[[#This Row],[Check 4 Status]]="Continued", Table1[[#This Row],[Check 4 Students Fall]], 0)</f>
        <v>1080</v>
      </c>
      <c r="DB322" s="115">
        <f>Table1[[#This Row],[Check 4 Per Student Savings]]*DA322</f>
        <v>100440</v>
      </c>
      <c r="DC322" s="21" t="str">
        <f>IF(Table1[[#This Row],[Check 4 Status]]="Continued", Table1[[#This Row],[Check 4 Students Spring]], 0)</f>
        <v>840</v>
      </c>
      <c r="DD322" s="58">
        <f>Table1[[#This Row],[Check 4 Per Student Savings]]*DC322</f>
        <v>78120</v>
      </c>
      <c r="DE322" s="58">
        <f t="shared" ref="DE322:DE385" si="212">CY322+DA322+DC322</f>
        <v>1945</v>
      </c>
      <c r="DF322" s="58">
        <f t="shared" ref="DF322:DF385" si="213">CZ322+DB322+DD322</f>
        <v>180885</v>
      </c>
      <c r="DG32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2785</v>
      </c>
      <c r="DH32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259005</v>
      </c>
      <c r="DI322" s="119">
        <f>Table1[[#This Row],[Grand Total Savings]]/Table1[[#This Row],[Total Award]]</f>
        <v>8.6334999999999997</v>
      </c>
      <c r="DJ322" s="17"/>
      <c r="DK322" s="17"/>
      <c r="DL322" s="17"/>
      <c r="DM322" s="17"/>
      <c r="DY322" s="21"/>
      <c r="DZ322" s="58"/>
      <c r="EA322" s="21"/>
      <c r="EB322" s="21"/>
      <c r="EC322" s="17"/>
      <c r="ED322" s="17"/>
      <c r="EE322" s="17"/>
      <c r="EF322" s="17"/>
    </row>
    <row r="323" spans="1:136" x14ac:dyDescent="0.25">
      <c r="A323" s="128">
        <v>455</v>
      </c>
      <c r="B323" s="128"/>
      <c r="C323" s="191" t="s">
        <v>129</v>
      </c>
      <c r="D323" s="118">
        <v>516171</v>
      </c>
      <c r="E323" s="116"/>
      <c r="F323" s="117"/>
      <c r="G323" s="202" t="s">
        <v>1437</v>
      </c>
      <c r="H323" s="95" t="s">
        <v>6</v>
      </c>
      <c r="I323" s="229" t="s">
        <v>118</v>
      </c>
      <c r="J323" s="17" t="s">
        <v>172</v>
      </c>
      <c r="K323" s="101">
        <v>26098</v>
      </c>
      <c r="L323" s="101" t="s">
        <v>1443</v>
      </c>
      <c r="M323" s="17" t="s">
        <v>1486</v>
      </c>
      <c r="N323" s="17" t="s">
        <v>1487</v>
      </c>
      <c r="O323" s="17" t="s">
        <v>1488</v>
      </c>
      <c r="P323" s="17" t="s">
        <v>1489</v>
      </c>
      <c r="Q323" s="101" t="s">
        <v>317</v>
      </c>
      <c r="R323" s="101"/>
      <c r="S323" s="197"/>
      <c r="T323" s="17" t="s">
        <v>1442</v>
      </c>
      <c r="U323" s="17" t="s">
        <v>1095</v>
      </c>
      <c r="V323" s="17" t="s">
        <v>1095</v>
      </c>
      <c r="W323" s="17" t="s">
        <v>1095</v>
      </c>
      <c r="X323" s="17" t="s">
        <v>1095</v>
      </c>
      <c r="Y323" s="56">
        <v>250000</v>
      </c>
      <c r="Z323" s="21">
        <v>3150</v>
      </c>
      <c r="AA323" s="58">
        <v>145.08000000000001</v>
      </c>
      <c r="AB323" s="21">
        <v>350</v>
      </c>
      <c r="AC323" s="21">
        <v>1700</v>
      </c>
      <c r="AD323" s="21">
        <v>1100</v>
      </c>
      <c r="AE323" s="17" t="s">
        <v>1443</v>
      </c>
      <c r="AF323" s="58" t="s">
        <v>129</v>
      </c>
      <c r="AG323" s="58"/>
      <c r="AH323" s="58"/>
      <c r="AI323" s="111" t="s">
        <v>130</v>
      </c>
      <c r="AJ323" s="21">
        <v>0</v>
      </c>
      <c r="AK323" s="21">
        <v>0</v>
      </c>
      <c r="AL323" s="21">
        <v>0</v>
      </c>
      <c r="AM323" s="21">
        <v>0</v>
      </c>
      <c r="AN323" s="21">
        <v>0</v>
      </c>
      <c r="AO323" s="21">
        <v>0</v>
      </c>
      <c r="AP323" s="21">
        <v>0</v>
      </c>
      <c r="AQ323" s="21">
        <v>0</v>
      </c>
      <c r="AR323" s="21">
        <v>0</v>
      </c>
      <c r="AS323" s="21">
        <v>0</v>
      </c>
      <c r="AT323" s="21">
        <v>0</v>
      </c>
      <c r="AU323" s="21">
        <v>0</v>
      </c>
      <c r="AV323" s="21">
        <v>0</v>
      </c>
      <c r="AW323" s="21">
        <v>0</v>
      </c>
      <c r="AX323" s="21">
        <v>0</v>
      </c>
      <c r="AY323" s="21">
        <v>0</v>
      </c>
      <c r="AZ323" s="21">
        <v>0</v>
      </c>
      <c r="BA323" s="21">
        <v>0</v>
      </c>
      <c r="BB323" s="21">
        <v>0</v>
      </c>
      <c r="BC323" s="21">
        <v>0</v>
      </c>
      <c r="BD323" s="21">
        <v>0</v>
      </c>
      <c r="BE323" s="21">
        <v>0</v>
      </c>
      <c r="BF323" s="21">
        <v>0</v>
      </c>
      <c r="BG323" s="21">
        <v>0</v>
      </c>
      <c r="BH323" s="21">
        <v>0</v>
      </c>
      <c r="BI323" s="21">
        <v>0</v>
      </c>
      <c r="BJ323" s="21">
        <v>0</v>
      </c>
      <c r="BK323" s="21">
        <v>0</v>
      </c>
      <c r="BL323" s="17" t="s">
        <v>130</v>
      </c>
      <c r="BM323" s="21">
        <v>0</v>
      </c>
      <c r="BN323" s="21">
        <v>0</v>
      </c>
      <c r="BO323" s="21">
        <v>0</v>
      </c>
      <c r="BP323" s="31">
        <f t="shared" si="200"/>
        <v>0</v>
      </c>
      <c r="BQ323" s="31">
        <f t="shared" si="200"/>
        <v>0</v>
      </c>
      <c r="BR323" s="58">
        <f>Table1[[#This Row],[Check 2 Students Total]]*Table1[[#This Row],[Summer 2018 Price Check]]</f>
        <v>0</v>
      </c>
      <c r="BS323" s="21">
        <v>0</v>
      </c>
      <c r="BT323" s="21">
        <v>0</v>
      </c>
      <c r="BU323" s="21">
        <v>0</v>
      </c>
      <c r="BV323" s="21">
        <v>0</v>
      </c>
      <c r="BW323" s="21">
        <v>0</v>
      </c>
      <c r="BX323" s="115">
        <f>Table1[[#This Row],[Summer 2018 Price Check]]*Table1[[#This Row],[Spring 2019 Students]]</f>
        <v>0</v>
      </c>
      <c r="BY323" s="31">
        <f t="shared" si="205"/>
        <v>0</v>
      </c>
      <c r="BZ323" s="58">
        <f t="shared" si="206"/>
        <v>0</v>
      </c>
      <c r="CA323" s="17" t="s">
        <v>130</v>
      </c>
      <c r="CB323" s="21">
        <f t="shared" si="201"/>
        <v>350</v>
      </c>
      <c r="CC323" s="21">
        <f t="shared" si="202"/>
        <v>1700</v>
      </c>
      <c r="CD323" s="21">
        <f t="shared" si="203"/>
        <v>1100</v>
      </c>
      <c r="CE323" s="21">
        <f t="shared" si="199"/>
        <v>3150</v>
      </c>
      <c r="CF323" s="58">
        <f t="shared" si="204"/>
        <v>145.08000000000001</v>
      </c>
      <c r="CG323" s="115">
        <f t="shared" si="207"/>
        <v>457002.00000000006</v>
      </c>
      <c r="CH323" s="17" t="s">
        <v>1443</v>
      </c>
      <c r="CI323" s="114">
        <v>0</v>
      </c>
      <c r="CJ323" s="115">
        <f>Table1[[#This Row],[Check 3 Per Student Savings]]*CI323</f>
        <v>0</v>
      </c>
      <c r="CK323" s="114">
        <v>0</v>
      </c>
      <c r="CL323" s="115">
        <f>Table1[[#This Row],[Check 3 Per Student Savings]]*CK323</f>
        <v>0</v>
      </c>
      <c r="CM323" s="114">
        <v>0</v>
      </c>
      <c r="CN323" s="115">
        <f>Table1[[#This Row],[Check 3 Per Student Savings]]*CM323</f>
        <v>0</v>
      </c>
      <c r="CO323" s="114">
        <f t="shared" si="208"/>
        <v>0</v>
      </c>
      <c r="CP323" s="115">
        <f t="shared" si="209"/>
        <v>0</v>
      </c>
      <c r="CQ323" s="115" t="s">
        <v>130</v>
      </c>
      <c r="CR323" s="114">
        <v>350</v>
      </c>
      <c r="CS323" s="114">
        <v>1700</v>
      </c>
      <c r="CT323" s="114">
        <v>1100</v>
      </c>
      <c r="CU323" s="114">
        <f t="shared" si="210"/>
        <v>3150</v>
      </c>
      <c r="CV323" s="115">
        <v>145.08000000000001</v>
      </c>
      <c r="CW323" s="115">
        <f t="shared" si="211"/>
        <v>457002.00000000006</v>
      </c>
      <c r="CX323" s="17" t="s">
        <v>1443</v>
      </c>
      <c r="CY323" s="21">
        <f>IF(Table1[[#This Row],[Check 4 Status]]="Continued", Table1[[#This Row],[Check 4 Students Summer]], 0)</f>
        <v>350</v>
      </c>
      <c r="CZ323" s="58">
        <f>Table1[[#This Row],[Check 4 Per Student Savings]]*CY323</f>
        <v>50778.000000000007</v>
      </c>
      <c r="DA323" s="114">
        <f>IF(Table1[[#This Row],[Check 4 Status]]="Continued", Table1[[#This Row],[Check 4 Students Fall]], 0)</f>
        <v>1700</v>
      </c>
      <c r="DB323" s="115">
        <f>Table1[[#This Row],[Check 4 Per Student Savings]]*DA323</f>
        <v>246636.00000000003</v>
      </c>
      <c r="DC323" s="21">
        <f>IF(Table1[[#This Row],[Check 4 Status]]="Continued", Table1[[#This Row],[Check 4 Students Spring]], 0)</f>
        <v>1100</v>
      </c>
      <c r="DD323" s="58">
        <f>Table1[[#This Row],[Check 4 Per Student Savings]]*DC323</f>
        <v>159588</v>
      </c>
      <c r="DE323" s="58">
        <f t="shared" si="212"/>
        <v>3150</v>
      </c>
      <c r="DF323" s="58">
        <f t="shared" si="213"/>
        <v>457002.00000000006</v>
      </c>
      <c r="DG32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3150</v>
      </c>
      <c r="DH32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457002.00000000006</v>
      </c>
      <c r="DI323" s="119">
        <f>Table1[[#This Row],[Grand Total Savings]]/Table1[[#This Row],[Total Award]]</f>
        <v>17.510997011265232</v>
      </c>
      <c r="DJ323" s="17"/>
      <c r="DK323" s="17"/>
      <c r="DL323" s="17"/>
      <c r="DM323" s="17"/>
      <c r="DY323" s="21"/>
      <c r="DZ323" s="58"/>
      <c r="EA323" s="21"/>
      <c r="EB323" s="21"/>
      <c r="EC323" s="17"/>
      <c r="ED323" s="17"/>
      <c r="EE323" s="17"/>
      <c r="EF323" s="17"/>
    </row>
    <row r="324" spans="1:136" x14ac:dyDescent="0.25">
      <c r="A324" s="128">
        <v>456</v>
      </c>
      <c r="B324" s="128"/>
      <c r="C324" s="191" t="s">
        <v>129</v>
      </c>
      <c r="D324" s="118">
        <v>516257</v>
      </c>
      <c r="E324" s="116"/>
      <c r="F324" s="117"/>
      <c r="G324" s="202" t="s">
        <v>1437</v>
      </c>
      <c r="H324" s="95" t="s">
        <v>6</v>
      </c>
      <c r="I324" s="229" t="s">
        <v>118</v>
      </c>
      <c r="J324" s="17" t="s">
        <v>671</v>
      </c>
      <c r="K324" s="101">
        <v>10800</v>
      </c>
      <c r="L324" s="101" t="s">
        <v>1287</v>
      </c>
      <c r="M324" s="17" t="s">
        <v>1490</v>
      </c>
      <c r="N324" s="104" t="s">
        <v>1491</v>
      </c>
      <c r="O324" s="17" t="s">
        <v>486</v>
      </c>
      <c r="P324" s="17" t="s">
        <v>487</v>
      </c>
      <c r="Q324" s="101" t="s">
        <v>488</v>
      </c>
      <c r="R324" s="101"/>
      <c r="S324" s="197"/>
      <c r="T324" s="17" t="s">
        <v>1442</v>
      </c>
      <c r="U324" s="17" t="s">
        <v>1095</v>
      </c>
      <c r="V324" s="17" t="s">
        <v>1095</v>
      </c>
      <c r="W324" s="17" t="s">
        <v>1095</v>
      </c>
      <c r="X324" s="17" t="s">
        <v>1095</v>
      </c>
      <c r="Y324" s="56">
        <v>35292</v>
      </c>
      <c r="Z324" s="21">
        <v>240</v>
      </c>
      <c r="AA324" s="58">
        <v>147.05000000000001</v>
      </c>
      <c r="AB324" s="21" t="s">
        <v>1299</v>
      </c>
      <c r="AC324" s="21" t="s">
        <v>1328</v>
      </c>
      <c r="AD324" s="21" t="s">
        <v>1328</v>
      </c>
      <c r="AE324" s="17" t="s">
        <v>1287</v>
      </c>
      <c r="AF324" s="58" t="s">
        <v>129</v>
      </c>
      <c r="AG324" s="58"/>
      <c r="AH324" s="58"/>
      <c r="AI324" s="111" t="s">
        <v>130</v>
      </c>
      <c r="AJ324" s="21">
        <v>0</v>
      </c>
      <c r="AK324" s="21">
        <v>0</v>
      </c>
      <c r="AL324" s="21">
        <v>0</v>
      </c>
      <c r="AM324" s="21">
        <v>0</v>
      </c>
      <c r="AN324" s="21">
        <v>0</v>
      </c>
      <c r="AO324" s="21">
        <v>0</v>
      </c>
      <c r="AP324" s="21">
        <v>0</v>
      </c>
      <c r="AQ324" s="21">
        <v>0</v>
      </c>
      <c r="AR324" s="21">
        <v>0</v>
      </c>
      <c r="AS324" s="21">
        <v>0</v>
      </c>
      <c r="AT324" s="21">
        <v>0</v>
      </c>
      <c r="AU324" s="21">
        <v>0</v>
      </c>
      <c r="AV324" s="21">
        <v>0</v>
      </c>
      <c r="AW324" s="21">
        <v>0</v>
      </c>
      <c r="AX324" s="21">
        <v>0</v>
      </c>
      <c r="AY324" s="21">
        <v>0</v>
      </c>
      <c r="AZ324" s="21">
        <v>0</v>
      </c>
      <c r="BA324" s="21">
        <v>0</v>
      </c>
      <c r="BB324" s="21">
        <v>0</v>
      </c>
      <c r="BC324" s="21">
        <v>0</v>
      </c>
      <c r="BD324" s="21">
        <v>0</v>
      </c>
      <c r="BE324" s="21">
        <v>0</v>
      </c>
      <c r="BF324" s="21">
        <v>0</v>
      </c>
      <c r="BG324" s="21">
        <v>0</v>
      </c>
      <c r="BH324" s="21">
        <v>0</v>
      </c>
      <c r="BI324" s="21">
        <v>0</v>
      </c>
      <c r="BJ324" s="21">
        <v>0</v>
      </c>
      <c r="BK324" s="21">
        <v>0</v>
      </c>
      <c r="BL324" s="17" t="s">
        <v>130</v>
      </c>
      <c r="BM324" s="21">
        <v>0</v>
      </c>
      <c r="BN324" s="21">
        <v>0</v>
      </c>
      <c r="BO324" s="21">
        <v>0</v>
      </c>
      <c r="BP324" s="31">
        <f t="shared" si="200"/>
        <v>0</v>
      </c>
      <c r="BQ324" s="31">
        <f t="shared" si="200"/>
        <v>0</v>
      </c>
      <c r="BR324" s="58">
        <f>Table1[[#This Row],[Check 2 Students Total]]*Table1[[#This Row],[Summer 2018 Price Check]]</f>
        <v>0</v>
      </c>
      <c r="BS324" s="21">
        <v>0</v>
      </c>
      <c r="BT324" s="21">
        <v>0</v>
      </c>
      <c r="BU324" s="21">
        <v>0</v>
      </c>
      <c r="BV324" s="21">
        <v>0</v>
      </c>
      <c r="BW324" s="21">
        <v>0</v>
      </c>
      <c r="BX324" s="115">
        <f>Table1[[#This Row],[Summer 2018 Price Check]]*Table1[[#This Row],[Spring 2019 Students]]</f>
        <v>0</v>
      </c>
      <c r="BY324" s="31">
        <f t="shared" si="205"/>
        <v>0</v>
      </c>
      <c r="BZ324" s="58">
        <f t="shared" si="206"/>
        <v>0</v>
      </c>
      <c r="CA324" s="17" t="s">
        <v>130</v>
      </c>
      <c r="CB324" s="21" t="str">
        <f t="shared" si="201"/>
        <v>0</v>
      </c>
      <c r="CC324" s="21" t="str">
        <f t="shared" si="202"/>
        <v>120</v>
      </c>
      <c r="CD324" s="21" t="str">
        <f t="shared" si="203"/>
        <v>120</v>
      </c>
      <c r="CE324" s="21">
        <f t="shared" si="199"/>
        <v>240</v>
      </c>
      <c r="CF324" s="58">
        <f t="shared" si="204"/>
        <v>147.05000000000001</v>
      </c>
      <c r="CG324" s="115">
        <f t="shared" si="207"/>
        <v>35292</v>
      </c>
      <c r="CH324" s="17" t="s">
        <v>1287</v>
      </c>
      <c r="CI324" s="114">
        <v>0</v>
      </c>
      <c r="CJ324" s="115">
        <f>Table1[[#This Row],[Check 3 Per Student Savings]]*CI324</f>
        <v>0</v>
      </c>
      <c r="CK324" s="114">
        <v>0</v>
      </c>
      <c r="CL324" s="115">
        <f>Table1[[#This Row],[Check 3 Per Student Savings]]*CK324</f>
        <v>0</v>
      </c>
      <c r="CM324" s="114" t="str">
        <f>IF(Table1[[#This Row],[Check 3 Status]]="Continued", Table1[[#This Row],[Check 3 Students Spring]], 0)</f>
        <v>120</v>
      </c>
      <c r="CN324" s="115">
        <f>Table1[[#This Row],[Check 3 Per Student Savings]]*CM324</f>
        <v>17646</v>
      </c>
      <c r="CO324" s="114">
        <f t="shared" si="208"/>
        <v>120</v>
      </c>
      <c r="CP324" s="115">
        <f t="shared" si="209"/>
        <v>17646</v>
      </c>
      <c r="CQ324" s="115" t="s">
        <v>130</v>
      </c>
      <c r="CR324" s="114" t="s">
        <v>1299</v>
      </c>
      <c r="CS324" s="114" t="s">
        <v>1328</v>
      </c>
      <c r="CT324" s="114" t="s">
        <v>1328</v>
      </c>
      <c r="CU324" s="114">
        <f t="shared" si="210"/>
        <v>240</v>
      </c>
      <c r="CV324" s="115">
        <v>147.05000000000001</v>
      </c>
      <c r="CW324" s="115">
        <f t="shared" si="211"/>
        <v>35292</v>
      </c>
      <c r="CX324" s="17" t="s">
        <v>1287</v>
      </c>
      <c r="CY324" s="21" t="str">
        <f>IF(Table1[[#This Row],[Check 4 Status]]="Continued", Table1[[#This Row],[Check 4 Students Summer]], 0)</f>
        <v>0</v>
      </c>
      <c r="CZ324" s="58">
        <f>Table1[[#This Row],[Check 4 Per Student Savings]]*CY324</f>
        <v>0</v>
      </c>
      <c r="DA324" s="114" t="str">
        <f>IF(Table1[[#This Row],[Check 4 Status]]="Continued", Table1[[#This Row],[Check 4 Students Fall]], 0)</f>
        <v>120</v>
      </c>
      <c r="DB324" s="115">
        <f>Table1[[#This Row],[Check 4 Per Student Savings]]*DA324</f>
        <v>17646</v>
      </c>
      <c r="DC324" s="21" t="str">
        <f>IF(Table1[[#This Row],[Check 4 Status]]="Continued", Table1[[#This Row],[Check 4 Students Spring]], 0)</f>
        <v>120</v>
      </c>
      <c r="DD324" s="58">
        <f>Table1[[#This Row],[Check 4 Per Student Savings]]*DC324</f>
        <v>17646</v>
      </c>
      <c r="DE324" s="58">
        <f t="shared" si="212"/>
        <v>240</v>
      </c>
      <c r="DF324" s="58">
        <f t="shared" si="213"/>
        <v>35292</v>
      </c>
      <c r="DG32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360</v>
      </c>
      <c r="DH32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52938</v>
      </c>
      <c r="DI324" s="119">
        <f>Table1[[#This Row],[Grand Total Savings]]/Table1[[#This Row],[Total Award]]</f>
        <v>4.9016666666666664</v>
      </c>
      <c r="DJ324" s="17"/>
      <c r="DK324" s="17"/>
      <c r="DL324" s="17"/>
      <c r="DM324" s="17"/>
      <c r="DY324" s="21"/>
      <c r="DZ324" s="58"/>
      <c r="EA324" s="21"/>
      <c r="EB324" s="21"/>
      <c r="EC324" s="17"/>
      <c r="ED324" s="17"/>
      <c r="EE324" s="17"/>
      <c r="EF324" s="17"/>
    </row>
    <row r="325" spans="1:136" x14ac:dyDescent="0.25">
      <c r="A325" s="128">
        <v>457</v>
      </c>
      <c r="B325" s="128"/>
      <c r="C325" s="191" t="s">
        <v>129</v>
      </c>
      <c r="D325" s="118">
        <v>516255</v>
      </c>
      <c r="E325" s="116"/>
      <c r="F325" s="117"/>
      <c r="G325" s="202" t="s">
        <v>1437</v>
      </c>
      <c r="H325" s="95" t="s">
        <v>6</v>
      </c>
      <c r="I325" s="229" t="s">
        <v>118</v>
      </c>
      <c r="J325" s="17" t="s">
        <v>282</v>
      </c>
      <c r="K325" s="101">
        <v>15800</v>
      </c>
      <c r="L325" s="101" t="s">
        <v>1443</v>
      </c>
      <c r="M325" s="17" t="s">
        <v>1492</v>
      </c>
      <c r="N325" s="17" t="s">
        <v>1493</v>
      </c>
      <c r="O325" s="17" t="s">
        <v>1494</v>
      </c>
      <c r="P325" s="17" t="s">
        <v>1495</v>
      </c>
      <c r="Q325" s="101" t="s">
        <v>272</v>
      </c>
      <c r="R325" s="101"/>
      <c r="S325" s="197"/>
      <c r="T325" s="17" t="s">
        <v>1459</v>
      </c>
      <c r="U325" s="17" t="s">
        <v>1095</v>
      </c>
      <c r="V325" s="17" t="s">
        <v>1095</v>
      </c>
      <c r="W325" s="17" t="s">
        <v>1095</v>
      </c>
      <c r="X325" s="17" t="s">
        <v>1095</v>
      </c>
      <c r="Y325" s="56">
        <v>132636.07</v>
      </c>
      <c r="Z325" s="21">
        <v>503</v>
      </c>
      <c r="AA325" s="58">
        <v>263.69</v>
      </c>
      <c r="AB325" s="21" t="s">
        <v>1318</v>
      </c>
      <c r="AC325" s="21" t="s">
        <v>1364</v>
      </c>
      <c r="AD325" s="21" t="s">
        <v>1496</v>
      </c>
      <c r="AE325" s="17" t="s">
        <v>1443</v>
      </c>
      <c r="AF325" s="58" t="s">
        <v>129</v>
      </c>
      <c r="AG325" s="58"/>
      <c r="AH325" s="58"/>
      <c r="AI325" s="111" t="s">
        <v>130</v>
      </c>
      <c r="AJ325" s="21">
        <v>0</v>
      </c>
      <c r="AK325" s="21">
        <v>0</v>
      </c>
      <c r="AL325" s="21">
        <v>0</v>
      </c>
      <c r="AM325" s="21">
        <v>0</v>
      </c>
      <c r="AN325" s="21">
        <v>0</v>
      </c>
      <c r="AO325" s="21">
        <v>0</v>
      </c>
      <c r="AP325" s="21">
        <v>0</v>
      </c>
      <c r="AQ325" s="21">
        <v>0</v>
      </c>
      <c r="AR325" s="21">
        <v>0</v>
      </c>
      <c r="AS325" s="21">
        <v>0</v>
      </c>
      <c r="AT325" s="21">
        <v>0</v>
      </c>
      <c r="AU325" s="21">
        <v>0</v>
      </c>
      <c r="AV325" s="21">
        <v>0</v>
      </c>
      <c r="AW325" s="21">
        <v>0</v>
      </c>
      <c r="AX325" s="21">
        <v>0</v>
      </c>
      <c r="AY325" s="21">
        <v>0</v>
      </c>
      <c r="AZ325" s="21">
        <v>0</v>
      </c>
      <c r="BA325" s="21">
        <v>0</v>
      </c>
      <c r="BB325" s="21">
        <v>0</v>
      </c>
      <c r="BC325" s="21">
        <v>0</v>
      </c>
      <c r="BD325" s="21">
        <v>0</v>
      </c>
      <c r="BE325" s="21">
        <v>0</v>
      </c>
      <c r="BF325" s="21">
        <v>0</v>
      </c>
      <c r="BG325" s="21">
        <v>0</v>
      </c>
      <c r="BH325" s="21">
        <v>0</v>
      </c>
      <c r="BI325" s="21">
        <v>0</v>
      </c>
      <c r="BJ325" s="21">
        <v>0</v>
      </c>
      <c r="BK325" s="21">
        <v>0</v>
      </c>
      <c r="BL325" s="17" t="s">
        <v>130</v>
      </c>
      <c r="BM325" s="21">
        <v>0</v>
      </c>
      <c r="BN325" s="21">
        <v>0</v>
      </c>
      <c r="BO325" s="21">
        <v>0</v>
      </c>
      <c r="BP325" s="31">
        <f t="shared" si="200"/>
        <v>0</v>
      </c>
      <c r="BQ325" s="31">
        <f t="shared" si="200"/>
        <v>0</v>
      </c>
      <c r="BR325" s="58">
        <f>Table1[[#This Row],[Check 2 Students Total]]*Table1[[#This Row],[Summer 2018 Price Check]]</f>
        <v>0</v>
      </c>
      <c r="BS325" s="21">
        <v>0</v>
      </c>
      <c r="BT325" s="21">
        <v>0</v>
      </c>
      <c r="BU325" s="21">
        <v>0</v>
      </c>
      <c r="BV325" s="21">
        <v>0</v>
      </c>
      <c r="BW325" s="21">
        <v>0</v>
      </c>
      <c r="BX325" s="115">
        <f>Table1[[#This Row],[Summer 2018 Price Check]]*Table1[[#This Row],[Spring 2019 Students]]</f>
        <v>0</v>
      </c>
      <c r="BY325" s="31">
        <f t="shared" si="205"/>
        <v>0</v>
      </c>
      <c r="BZ325" s="58">
        <f t="shared" si="206"/>
        <v>0</v>
      </c>
      <c r="CA325" s="17" t="s">
        <v>130</v>
      </c>
      <c r="CB325" s="21" t="str">
        <f t="shared" si="201"/>
        <v>80</v>
      </c>
      <c r="CC325" s="21" t="str">
        <f t="shared" si="202"/>
        <v>200</v>
      </c>
      <c r="CD325" s="21" t="str">
        <f t="shared" si="203"/>
        <v>223</v>
      </c>
      <c r="CE325" s="21">
        <f t="shared" si="199"/>
        <v>503</v>
      </c>
      <c r="CF325" s="58">
        <f t="shared" si="204"/>
        <v>263.69</v>
      </c>
      <c r="CG325" s="115">
        <f t="shared" si="207"/>
        <v>132636.07</v>
      </c>
      <c r="CH325" s="17" t="s">
        <v>1443</v>
      </c>
      <c r="CI325" s="114">
        <v>0</v>
      </c>
      <c r="CJ325" s="115">
        <f>Table1[[#This Row],[Check 3 Per Student Savings]]*CI325</f>
        <v>0</v>
      </c>
      <c r="CK325" s="114">
        <v>0</v>
      </c>
      <c r="CL325" s="115">
        <f>Table1[[#This Row],[Check 3 Per Student Savings]]*CK325</f>
        <v>0</v>
      </c>
      <c r="CM325" s="114">
        <v>0</v>
      </c>
      <c r="CN325" s="115">
        <f>Table1[[#This Row],[Check 3 Per Student Savings]]*CM325</f>
        <v>0</v>
      </c>
      <c r="CO325" s="114">
        <f t="shared" si="208"/>
        <v>0</v>
      </c>
      <c r="CP325" s="115">
        <f t="shared" si="209"/>
        <v>0</v>
      </c>
      <c r="CQ325" s="115" t="s">
        <v>130</v>
      </c>
      <c r="CR325" s="114" t="s">
        <v>1318</v>
      </c>
      <c r="CS325" s="114" t="s">
        <v>1364</v>
      </c>
      <c r="CT325" s="114" t="s">
        <v>1496</v>
      </c>
      <c r="CU325" s="114">
        <f t="shared" si="210"/>
        <v>503</v>
      </c>
      <c r="CV325" s="115">
        <v>263.69</v>
      </c>
      <c r="CW325" s="115">
        <f t="shared" si="211"/>
        <v>132636.07</v>
      </c>
      <c r="CX325" s="17" t="s">
        <v>1443</v>
      </c>
      <c r="CY325" s="21" t="str">
        <f>IF(Table1[[#This Row],[Check 4 Status]]="Continued", Table1[[#This Row],[Check 4 Students Summer]], 0)</f>
        <v>80</v>
      </c>
      <c r="CZ325" s="58">
        <f>Table1[[#This Row],[Check 4 Per Student Savings]]*CY325</f>
        <v>21095.200000000001</v>
      </c>
      <c r="DA325" s="114" t="str">
        <f>IF(Table1[[#This Row],[Check 4 Status]]="Continued", Table1[[#This Row],[Check 4 Students Fall]], 0)</f>
        <v>200</v>
      </c>
      <c r="DB325" s="115">
        <f>Table1[[#This Row],[Check 4 Per Student Savings]]*DA325</f>
        <v>52738</v>
      </c>
      <c r="DC325" s="21" t="str">
        <f>IF(Table1[[#This Row],[Check 4 Status]]="Continued", Table1[[#This Row],[Check 4 Students Spring]], 0)</f>
        <v>223</v>
      </c>
      <c r="DD325" s="58">
        <f>Table1[[#This Row],[Check 4 Per Student Savings]]*DC325</f>
        <v>58802.87</v>
      </c>
      <c r="DE325" s="58">
        <f t="shared" si="212"/>
        <v>503</v>
      </c>
      <c r="DF325" s="58">
        <f t="shared" si="213"/>
        <v>132636.07</v>
      </c>
      <c r="DG32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503</v>
      </c>
      <c r="DH32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132636.07</v>
      </c>
      <c r="DI325" s="119">
        <f>Table1[[#This Row],[Grand Total Savings]]/Table1[[#This Row],[Total Award]]</f>
        <v>8.3946879746835439</v>
      </c>
      <c r="DJ325" s="17"/>
      <c r="DK325" s="17"/>
      <c r="DL325" s="17"/>
      <c r="DM325" s="17"/>
      <c r="DY325" s="21"/>
      <c r="DZ325" s="58"/>
      <c r="EA325" s="21"/>
      <c r="EB325" s="21"/>
      <c r="EC325" s="17"/>
      <c r="ED325" s="17"/>
      <c r="EE325" s="17"/>
      <c r="EF325" s="17"/>
    </row>
    <row r="326" spans="1:136" x14ac:dyDescent="0.25">
      <c r="A326" s="128">
        <v>458</v>
      </c>
      <c r="B326" s="128"/>
      <c r="C326" s="191" t="s">
        <v>129</v>
      </c>
      <c r="D326" s="118">
        <v>516260</v>
      </c>
      <c r="E326" s="116"/>
      <c r="F326" s="117"/>
      <c r="G326" s="202" t="s">
        <v>1437</v>
      </c>
      <c r="H326" s="95" t="s">
        <v>6</v>
      </c>
      <c r="I326" s="229" t="s">
        <v>118</v>
      </c>
      <c r="J326" s="17" t="s">
        <v>671</v>
      </c>
      <c r="K326" s="101">
        <v>27712.5</v>
      </c>
      <c r="L326" s="101" t="s">
        <v>1443</v>
      </c>
      <c r="M326" s="17" t="s">
        <v>672</v>
      </c>
      <c r="N326" s="17" t="s">
        <v>673</v>
      </c>
      <c r="O326" s="17" t="s">
        <v>646</v>
      </c>
      <c r="P326" s="17" t="s">
        <v>645</v>
      </c>
      <c r="Q326" s="101" t="s">
        <v>148</v>
      </c>
      <c r="R326" s="101"/>
      <c r="S326" s="197"/>
      <c r="T326" s="17" t="s">
        <v>1459</v>
      </c>
      <c r="U326" s="17" t="s">
        <v>1095</v>
      </c>
      <c r="V326" s="17" t="s">
        <v>1095</v>
      </c>
      <c r="W326" s="17" t="s">
        <v>1095</v>
      </c>
      <c r="X326" s="17" t="s">
        <v>1095</v>
      </c>
      <c r="Y326" s="56">
        <v>62500</v>
      </c>
      <c r="Z326" s="21">
        <v>500</v>
      </c>
      <c r="AA326" s="58">
        <v>125</v>
      </c>
      <c r="AB326" s="21" t="s">
        <v>1497</v>
      </c>
      <c r="AC326" s="21" t="s">
        <v>1498</v>
      </c>
      <c r="AD326" s="21" t="s">
        <v>1364</v>
      </c>
      <c r="AE326" s="17" t="s">
        <v>1443</v>
      </c>
      <c r="AF326" s="58" t="s">
        <v>129</v>
      </c>
      <c r="AG326" s="58"/>
      <c r="AH326" s="58"/>
      <c r="AI326" s="111" t="s">
        <v>130</v>
      </c>
      <c r="AJ326" s="21">
        <v>0</v>
      </c>
      <c r="AK326" s="21">
        <v>0</v>
      </c>
      <c r="AL326" s="21">
        <v>0</v>
      </c>
      <c r="AM326" s="21">
        <v>0</v>
      </c>
      <c r="AN326" s="21">
        <v>0</v>
      </c>
      <c r="AO326" s="21">
        <v>0</v>
      </c>
      <c r="AP326" s="21">
        <v>0</v>
      </c>
      <c r="AQ326" s="21">
        <v>0</v>
      </c>
      <c r="AR326" s="21">
        <v>0</v>
      </c>
      <c r="AS326" s="21">
        <v>0</v>
      </c>
      <c r="AT326" s="21">
        <v>0</v>
      </c>
      <c r="AU326" s="21">
        <v>0</v>
      </c>
      <c r="AV326" s="21">
        <v>0</v>
      </c>
      <c r="AW326" s="21">
        <v>0</v>
      </c>
      <c r="AX326" s="21">
        <v>0</v>
      </c>
      <c r="AY326" s="21">
        <v>0</v>
      </c>
      <c r="AZ326" s="21">
        <v>0</v>
      </c>
      <c r="BA326" s="21">
        <v>0</v>
      </c>
      <c r="BB326" s="21">
        <v>0</v>
      </c>
      <c r="BC326" s="21">
        <v>0</v>
      </c>
      <c r="BD326" s="21">
        <v>0</v>
      </c>
      <c r="BE326" s="21">
        <v>0</v>
      </c>
      <c r="BF326" s="21">
        <v>0</v>
      </c>
      <c r="BG326" s="21">
        <v>0</v>
      </c>
      <c r="BH326" s="21">
        <v>0</v>
      </c>
      <c r="BI326" s="21">
        <v>0</v>
      </c>
      <c r="BJ326" s="21">
        <v>0</v>
      </c>
      <c r="BK326" s="21">
        <v>0</v>
      </c>
      <c r="BL326" s="17" t="s">
        <v>130</v>
      </c>
      <c r="BM326" s="21">
        <v>0</v>
      </c>
      <c r="BN326" s="21">
        <v>0</v>
      </c>
      <c r="BO326" s="21">
        <v>0</v>
      </c>
      <c r="BP326" s="31">
        <f t="shared" si="200"/>
        <v>0</v>
      </c>
      <c r="BQ326" s="31">
        <f t="shared" si="200"/>
        <v>0</v>
      </c>
      <c r="BR326" s="58">
        <f>Table1[[#This Row],[Check 2 Students Total]]*Table1[[#This Row],[Summer 2018 Price Check]]</f>
        <v>0</v>
      </c>
      <c r="BS326" s="21">
        <v>0</v>
      </c>
      <c r="BT326" s="21">
        <v>0</v>
      </c>
      <c r="BU326" s="21">
        <v>0</v>
      </c>
      <c r="BV326" s="21">
        <v>0</v>
      </c>
      <c r="BW326" s="21">
        <v>0</v>
      </c>
      <c r="BX326" s="115">
        <f>Table1[[#This Row],[Summer 2018 Price Check]]*Table1[[#This Row],[Spring 2019 Students]]</f>
        <v>0</v>
      </c>
      <c r="BY326" s="31">
        <f t="shared" si="205"/>
        <v>0</v>
      </c>
      <c r="BZ326" s="58">
        <f t="shared" si="206"/>
        <v>0</v>
      </c>
      <c r="CA326" s="17" t="s">
        <v>130</v>
      </c>
      <c r="CB326" s="21" t="str">
        <f t="shared" si="201"/>
        <v>30</v>
      </c>
      <c r="CC326" s="21" t="str">
        <f t="shared" si="202"/>
        <v>270</v>
      </c>
      <c r="CD326" s="21" t="str">
        <f t="shared" si="203"/>
        <v>200</v>
      </c>
      <c r="CE326" s="21">
        <f t="shared" si="199"/>
        <v>500</v>
      </c>
      <c r="CF326" s="58">
        <f t="shared" si="204"/>
        <v>125</v>
      </c>
      <c r="CG326" s="115">
        <f t="shared" si="207"/>
        <v>62500</v>
      </c>
      <c r="CH326" s="17" t="s">
        <v>1443</v>
      </c>
      <c r="CI326" s="114">
        <v>0</v>
      </c>
      <c r="CJ326" s="115">
        <f>Table1[[#This Row],[Check 3 Per Student Savings]]*CI326</f>
        <v>0</v>
      </c>
      <c r="CK326" s="114">
        <v>0</v>
      </c>
      <c r="CL326" s="115">
        <f>Table1[[#This Row],[Check 3 Per Student Savings]]*CK326</f>
        <v>0</v>
      </c>
      <c r="CM326" s="114">
        <v>0</v>
      </c>
      <c r="CN326" s="115">
        <f>Table1[[#This Row],[Check 3 Per Student Savings]]*CM326</f>
        <v>0</v>
      </c>
      <c r="CO326" s="114">
        <f t="shared" si="208"/>
        <v>0</v>
      </c>
      <c r="CP326" s="115">
        <f t="shared" si="209"/>
        <v>0</v>
      </c>
      <c r="CQ326" s="115" t="s">
        <v>130</v>
      </c>
      <c r="CR326" s="114" t="s">
        <v>1497</v>
      </c>
      <c r="CS326" s="114" t="s">
        <v>1498</v>
      </c>
      <c r="CT326" s="114" t="s">
        <v>1364</v>
      </c>
      <c r="CU326" s="114">
        <f t="shared" si="210"/>
        <v>500</v>
      </c>
      <c r="CV326" s="115">
        <v>125</v>
      </c>
      <c r="CW326" s="115">
        <f t="shared" si="211"/>
        <v>62500</v>
      </c>
      <c r="CX326" s="17" t="s">
        <v>1443</v>
      </c>
      <c r="CY326" s="21" t="str">
        <f>IF(Table1[[#This Row],[Check 4 Status]]="Continued", Table1[[#This Row],[Check 4 Students Summer]], 0)</f>
        <v>30</v>
      </c>
      <c r="CZ326" s="58">
        <f>Table1[[#This Row],[Check 4 Per Student Savings]]*CY326</f>
        <v>3750</v>
      </c>
      <c r="DA326" s="114" t="str">
        <f>IF(Table1[[#This Row],[Check 4 Status]]="Continued", Table1[[#This Row],[Check 4 Students Fall]], 0)</f>
        <v>270</v>
      </c>
      <c r="DB326" s="115">
        <f>Table1[[#This Row],[Check 4 Per Student Savings]]*DA326</f>
        <v>33750</v>
      </c>
      <c r="DC326" s="21" t="str">
        <f>IF(Table1[[#This Row],[Check 4 Status]]="Continued", Table1[[#This Row],[Check 4 Students Spring]], 0)</f>
        <v>200</v>
      </c>
      <c r="DD326" s="58">
        <f>Table1[[#This Row],[Check 4 Per Student Savings]]*DC326</f>
        <v>25000</v>
      </c>
      <c r="DE326" s="58">
        <f t="shared" si="212"/>
        <v>500</v>
      </c>
      <c r="DF326" s="58">
        <f t="shared" si="213"/>
        <v>62500</v>
      </c>
      <c r="DG32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500</v>
      </c>
      <c r="DH32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62500</v>
      </c>
      <c r="DI326" s="119">
        <f>Table1[[#This Row],[Grand Total Savings]]/Table1[[#This Row],[Total Award]]</f>
        <v>2.2552999548940007</v>
      </c>
      <c r="DJ326" s="17"/>
      <c r="DK326" s="17"/>
      <c r="DL326" s="17"/>
      <c r="DM326" s="17"/>
      <c r="DY326" s="21"/>
      <c r="DZ326" s="58"/>
      <c r="EA326" s="21"/>
      <c r="EB326" s="21"/>
      <c r="EC326" s="17"/>
      <c r="ED326" s="17"/>
      <c r="EE326" s="17"/>
      <c r="EF326" s="17"/>
    </row>
    <row r="327" spans="1:136" x14ac:dyDescent="0.25">
      <c r="A327" s="128">
        <v>459</v>
      </c>
      <c r="B327" s="128"/>
      <c r="C327" s="191" t="s">
        <v>129</v>
      </c>
      <c r="D327" s="118">
        <v>516173</v>
      </c>
      <c r="E327" s="116"/>
      <c r="F327" s="117"/>
      <c r="G327" s="202" t="s">
        <v>1437</v>
      </c>
      <c r="H327" s="95" t="s">
        <v>6</v>
      </c>
      <c r="I327" s="229" t="s">
        <v>118</v>
      </c>
      <c r="J327" s="17" t="s">
        <v>159</v>
      </c>
      <c r="K327" s="101">
        <v>20800</v>
      </c>
      <c r="L327" s="101" t="s">
        <v>1443</v>
      </c>
      <c r="M327" s="17" t="s">
        <v>1499</v>
      </c>
      <c r="N327" s="17" t="s">
        <v>1500</v>
      </c>
      <c r="O327" s="17" t="s">
        <v>1501</v>
      </c>
      <c r="P327" s="17" t="s">
        <v>1502</v>
      </c>
      <c r="Q327" s="101" t="s">
        <v>272</v>
      </c>
      <c r="R327" s="101"/>
      <c r="S327" s="197"/>
      <c r="T327" s="17" t="s">
        <v>1459</v>
      </c>
      <c r="U327" s="17" t="s">
        <v>1095</v>
      </c>
      <c r="V327" s="17" t="s">
        <v>1095</v>
      </c>
      <c r="W327" s="17" t="s">
        <v>1095</v>
      </c>
      <c r="X327" s="17" t="s">
        <v>1095</v>
      </c>
      <c r="Y327" s="56">
        <v>68670</v>
      </c>
      <c r="Z327" s="21">
        <v>327</v>
      </c>
      <c r="AA327" s="58">
        <v>210</v>
      </c>
      <c r="AB327" s="21">
        <v>0</v>
      </c>
      <c r="AC327" s="21" t="s">
        <v>1503</v>
      </c>
      <c r="AD327" s="21" t="s">
        <v>1504</v>
      </c>
      <c r="AE327" s="17" t="s">
        <v>1443</v>
      </c>
      <c r="AF327" s="58" t="s">
        <v>129</v>
      </c>
      <c r="AG327" s="58"/>
      <c r="AH327" s="58"/>
      <c r="AI327" s="111" t="s">
        <v>130</v>
      </c>
      <c r="AJ327" s="21">
        <v>0</v>
      </c>
      <c r="AK327" s="21">
        <v>0</v>
      </c>
      <c r="AL327" s="21">
        <v>0</v>
      </c>
      <c r="AM327" s="21">
        <v>0</v>
      </c>
      <c r="AN327" s="21">
        <v>0</v>
      </c>
      <c r="AO327" s="21">
        <v>0</v>
      </c>
      <c r="AP327" s="21">
        <v>0</v>
      </c>
      <c r="AQ327" s="21">
        <v>0</v>
      </c>
      <c r="AR327" s="21">
        <v>0</v>
      </c>
      <c r="AS327" s="21">
        <v>0</v>
      </c>
      <c r="AT327" s="21">
        <v>0</v>
      </c>
      <c r="AU327" s="21">
        <v>0</v>
      </c>
      <c r="AV327" s="21">
        <v>0</v>
      </c>
      <c r="AW327" s="21">
        <v>0</v>
      </c>
      <c r="AX327" s="21">
        <v>0</v>
      </c>
      <c r="AY327" s="21">
        <v>0</v>
      </c>
      <c r="AZ327" s="21">
        <v>0</v>
      </c>
      <c r="BA327" s="21">
        <v>0</v>
      </c>
      <c r="BB327" s="21">
        <v>0</v>
      </c>
      <c r="BC327" s="21">
        <v>0</v>
      </c>
      <c r="BD327" s="21">
        <v>0</v>
      </c>
      <c r="BE327" s="21">
        <v>0</v>
      </c>
      <c r="BF327" s="21">
        <v>0</v>
      </c>
      <c r="BG327" s="21">
        <v>0</v>
      </c>
      <c r="BH327" s="21">
        <v>0</v>
      </c>
      <c r="BI327" s="21">
        <v>0</v>
      </c>
      <c r="BJ327" s="21">
        <v>0</v>
      </c>
      <c r="BK327" s="21">
        <v>0</v>
      </c>
      <c r="BL327" s="17" t="s">
        <v>130</v>
      </c>
      <c r="BM327" s="21">
        <v>0</v>
      </c>
      <c r="BN327" s="21">
        <v>0</v>
      </c>
      <c r="BO327" s="21">
        <v>0</v>
      </c>
      <c r="BP327" s="31">
        <f t="shared" si="200"/>
        <v>0</v>
      </c>
      <c r="BQ327" s="31">
        <f t="shared" si="200"/>
        <v>0</v>
      </c>
      <c r="BR327" s="58">
        <f>Table1[[#This Row],[Check 2 Students Total]]*Table1[[#This Row],[Summer 2018 Price Check]]</f>
        <v>0</v>
      </c>
      <c r="BS327" s="21">
        <v>0</v>
      </c>
      <c r="BT327" s="21">
        <v>0</v>
      </c>
      <c r="BU327" s="21">
        <v>0</v>
      </c>
      <c r="BV327" s="21">
        <v>0</v>
      </c>
      <c r="BW327" s="21">
        <v>0</v>
      </c>
      <c r="BX327" s="115">
        <f>Table1[[#This Row],[Summer 2018 Price Check]]*Table1[[#This Row],[Spring 2019 Students]]</f>
        <v>0</v>
      </c>
      <c r="BY327" s="31">
        <f t="shared" si="205"/>
        <v>0</v>
      </c>
      <c r="BZ327" s="58">
        <f t="shared" si="206"/>
        <v>0</v>
      </c>
      <c r="CA327" s="17" t="s">
        <v>130</v>
      </c>
      <c r="CB327" s="21">
        <f t="shared" si="201"/>
        <v>0</v>
      </c>
      <c r="CC327" s="21" t="str">
        <f t="shared" si="202"/>
        <v>235</v>
      </c>
      <c r="CD327" s="21" t="str">
        <f t="shared" si="203"/>
        <v>92</v>
      </c>
      <c r="CE327" s="21">
        <f t="shared" si="199"/>
        <v>327</v>
      </c>
      <c r="CF327" s="58">
        <f t="shared" si="204"/>
        <v>210</v>
      </c>
      <c r="CG327" s="115">
        <f t="shared" si="207"/>
        <v>68670</v>
      </c>
      <c r="CH327" s="17" t="s">
        <v>1443</v>
      </c>
      <c r="CI327" s="114">
        <v>0</v>
      </c>
      <c r="CJ327" s="115">
        <f>Table1[[#This Row],[Check 3 Per Student Savings]]*CI327</f>
        <v>0</v>
      </c>
      <c r="CK327" s="114">
        <v>0</v>
      </c>
      <c r="CL327" s="115">
        <f>Table1[[#This Row],[Check 3 Per Student Savings]]*CK327</f>
        <v>0</v>
      </c>
      <c r="CM327" s="114">
        <v>0</v>
      </c>
      <c r="CN327" s="115">
        <f>Table1[[#This Row],[Check 3 Per Student Savings]]*CM327</f>
        <v>0</v>
      </c>
      <c r="CO327" s="114">
        <f t="shared" si="208"/>
        <v>0</v>
      </c>
      <c r="CP327" s="115">
        <f t="shared" si="209"/>
        <v>0</v>
      </c>
      <c r="CQ327" s="115" t="s">
        <v>142</v>
      </c>
      <c r="CR327" s="114">
        <v>0</v>
      </c>
      <c r="CS327" s="114" t="s">
        <v>1503</v>
      </c>
      <c r="CT327" s="114" t="s">
        <v>1504</v>
      </c>
      <c r="CU327" s="114">
        <v>0</v>
      </c>
      <c r="CV327" s="115">
        <v>210</v>
      </c>
      <c r="CW327" s="115">
        <f t="shared" si="211"/>
        <v>0</v>
      </c>
      <c r="CX327" s="17" t="s">
        <v>1443</v>
      </c>
      <c r="CY327" s="21">
        <f>IF(Table1[[#This Row],[Check 4 Status]]="Continued", Table1[[#This Row],[Check 4 Students Summer]], 0)</f>
        <v>0</v>
      </c>
      <c r="CZ327" s="58">
        <f>Table1[[#This Row],[Check 4 Per Student Savings]]*CY327</f>
        <v>0</v>
      </c>
      <c r="DA327" s="114">
        <f>IF(Table1[[#This Row],[Check 4 Status]]="Continued", Table1[[#This Row],[Check 4 Students Fall]], 0)</f>
        <v>0</v>
      </c>
      <c r="DB327" s="115">
        <f>Table1[[#This Row],[Check 4 Per Student Savings]]*DA327</f>
        <v>0</v>
      </c>
      <c r="DC327" s="21">
        <f>IF(Table1[[#This Row],[Check 4 Status]]="Continued", Table1[[#This Row],[Check 4 Students Spring]], 0)</f>
        <v>0</v>
      </c>
      <c r="DD327" s="58">
        <f>Table1[[#This Row],[Check 4 Per Student Savings]]*DC327</f>
        <v>0</v>
      </c>
      <c r="DE327" s="58">
        <f t="shared" si="212"/>
        <v>0</v>
      </c>
      <c r="DF327" s="58">
        <f t="shared" si="213"/>
        <v>0</v>
      </c>
      <c r="DG32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2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27" s="119">
        <f>Table1[[#This Row],[Grand Total Savings]]/Table1[[#This Row],[Total Award]]</f>
        <v>0</v>
      </c>
      <c r="DJ327" s="17"/>
      <c r="DK327" s="17"/>
      <c r="DL327" s="17"/>
      <c r="DM327" s="17"/>
      <c r="DY327" s="21"/>
      <c r="DZ327" s="58"/>
      <c r="EA327" s="21"/>
      <c r="EB327" s="21"/>
      <c r="EC327" s="17"/>
      <c r="ED327" s="17"/>
      <c r="EE327" s="17"/>
      <c r="EF327" s="17"/>
    </row>
    <row r="328" spans="1:136" x14ac:dyDescent="0.25">
      <c r="A328" s="128">
        <v>461</v>
      </c>
      <c r="B328" s="128"/>
      <c r="C328" s="191" t="s">
        <v>129</v>
      </c>
      <c r="D328" s="118">
        <v>516174</v>
      </c>
      <c r="E328" s="116"/>
      <c r="F328" s="117"/>
      <c r="G328" s="202" t="s">
        <v>1437</v>
      </c>
      <c r="H328" s="95" t="s">
        <v>6</v>
      </c>
      <c r="I328" s="229" t="s">
        <v>118</v>
      </c>
      <c r="J328" s="17" t="s">
        <v>210</v>
      </c>
      <c r="K328" s="101">
        <v>21400</v>
      </c>
      <c r="L328" s="101" t="s">
        <v>1443</v>
      </c>
      <c r="M328" s="17" t="s">
        <v>1505</v>
      </c>
      <c r="N328" s="17" t="s">
        <v>1506</v>
      </c>
      <c r="O328" s="17" t="s">
        <v>1507</v>
      </c>
      <c r="P328" s="17" t="s">
        <v>1508</v>
      </c>
      <c r="Q328" s="101" t="s">
        <v>304</v>
      </c>
      <c r="R328" s="101"/>
      <c r="S328" s="197"/>
      <c r="T328" s="17" t="s">
        <v>1459</v>
      </c>
      <c r="U328" s="17" t="s">
        <v>1095</v>
      </c>
      <c r="V328" s="17" t="s">
        <v>1095</v>
      </c>
      <c r="W328" s="17" t="s">
        <v>1095</v>
      </c>
      <c r="X328" s="17" t="s">
        <v>1095</v>
      </c>
      <c r="Y328" s="56">
        <v>81600</v>
      </c>
      <c r="Z328" s="21">
        <v>768</v>
      </c>
      <c r="AA328" s="58">
        <v>170</v>
      </c>
      <c r="AB328" s="21">
        <v>96</v>
      </c>
      <c r="AC328" s="21">
        <v>384</v>
      </c>
      <c r="AD328" s="21">
        <v>384</v>
      </c>
      <c r="AE328" s="17" t="s">
        <v>1443</v>
      </c>
      <c r="AF328" s="58" t="s">
        <v>129</v>
      </c>
      <c r="AG328" s="58"/>
      <c r="AH328" s="58"/>
      <c r="AI328" s="111" t="s">
        <v>130</v>
      </c>
      <c r="AJ328" s="21">
        <v>0</v>
      </c>
      <c r="AK328" s="21">
        <v>0</v>
      </c>
      <c r="AL328" s="21">
        <v>0</v>
      </c>
      <c r="AM328" s="21">
        <v>0</v>
      </c>
      <c r="AN328" s="21">
        <v>0</v>
      </c>
      <c r="AO328" s="21">
        <v>0</v>
      </c>
      <c r="AP328" s="21">
        <v>0</v>
      </c>
      <c r="AQ328" s="21">
        <v>0</v>
      </c>
      <c r="AR328" s="21">
        <v>0</v>
      </c>
      <c r="AS328" s="21">
        <v>0</v>
      </c>
      <c r="AT328" s="21">
        <v>0</v>
      </c>
      <c r="AU328" s="21">
        <v>0</v>
      </c>
      <c r="AV328" s="21">
        <v>0</v>
      </c>
      <c r="AW328" s="21">
        <v>0</v>
      </c>
      <c r="AX328" s="21">
        <v>0</v>
      </c>
      <c r="AY328" s="21">
        <v>0</v>
      </c>
      <c r="AZ328" s="21">
        <v>0</v>
      </c>
      <c r="BA328" s="21">
        <v>0</v>
      </c>
      <c r="BB328" s="21">
        <v>0</v>
      </c>
      <c r="BC328" s="21">
        <v>0</v>
      </c>
      <c r="BD328" s="21">
        <v>0</v>
      </c>
      <c r="BE328" s="21">
        <v>0</v>
      </c>
      <c r="BF328" s="21">
        <v>0</v>
      </c>
      <c r="BG328" s="21">
        <v>0</v>
      </c>
      <c r="BH328" s="21">
        <v>0</v>
      </c>
      <c r="BI328" s="21">
        <v>0</v>
      </c>
      <c r="BJ328" s="21">
        <v>0</v>
      </c>
      <c r="BK328" s="21">
        <v>0</v>
      </c>
      <c r="BL328" s="17" t="s">
        <v>130</v>
      </c>
      <c r="BM328" s="21">
        <v>0</v>
      </c>
      <c r="BN328" s="21">
        <v>0</v>
      </c>
      <c r="BO328" s="21">
        <v>0</v>
      </c>
      <c r="BP328" s="31">
        <f t="shared" si="200"/>
        <v>0</v>
      </c>
      <c r="BQ328" s="31">
        <f t="shared" si="200"/>
        <v>0</v>
      </c>
      <c r="BR328" s="58">
        <f>Table1[[#This Row],[Check 2 Students Total]]*Table1[[#This Row],[Summer 2018 Price Check]]</f>
        <v>0</v>
      </c>
      <c r="BS328" s="21">
        <v>0</v>
      </c>
      <c r="BT328" s="21">
        <v>0</v>
      </c>
      <c r="BU328" s="21">
        <v>0</v>
      </c>
      <c r="BV328" s="21">
        <v>0</v>
      </c>
      <c r="BW328" s="21">
        <v>0</v>
      </c>
      <c r="BX328" s="115">
        <f>Table1[[#This Row],[Summer 2018 Price Check]]*Table1[[#This Row],[Spring 2019 Students]]</f>
        <v>0</v>
      </c>
      <c r="BY328" s="31">
        <f t="shared" si="205"/>
        <v>0</v>
      </c>
      <c r="BZ328" s="58">
        <f t="shared" si="206"/>
        <v>0</v>
      </c>
      <c r="CA328" s="17" t="s">
        <v>130</v>
      </c>
      <c r="CB328" s="21">
        <f t="shared" si="201"/>
        <v>96</v>
      </c>
      <c r="CC328" s="21">
        <f t="shared" si="202"/>
        <v>384</v>
      </c>
      <c r="CD328" s="21">
        <f t="shared" si="203"/>
        <v>384</v>
      </c>
      <c r="CE328" s="21">
        <f t="shared" si="199"/>
        <v>864</v>
      </c>
      <c r="CF328" s="58">
        <f t="shared" si="204"/>
        <v>170</v>
      </c>
      <c r="CG328" s="115">
        <f t="shared" si="207"/>
        <v>146880</v>
      </c>
      <c r="CH328" s="17" t="s">
        <v>1443</v>
      </c>
      <c r="CI328" s="114">
        <v>0</v>
      </c>
      <c r="CJ328" s="115">
        <f>Table1[[#This Row],[Check 3 Per Student Savings]]*CI328</f>
        <v>0</v>
      </c>
      <c r="CK328" s="114">
        <v>0</v>
      </c>
      <c r="CL328" s="115">
        <f>Table1[[#This Row],[Check 3 Per Student Savings]]*CK328</f>
        <v>0</v>
      </c>
      <c r="CM328" s="114">
        <v>0</v>
      </c>
      <c r="CN328" s="115">
        <f>Table1[[#This Row],[Check 3 Per Student Savings]]*CM328</f>
        <v>0</v>
      </c>
      <c r="CO328" s="114">
        <f t="shared" si="208"/>
        <v>0</v>
      </c>
      <c r="CP328" s="115">
        <f t="shared" si="209"/>
        <v>0</v>
      </c>
      <c r="CQ328" s="115" t="s">
        <v>130</v>
      </c>
      <c r="CR328" s="114">
        <v>96</v>
      </c>
      <c r="CS328" s="114">
        <v>384</v>
      </c>
      <c r="CT328" s="114">
        <v>384</v>
      </c>
      <c r="CU328" s="114">
        <f t="shared" si="210"/>
        <v>864</v>
      </c>
      <c r="CV328" s="115">
        <v>170</v>
      </c>
      <c r="CW328" s="115">
        <f t="shared" si="211"/>
        <v>146880</v>
      </c>
      <c r="CX328" s="17" t="s">
        <v>1443</v>
      </c>
      <c r="CY328" s="21">
        <f>IF(Table1[[#This Row],[Check 4 Status]]="Continued", Table1[[#This Row],[Check 4 Students Summer]], 0)</f>
        <v>96</v>
      </c>
      <c r="CZ328" s="58">
        <f>Table1[[#This Row],[Check 4 Per Student Savings]]*CY328</f>
        <v>16320</v>
      </c>
      <c r="DA328" s="114">
        <f>IF(Table1[[#This Row],[Check 4 Status]]="Continued", Table1[[#This Row],[Check 4 Students Fall]], 0)</f>
        <v>384</v>
      </c>
      <c r="DB328" s="115">
        <f>Table1[[#This Row],[Check 4 Per Student Savings]]*DA328</f>
        <v>65280</v>
      </c>
      <c r="DC328" s="21">
        <f>IF(Table1[[#This Row],[Check 4 Status]]="Continued", Table1[[#This Row],[Check 4 Students Spring]], 0)</f>
        <v>384</v>
      </c>
      <c r="DD328" s="58">
        <f>Table1[[#This Row],[Check 4 Per Student Savings]]*DC328</f>
        <v>65280</v>
      </c>
      <c r="DE328" s="58">
        <f t="shared" si="212"/>
        <v>864</v>
      </c>
      <c r="DF328" s="58">
        <f t="shared" si="213"/>
        <v>146880</v>
      </c>
      <c r="DG32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864</v>
      </c>
      <c r="DH32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146880</v>
      </c>
      <c r="DI328" s="119">
        <f>Table1[[#This Row],[Grand Total Savings]]/Table1[[#This Row],[Total Award]]</f>
        <v>6.8635514018691586</v>
      </c>
      <c r="DJ328" s="17"/>
      <c r="DK328" s="17"/>
      <c r="DL328" s="17"/>
      <c r="DM328" s="17"/>
      <c r="DY328" s="21"/>
      <c r="DZ328" s="58"/>
      <c r="EA328" s="21"/>
      <c r="EB328" s="21"/>
      <c r="EC328" s="17"/>
      <c r="ED328" s="17"/>
      <c r="EE328" s="17"/>
      <c r="EF328" s="17"/>
    </row>
    <row r="329" spans="1:136" x14ac:dyDescent="0.25">
      <c r="A329" s="128">
        <v>462</v>
      </c>
      <c r="B329" s="128"/>
      <c r="C329" s="191" t="s">
        <v>129</v>
      </c>
      <c r="D329" s="118">
        <v>516215</v>
      </c>
      <c r="E329" s="116"/>
      <c r="F329" s="117"/>
      <c r="G329" s="202" t="s">
        <v>1437</v>
      </c>
      <c r="H329" s="95" t="s">
        <v>6</v>
      </c>
      <c r="I329" s="229" t="s">
        <v>118</v>
      </c>
      <c r="J329" s="17" t="s">
        <v>324</v>
      </c>
      <c r="K329" s="101">
        <v>10800</v>
      </c>
      <c r="L329" s="101" t="s">
        <v>1443</v>
      </c>
      <c r="M329" s="17" t="s">
        <v>1509</v>
      </c>
      <c r="N329" s="17" t="s">
        <v>1510</v>
      </c>
      <c r="O329" s="17" t="s">
        <v>1511</v>
      </c>
      <c r="P329" s="17" t="s">
        <v>802</v>
      </c>
      <c r="Q329" s="101" t="s">
        <v>530</v>
      </c>
      <c r="R329" s="101"/>
      <c r="S329" s="197"/>
      <c r="T329" s="17" t="s">
        <v>1442</v>
      </c>
      <c r="U329" s="17" t="s">
        <v>1095</v>
      </c>
      <c r="V329" s="17" t="s">
        <v>1095</v>
      </c>
      <c r="W329" s="17" t="s">
        <v>1095</v>
      </c>
      <c r="X329" s="17" t="s">
        <v>1095</v>
      </c>
      <c r="Y329" s="56">
        <v>67718.399999999994</v>
      </c>
      <c r="Z329" s="21">
        <v>480</v>
      </c>
      <c r="AA329" s="58">
        <v>141.08000000000001</v>
      </c>
      <c r="AB329" s="21" t="s">
        <v>1354</v>
      </c>
      <c r="AC329" s="21" t="s">
        <v>1498</v>
      </c>
      <c r="AD329" s="21" t="s">
        <v>1512</v>
      </c>
      <c r="AE329" s="17" t="s">
        <v>1443</v>
      </c>
      <c r="AF329" s="58" t="s">
        <v>129</v>
      </c>
      <c r="AG329" s="58"/>
      <c r="AH329" s="58"/>
      <c r="AI329" s="111" t="s">
        <v>130</v>
      </c>
      <c r="AJ329" s="21">
        <v>0</v>
      </c>
      <c r="AK329" s="21">
        <v>0</v>
      </c>
      <c r="AL329" s="21">
        <v>0</v>
      </c>
      <c r="AM329" s="21">
        <v>0</v>
      </c>
      <c r="AN329" s="21">
        <v>0</v>
      </c>
      <c r="AO329" s="21">
        <v>0</v>
      </c>
      <c r="AP329" s="21">
        <v>0</v>
      </c>
      <c r="AQ329" s="21">
        <v>0</v>
      </c>
      <c r="AR329" s="21">
        <v>0</v>
      </c>
      <c r="AS329" s="21">
        <v>0</v>
      </c>
      <c r="AT329" s="21">
        <v>0</v>
      </c>
      <c r="AU329" s="21">
        <v>0</v>
      </c>
      <c r="AV329" s="21">
        <v>0</v>
      </c>
      <c r="AW329" s="21">
        <v>0</v>
      </c>
      <c r="AX329" s="21">
        <v>0</v>
      </c>
      <c r="AY329" s="21">
        <v>0</v>
      </c>
      <c r="AZ329" s="21">
        <v>0</v>
      </c>
      <c r="BA329" s="21">
        <v>0</v>
      </c>
      <c r="BB329" s="21">
        <v>0</v>
      </c>
      <c r="BC329" s="21">
        <v>0</v>
      </c>
      <c r="BD329" s="21">
        <v>0</v>
      </c>
      <c r="BE329" s="21">
        <v>0</v>
      </c>
      <c r="BF329" s="21">
        <v>0</v>
      </c>
      <c r="BG329" s="21">
        <v>0</v>
      </c>
      <c r="BH329" s="21">
        <v>0</v>
      </c>
      <c r="BI329" s="21">
        <v>0</v>
      </c>
      <c r="BJ329" s="21">
        <v>0</v>
      </c>
      <c r="BK329" s="21">
        <v>0</v>
      </c>
      <c r="BL329" s="17" t="s">
        <v>130</v>
      </c>
      <c r="BM329" s="21">
        <v>0</v>
      </c>
      <c r="BN329" s="21">
        <v>0</v>
      </c>
      <c r="BO329" s="21">
        <v>0</v>
      </c>
      <c r="BP329" s="31">
        <f t="shared" si="200"/>
        <v>0</v>
      </c>
      <c r="BQ329" s="31">
        <f t="shared" si="200"/>
        <v>0</v>
      </c>
      <c r="BR329" s="58">
        <f>Table1[[#This Row],[Check 2 Students Total]]*Table1[[#This Row],[Summer 2018 Price Check]]</f>
        <v>0</v>
      </c>
      <c r="BS329" s="21">
        <v>0</v>
      </c>
      <c r="BT329" s="21">
        <v>0</v>
      </c>
      <c r="BU329" s="21">
        <v>0</v>
      </c>
      <c r="BV329" s="21">
        <v>0</v>
      </c>
      <c r="BW329" s="21">
        <v>0</v>
      </c>
      <c r="BX329" s="115">
        <f>Table1[[#This Row],[Summer 2018 Price Check]]*Table1[[#This Row],[Spring 2019 Students]]</f>
        <v>0</v>
      </c>
      <c r="BY329" s="31">
        <f t="shared" si="205"/>
        <v>0</v>
      </c>
      <c r="BZ329" s="58">
        <f t="shared" si="206"/>
        <v>0</v>
      </c>
      <c r="CA329" s="17" t="s">
        <v>130</v>
      </c>
      <c r="CB329" s="21" t="str">
        <f t="shared" si="201"/>
        <v>60</v>
      </c>
      <c r="CC329" s="21" t="str">
        <f t="shared" si="202"/>
        <v>270</v>
      </c>
      <c r="CD329" s="21" t="str">
        <f t="shared" si="203"/>
        <v>150</v>
      </c>
      <c r="CE329" s="21">
        <f t="shared" si="199"/>
        <v>480</v>
      </c>
      <c r="CF329" s="58">
        <f t="shared" si="204"/>
        <v>141.08000000000001</v>
      </c>
      <c r="CG329" s="115">
        <f t="shared" si="207"/>
        <v>67718.400000000009</v>
      </c>
      <c r="CH329" s="17" t="s">
        <v>1443</v>
      </c>
      <c r="CI329" s="114">
        <v>0</v>
      </c>
      <c r="CJ329" s="115">
        <f>Table1[[#This Row],[Check 3 Per Student Savings]]*CI329</f>
        <v>0</v>
      </c>
      <c r="CK329" s="114">
        <v>0</v>
      </c>
      <c r="CL329" s="115">
        <f>Table1[[#This Row],[Check 3 Per Student Savings]]*CK329</f>
        <v>0</v>
      </c>
      <c r="CM329" s="114">
        <v>0</v>
      </c>
      <c r="CN329" s="115">
        <f>Table1[[#This Row],[Check 3 Per Student Savings]]*CM329</f>
        <v>0</v>
      </c>
      <c r="CO329" s="114">
        <f t="shared" si="208"/>
        <v>0</v>
      </c>
      <c r="CP329" s="115">
        <f t="shared" si="209"/>
        <v>0</v>
      </c>
      <c r="CQ329" s="115" t="s">
        <v>130</v>
      </c>
      <c r="CR329" s="114" t="s">
        <v>1354</v>
      </c>
      <c r="CS329" s="114" t="s">
        <v>1498</v>
      </c>
      <c r="CT329" s="114" t="s">
        <v>1512</v>
      </c>
      <c r="CU329" s="114">
        <f t="shared" si="210"/>
        <v>480</v>
      </c>
      <c r="CV329" s="115">
        <v>141.08000000000001</v>
      </c>
      <c r="CW329" s="115">
        <f t="shared" si="211"/>
        <v>67718.400000000009</v>
      </c>
      <c r="CX329" s="17" t="s">
        <v>1443</v>
      </c>
      <c r="CY329" s="21" t="str">
        <f>IF(Table1[[#This Row],[Check 4 Status]]="Continued", Table1[[#This Row],[Check 4 Students Summer]], 0)</f>
        <v>60</v>
      </c>
      <c r="CZ329" s="58">
        <f>Table1[[#This Row],[Check 4 Per Student Savings]]*CY329</f>
        <v>8464.8000000000011</v>
      </c>
      <c r="DA329" s="114" t="str">
        <f>IF(Table1[[#This Row],[Check 4 Status]]="Continued", Table1[[#This Row],[Check 4 Students Fall]], 0)</f>
        <v>270</v>
      </c>
      <c r="DB329" s="115">
        <f>Table1[[#This Row],[Check 4 Per Student Savings]]*DA329</f>
        <v>38091.600000000006</v>
      </c>
      <c r="DC329" s="21" t="str">
        <f>IF(Table1[[#This Row],[Check 4 Status]]="Continued", Table1[[#This Row],[Check 4 Students Spring]], 0)</f>
        <v>150</v>
      </c>
      <c r="DD329" s="58">
        <f>Table1[[#This Row],[Check 4 Per Student Savings]]*DC329</f>
        <v>21162.000000000004</v>
      </c>
      <c r="DE329" s="58">
        <f t="shared" si="212"/>
        <v>480</v>
      </c>
      <c r="DF329" s="58">
        <f t="shared" si="213"/>
        <v>67718.400000000009</v>
      </c>
      <c r="DG32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480</v>
      </c>
      <c r="DH32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67718.400000000009</v>
      </c>
      <c r="DI329" s="119">
        <f>Table1[[#This Row],[Grand Total Savings]]/Table1[[#This Row],[Total Award]]</f>
        <v>6.2702222222222233</v>
      </c>
      <c r="DJ329" s="17"/>
      <c r="DK329" s="17"/>
      <c r="DL329" s="17"/>
      <c r="DM329" s="17"/>
      <c r="DY329" s="21"/>
      <c r="DZ329" s="58"/>
      <c r="EA329" s="21"/>
      <c r="EB329" s="21"/>
      <c r="EC329" s="17"/>
      <c r="ED329" s="17"/>
      <c r="EE329" s="17"/>
      <c r="EF329" s="17"/>
    </row>
    <row r="330" spans="1:136" x14ac:dyDescent="0.25">
      <c r="A330" s="128">
        <v>464</v>
      </c>
      <c r="B330" s="128"/>
      <c r="C330" s="191" t="s">
        <v>129</v>
      </c>
      <c r="D330" s="118">
        <v>516175</v>
      </c>
      <c r="E330" s="116"/>
      <c r="F330" s="117"/>
      <c r="G330" s="202" t="s">
        <v>1437</v>
      </c>
      <c r="H330" s="95" t="s">
        <v>6</v>
      </c>
      <c r="I330" s="229" t="s">
        <v>118</v>
      </c>
      <c r="J330" s="17" t="s">
        <v>159</v>
      </c>
      <c r="K330" s="101">
        <v>10800</v>
      </c>
      <c r="L330" s="101" t="s">
        <v>1443</v>
      </c>
      <c r="M330" s="17" t="s">
        <v>1513</v>
      </c>
      <c r="N330" s="17" t="s">
        <v>1514</v>
      </c>
      <c r="O330" s="17" t="s">
        <v>1515</v>
      </c>
      <c r="P330" s="17" t="s">
        <v>1516</v>
      </c>
      <c r="Q330" s="101" t="s">
        <v>177</v>
      </c>
      <c r="R330" s="101"/>
      <c r="S330" s="197"/>
      <c r="T330" s="17" t="s">
        <v>1442</v>
      </c>
      <c r="U330" s="17" t="s">
        <v>1095</v>
      </c>
      <c r="V330" s="17" t="s">
        <v>1095</v>
      </c>
      <c r="W330" s="17" t="s">
        <v>1095</v>
      </c>
      <c r="X330" s="17" t="s">
        <v>1095</v>
      </c>
      <c r="Y330" s="56">
        <v>109884.88</v>
      </c>
      <c r="Z330" s="21">
        <v>634</v>
      </c>
      <c r="AA330" s="58">
        <v>173.32</v>
      </c>
      <c r="AB330" s="21" t="s">
        <v>1285</v>
      </c>
      <c r="AC330" s="21" t="s">
        <v>1378</v>
      </c>
      <c r="AD330" s="21" t="s">
        <v>1378</v>
      </c>
      <c r="AE330" s="17" t="s">
        <v>1443</v>
      </c>
      <c r="AF330" s="58" t="s">
        <v>129</v>
      </c>
      <c r="AG330" s="58"/>
      <c r="AH330" s="58"/>
      <c r="AI330" s="111" t="s">
        <v>130</v>
      </c>
      <c r="AJ330" s="21">
        <v>0</v>
      </c>
      <c r="AK330" s="21">
        <v>0</v>
      </c>
      <c r="AL330" s="21">
        <v>0</v>
      </c>
      <c r="AM330" s="21">
        <v>0</v>
      </c>
      <c r="AN330" s="21">
        <v>0</v>
      </c>
      <c r="AO330" s="21">
        <v>0</v>
      </c>
      <c r="AP330" s="21">
        <v>0</v>
      </c>
      <c r="AQ330" s="21">
        <v>0</v>
      </c>
      <c r="AR330" s="21">
        <v>0</v>
      </c>
      <c r="AS330" s="21">
        <v>0</v>
      </c>
      <c r="AT330" s="21">
        <v>0</v>
      </c>
      <c r="AU330" s="21">
        <v>0</v>
      </c>
      <c r="AV330" s="21">
        <v>0</v>
      </c>
      <c r="AW330" s="21">
        <v>0</v>
      </c>
      <c r="AX330" s="21">
        <v>0</v>
      </c>
      <c r="AY330" s="21">
        <v>0</v>
      </c>
      <c r="AZ330" s="21">
        <v>0</v>
      </c>
      <c r="BA330" s="21">
        <v>0</v>
      </c>
      <c r="BB330" s="21">
        <v>0</v>
      </c>
      <c r="BC330" s="21">
        <v>0</v>
      </c>
      <c r="BD330" s="21">
        <v>0</v>
      </c>
      <c r="BE330" s="21">
        <v>0</v>
      </c>
      <c r="BF330" s="21">
        <v>0</v>
      </c>
      <c r="BG330" s="21">
        <v>0</v>
      </c>
      <c r="BH330" s="21">
        <v>0</v>
      </c>
      <c r="BI330" s="21">
        <v>0</v>
      </c>
      <c r="BJ330" s="21">
        <v>0</v>
      </c>
      <c r="BK330" s="21">
        <v>0</v>
      </c>
      <c r="BL330" s="17" t="s">
        <v>130</v>
      </c>
      <c r="BM330" s="21">
        <v>0</v>
      </c>
      <c r="BN330" s="21">
        <v>0</v>
      </c>
      <c r="BO330" s="21">
        <v>0</v>
      </c>
      <c r="BP330" s="31">
        <f t="shared" si="200"/>
        <v>0</v>
      </c>
      <c r="BQ330" s="31">
        <f t="shared" si="200"/>
        <v>0</v>
      </c>
      <c r="BR330" s="58">
        <f>Table1[[#This Row],[Check 2 Students Total]]*Table1[[#This Row],[Summer 2018 Price Check]]</f>
        <v>0</v>
      </c>
      <c r="BS330" s="21">
        <v>0</v>
      </c>
      <c r="BT330" s="21">
        <v>0</v>
      </c>
      <c r="BU330" s="21">
        <v>0</v>
      </c>
      <c r="BV330" s="21">
        <v>0</v>
      </c>
      <c r="BW330" s="21">
        <v>0</v>
      </c>
      <c r="BX330" s="115">
        <f>Table1[[#This Row],[Summer 2018 Price Check]]*Table1[[#This Row],[Spring 2019 Students]]</f>
        <v>0</v>
      </c>
      <c r="BY330" s="31">
        <f t="shared" si="205"/>
        <v>0</v>
      </c>
      <c r="BZ330" s="58">
        <f t="shared" si="206"/>
        <v>0</v>
      </c>
      <c r="CA330" s="17" t="s">
        <v>130</v>
      </c>
      <c r="CB330" s="21" t="str">
        <f t="shared" si="201"/>
        <v>48</v>
      </c>
      <c r="CC330" s="21" t="str">
        <f t="shared" si="202"/>
        <v>293</v>
      </c>
      <c r="CD330" s="21" t="str">
        <f t="shared" si="203"/>
        <v>293</v>
      </c>
      <c r="CE330" s="21">
        <f t="shared" si="199"/>
        <v>634</v>
      </c>
      <c r="CF330" s="58">
        <f t="shared" si="204"/>
        <v>173.32</v>
      </c>
      <c r="CG330" s="115">
        <f t="shared" si="207"/>
        <v>109884.87999999999</v>
      </c>
      <c r="CH330" s="17" t="s">
        <v>1443</v>
      </c>
      <c r="CI330" s="114">
        <v>0</v>
      </c>
      <c r="CJ330" s="115">
        <f>Table1[[#This Row],[Check 3 Per Student Savings]]*CI330</f>
        <v>0</v>
      </c>
      <c r="CK330" s="114">
        <v>0</v>
      </c>
      <c r="CL330" s="115">
        <f>Table1[[#This Row],[Check 3 Per Student Savings]]*CK330</f>
        <v>0</v>
      </c>
      <c r="CM330" s="114">
        <v>0</v>
      </c>
      <c r="CN330" s="115">
        <f>Table1[[#This Row],[Check 3 Per Student Savings]]*CM330</f>
        <v>0</v>
      </c>
      <c r="CO330" s="114">
        <f t="shared" si="208"/>
        <v>0</v>
      </c>
      <c r="CP330" s="115">
        <f t="shared" si="209"/>
        <v>0</v>
      </c>
      <c r="CQ330" s="115" t="s">
        <v>130</v>
      </c>
      <c r="CR330" s="114" t="s">
        <v>1285</v>
      </c>
      <c r="CS330" s="114" t="s">
        <v>1378</v>
      </c>
      <c r="CT330" s="114" t="s">
        <v>1378</v>
      </c>
      <c r="CU330" s="114">
        <f t="shared" si="210"/>
        <v>634</v>
      </c>
      <c r="CV330" s="115">
        <v>173.32</v>
      </c>
      <c r="CW330" s="115">
        <f t="shared" si="211"/>
        <v>109884.87999999999</v>
      </c>
      <c r="CX330" s="17" t="s">
        <v>1443</v>
      </c>
      <c r="CY330" s="21" t="str">
        <f>IF(Table1[[#This Row],[Check 4 Status]]="Continued", Table1[[#This Row],[Check 4 Students Summer]], 0)</f>
        <v>48</v>
      </c>
      <c r="CZ330" s="58">
        <f>Table1[[#This Row],[Check 4 Per Student Savings]]*CY330</f>
        <v>8319.36</v>
      </c>
      <c r="DA330" s="114" t="str">
        <f>IF(Table1[[#This Row],[Check 4 Status]]="Continued", Table1[[#This Row],[Check 4 Students Fall]], 0)</f>
        <v>293</v>
      </c>
      <c r="DB330" s="115">
        <f>Table1[[#This Row],[Check 4 Per Student Savings]]*DA330</f>
        <v>50782.759999999995</v>
      </c>
      <c r="DC330" s="21" t="str">
        <f>IF(Table1[[#This Row],[Check 4 Status]]="Continued", Table1[[#This Row],[Check 4 Students Spring]], 0)</f>
        <v>293</v>
      </c>
      <c r="DD330" s="58">
        <f>Table1[[#This Row],[Check 4 Per Student Savings]]*DC330</f>
        <v>50782.759999999995</v>
      </c>
      <c r="DE330" s="58">
        <f t="shared" si="212"/>
        <v>634</v>
      </c>
      <c r="DF330" s="58">
        <f t="shared" si="213"/>
        <v>109884.87999999999</v>
      </c>
      <c r="DG33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634</v>
      </c>
      <c r="DH33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109884.87999999999</v>
      </c>
      <c r="DI330" s="119">
        <f>Table1[[#This Row],[Grand Total Savings]]/Table1[[#This Row],[Total Award]]</f>
        <v>10.174525925925925</v>
      </c>
      <c r="DJ330" s="17"/>
      <c r="DK330" s="17"/>
      <c r="DL330" s="17"/>
      <c r="DM330" s="17"/>
      <c r="DY330" s="21"/>
      <c r="DZ330" s="58"/>
      <c r="EA330" s="21"/>
      <c r="EB330" s="21"/>
      <c r="EC330" s="17"/>
      <c r="ED330" s="17"/>
      <c r="EE330" s="17"/>
      <c r="EF330" s="17"/>
    </row>
    <row r="331" spans="1:136" x14ac:dyDescent="0.25">
      <c r="A331" s="128">
        <v>465</v>
      </c>
      <c r="B331" s="128"/>
      <c r="C331" s="191" t="s">
        <v>129</v>
      </c>
      <c r="D331" s="118">
        <v>516216</v>
      </c>
      <c r="E331" s="116"/>
      <c r="F331" s="117"/>
      <c r="G331" s="202" t="s">
        <v>1437</v>
      </c>
      <c r="H331" s="95" t="s">
        <v>6</v>
      </c>
      <c r="I331" s="229" t="s">
        <v>118</v>
      </c>
      <c r="J331" s="17" t="s">
        <v>324</v>
      </c>
      <c r="K331" s="101">
        <v>10800</v>
      </c>
      <c r="L331" s="101" t="s">
        <v>1443</v>
      </c>
      <c r="M331" s="17" t="s">
        <v>1517</v>
      </c>
      <c r="N331" s="17" t="s">
        <v>1518</v>
      </c>
      <c r="O331" s="17" t="s">
        <v>534</v>
      </c>
      <c r="P331" s="17" t="s">
        <v>581</v>
      </c>
      <c r="Q331" s="101" t="s">
        <v>488</v>
      </c>
      <c r="R331" s="101"/>
      <c r="S331" s="197"/>
      <c r="T331" s="17" t="s">
        <v>1459</v>
      </c>
      <c r="U331" s="17" t="s">
        <v>1095</v>
      </c>
      <c r="V331" s="17" t="s">
        <v>1095</v>
      </c>
      <c r="W331" s="17" t="s">
        <v>1095</v>
      </c>
      <c r="X331" s="17" t="s">
        <v>1095</v>
      </c>
      <c r="Y331" s="56">
        <v>68250</v>
      </c>
      <c r="Z331" s="21">
        <v>455</v>
      </c>
      <c r="AA331" s="58">
        <v>150</v>
      </c>
      <c r="AB331" s="21" t="s">
        <v>1467</v>
      </c>
      <c r="AC331" s="21" t="s">
        <v>1519</v>
      </c>
      <c r="AD331" s="21" t="s">
        <v>1519</v>
      </c>
      <c r="AE331" s="17" t="s">
        <v>1443</v>
      </c>
      <c r="AF331" s="58" t="s">
        <v>129</v>
      </c>
      <c r="AG331" s="58"/>
      <c r="AH331" s="58"/>
      <c r="AI331" s="111" t="s">
        <v>130</v>
      </c>
      <c r="AJ331" s="21">
        <v>0</v>
      </c>
      <c r="AK331" s="21">
        <v>0</v>
      </c>
      <c r="AL331" s="21">
        <v>0</v>
      </c>
      <c r="AM331" s="21">
        <v>0</v>
      </c>
      <c r="AN331" s="21">
        <v>0</v>
      </c>
      <c r="AO331" s="21">
        <v>0</v>
      </c>
      <c r="AP331" s="21">
        <v>0</v>
      </c>
      <c r="AQ331" s="21">
        <v>0</v>
      </c>
      <c r="AR331" s="21">
        <v>0</v>
      </c>
      <c r="AS331" s="21">
        <v>0</v>
      </c>
      <c r="AT331" s="21">
        <v>0</v>
      </c>
      <c r="AU331" s="21">
        <v>0</v>
      </c>
      <c r="AV331" s="21">
        <v>0</v>
      </c>
      <c r="AW331" s="21">
        <v>0</v>
      </c>
      <c r="AX331" s="21">
        <v>0</v>
      </c>
      <c r="AY331" s="21">
        <v>0</v>
      </c>
      <c r="AZ331" s="21">
        <v>0</v>
      </c>
      <c r="BA331" s="21">
        <v>0</v>
      </c>
      <c r="BB331" s="21">
        <v>0</v>
      </c>
      <c r="BC331" s="21">
        <v>0</v>
      </c>
      <c r="BD331" s="21">
        <v>0</v>
      </c>
      <c r="BE331" s="21">
        <v>0</v>
      </c>
      <c r="BF331" s="21">
        <v>0</v>
      </c>
      <c r="BG331" s="21">
        <v>0</v>
      </c>
      <c r="BH331" s="21">
        <v>0</v>
      </c>
      <c r="BI331" s="21">
        <v>0</v>
      </c>
      <c r="BJ331" s="21">
        <v>0</v>
      </c>
      <c r="BK331" s="21">
        <v>0</v>
      </c>
      <c r="BL331" s="17" t="s">
        <v>130</v>
      </c>
      <c r="BM331" s="21">
        <v>0</v>
      </c>
      <c r="BN331" s="21">
        <v>0</v>
      </c>
      <c r="BO331" s="21">
        <v>0</v>
      </c>
      <c r="BP331" s="31">
        <f t="shared" si="200"/>
        <v>0</v>
      </c>
      <c r="BQ331" s="31">
        <f t="shared" si="200"/>
        <v>0</v>
      </c>
      <c r="BR331" s="58">
        <f>Table1[[#This Row],[Check 2 Students Total]]*Table1[[#This Row],[Summer 2018 Price Check]]</f>
        <v>0</v>
      </c>
      <c r="BS331" s="21">
        <v>0</v>
      </c>
      <c r="BT331" s="21">
        <v>0</v>
      </c>
      <c r="BU331" s="21">
        <v>0</v>
      </c>
      <c r="BV331" s="21">
        <v>0</v>
      </c>
      <c r="BW331" s="21">
        <v>0</v>
      </c>
      <c r="BX331" s="115">
        <f>Table1[[#This Row],[Summer 2018 Price Check]]*Table1[[#This Row],[Spring 2019 Students]]</f>
        <v>0</v>
      </c>
      <c r="BY331" s="31">
        <f t="shared" si="205"/>
        <v>0</v>
      </c>
      <c r="BZ331" s="58">
        <f t="shared" si="206"/>
        <v>0</v>
      </c>
      <c r="CA331" s="17" t="s">
        <v>130</v>
      </c>
      <c r="CB331" s="21" t="str">
        <f t="shared" si="201"/>
        <v>35</v>
      </c>
      <c r="CC331" s="21" t="str">
        <f t="shared" si="202"/>
        <v>210</v>
      </c>
      <c r="CD331" s="21" t="str">
        <f t="shared" si="203"/>
        <v>210</v>
      </c>
      <c r="CE331" s="21">
        <f t="shared" si="199"/>
        <v>455</v>
      </c>
      <c r="CF331" s="58">
        <f t="shared" si="204"/>
        <v>150</v>
      </c>
      <c r="CG331" s="115">
        <f t="shared" si="207"/>
        <v>68250</v>
      </c>
      <c r="CH331" s="17" t="s">
        <v>1443</v>
      </c>
      <c r="CI331" s="114">
        <v>0</v>
      </c>
      <c r="CJ331" s="115">
        <f>Table1[[#This Row],[Check 3 Per Student Savings]]*CI331</f>
        <v>0</v>
      </c>
      <c r="CK331" s="114">
        <v>0</v>
      </c>
      <c r="CL331" s="115">
        <f>Table1[[#This Row],[Check 3 Per Student Savings]]*CK331</f>
        <v>0</v>
      </c>
      <c r="CM331" s="114">
        <v>0</v>
      </c>
      <c r="CN331" s="115">
        <f>Table1[[#This Row],[Check 3 Per Student Savings]]*CM331</f>
        <v>0</v>
      </c>
      <c r="CO331" s="114">
        <f t="shared" si="208"/>
        <v>0</v>
      </c>
      <c r="CP331" s="115">
        <f t="shared" si="209"/>
        <v>0</v>
      </c>
      <c r="CQ331" s="115" t="s">
        <v>130</v>
      </c>
      <c r="CR331" s="114" t="s">
        <v>1467</v>
      </c>
      <c r="CS331" s="114" t="s">
        <v>1519</v>
      </c>
      <c r="CT331" s="114" t="s">
        <v>1519</v>
      </c>
      <c r="CU331" s="114">
        <f t="shared" si="210"/>
        <v>455</v>
      </c>
      <c r="CV331" s="115">
        <v>150</v>
      </c>
      <c r="CW331" s="115">
        <f t="shared" si="211"/>
        <v>68250</v>
      </c>
      <c r="CX331" s="17" t="s">
        <v>1443</v>
      </c>
      <c r="CY331" s="21" t="str">
        <f>IF(Table1[[#This Row],[Check 4 Status]]="Continued", Table1[[#This Row],[Check 4 Students Summer]], 0)</f>
        <v>35</v>
      </c>
      <c r="CZ331" s="58">
        <f>Table1[[#This Row],[Check 4 Per Student Savings]]*CY331</f>
        <v>5250</v>
      </c>
      <c r="DA331" s="114" t="str">
        <f>IF(Table1[[#This Row],[Check 4 Status]]="Continued", Table1[[#This Row],[Check 4 Students Fall]], 0)</f>
        <v>210</v>
      </c>
      <c r="DB331" s="115">
        <f>Table1[[#This Row],[Check 4 Per Student Savings]]*DA331</f>
        <v>31500</v>
      </c>
      <c r="DC331" s="21" t="str">
        <f>IF(Table1[[#This Row],[Check 4 Status]]="Continued", Table1[[#This Row],[Check 4 Students Spring]], 0)</f>
        <v>210</v>
      </c>
      <c r="DD331" s="58">
        <f>Table1[[#This Row],[Check 4 Per Student Savings]]*DC331</f>
        <v>31500</v>
      </c>
      <c r="DE331" s="58">
        <f t="shared" si="212"/>
        <v>455</v>
      </c>
      <c r="DF331" s="58">
        <f t="shared" si="213"/>
        <v>68250</v>
      </c>
      <c r="DG33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455</v>
      </c>
      <c r="DH33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68250</v>
      </c>
      <c r="DI331" s="119">
        <f>Table1[[#This Row],[Grand Total Savings]]/Table1[[#This Row],[Total Award]]</f>
        <v>6.3194444444444446</v>
      </c>
      <c r="DJ331" s="17"/>
      <c r="DK331" s="17"/>
      <c r="DL331" s="17"/>
      <c r="DM331" s="17"/>
      <c r="DY331" s="21"/>
      <c r="DZ331" s="58"/>
      <c r="EA331" s="21"/>
      <c r="EB331" s="21"/>
      <c r="EC331" s="17"/>
      <c r="ED331" s="17"/>
      <c r="EE331" s="17"/>
      <c r="EF331" s="17"/>
    </row>
    <row r="332" spans="1:136" x14ac:dyDescent="0.25">
      <c r="A332" s="128">
        <v>468</v>
      </c>
      <c r="B332" s="128"/>
      <c r="C332" s="191" t="s">
        <v>129</v>
      </c>
      <c r="D332" s="118">
        <v>516259</v>
      </c>
      <c r="E332" s="116"/>
      <c r="F332" s="117"/>
      <c r="G332" s="202" t="s">
        <v>1437</v>
      </c>
      <c r="H332" s="95" t="s">
        <v>6</v>
      </c>
      <c r="I332" s="229" t="s">
        <v>118</v>
      </c>
      <c r="J332" s="17" t="s">
        <v>210</v>
      </c>
      <c r="K332" s="101">
        <v>18500</v>
      </c>
      <c r="L332" s="101" t="s">
        <v>1287</v>
      </c>
      <c r="M332" s="17" t="s">
        <v>1520</v>
      </c>
      <c r="N332" s="17" t="s">
        <v>1521</v>
      </c>
      <c r="O332" s="17" t="s">
        <v>1522</v>
      </c>
      <c r="P332" s="17" t="s">
        <v>1523</v>
      </c>
      <c r="Q332" s="101" t="s">
        <v>304</v>
      </c>
      <c r="R332" s="101"/>
      <c r="S332" s="197"/>
      <c r="T332" s="17" t="s">
        <v>1459</v>
      </c>
      <c r="U332" s="17" t="s">
        <v>1095</v>
      </c>
      <c r="V332" s="17" t="s">
        <v>1095</v>
      </c>
      <c r="W332" s="17" t="s">
        <v>1095</v>
      </c>
      <c r="X332" s="17" t="s">
        <v>1095</v>
      </c>
      <c r="Y332" s="56">
        <v>90480</v>
      </c>
      <c r="Z332" s="21">
        <v>624</v>
      </c>
      <c r="AA332" s="58">
        <v>145</v>
      </c>
      <c r="AB332" s="21" t="s">
        <v>1285</v>
      </c>
      <c r="AC332" s="21" t="s">
        <v>1524</v>
      </c>
      <c r="AD332" s="21" t="s">
        <v>1351</v>
      </c>
      <c r="AE332" s="17" t="s">
        <v>1287</v>
      </c>
      <c r="AF332" s="58" t="s">
        <v>129</v>
      </c>
      <c r="AG332" s="58"/>
      <c r="AH332" s="58"/>
      <c r="AI332" s="111" t="s">
        <v>130</v>
      </c>
      <c r="AJ332" s="21">
        <v>0</v>
      </c>
      <c r="AK332" s="21">
        <v>0</v>
      </c>
      <c r="AL332" s="21">
        <v>0</v>
      </c>
      <c r="AM332" s="21">
        <v>0</v>
      </c>
      <c r="AN332" s="21">
        <v>0</v>
      </c>
      <c r="AO332" s="21">
        <v>0</v>
      </c>
      <c r="AP332" s="21">
        <v>0</v>
      </c>
      <c r="AQ332" s="21">
        <v>0</v>
      </c>
      <c r="AR332" s="21">
        <v>0</v>
      </c>
      <c r="AS332" s="21">
        <v>0</v>
      </c>
      <c r="AT332" s="21">
        <v>0</v>
      </c>
      <c r="AU332" s="21">
        <v>0</v>
      </c>
      <c r="AV332" s="21">
        <v>0</v>
      </c>
      <c r="AW332" s="21">
        <v>0</v>
      </c>
      <c r="AX332" s="21">
        <v>0</v>
      </c>
      <c r="AY332" s="21">
        <v>0</v>
      </c>
      <c r="AZ332" s="21">
        <v>0</v>
      </c>
      <c r="BA332" s="21">
        <v>0</v>
      </c>
      <c r="BB332" s="21">
        <v>0</v>
      </c>
      <c r="BC332" s="21">
        <v>0</v>
      </c>
      <c r="BD332" s="21">
        <v>0</v>
      </c>
      <c r="BE332" s="21">
        <v>0</v>
      </c>
      <c r="BF332" s="21">
        <v>0</v>
      </c>
      <c r="BG332" s="21">
        <v>0</v>
      </c>
      <c r="BH332" s="21">
        <v>0</v>
      </c>
      <c r="BI332" s="21">
        <v>0</v>
      </c>
      <c r="BJ332" s="21">
        <v>0</v>
      </c>
      <c r="BK332" s="21">
        <v>0</v>
      </c>
      <c r="BL332" s="17" t="s">
        <v>130</v>
      </c>
      <c r="BM332" s="21">
        <v>0</v>
      </c>
      <c r="BN332" s="21">
        <v>0</v>
      </c>
      <c r="BO332" s="21">
        <v>0</v>
      </c>
      <c r="BP332" s="31">
        <f t="shared" si="200"/>
        <v>0</v>
      </c>
      <c r="BQ332" s="31">
        <f t="shared" si="200"/>
        <v>0</v>
      </c>
      <c r="BR332" s="58">
        <f>Table1[[#This Row],[Check 2 Students Total]]*Table1[[#This Row],[Summer 2018 Price Check]]</f>
        <v>0</v>
      </c>
      <c r="BS332" s="21">
        <v>0</v>
      </c>
      <c r="BT332" s="21">
        <v>0</v>
      </c>
      <c r="BU332" s="21">
        <v>0</v>
      </c>
      <c r="BV332" s="21">
        <v>0</v>
      </c>
      <c r="BW332" s="21">
        <v>0</v>
      </c>
      <c r="BX332" s="115">
        <f>Table1[[#This Row],[Summer 2018 Price Check]]*Table1[[#This Row],[Spring 2019 Students]]</f>
        <v>0</v>
      </c>
      <c r="BY332" s="31">
        <f t="shared" si="205"/>
        <v>0</v>
      </c>
      <c r="BZ332" s="58">
        <f t="shared" si="206"/>
        <v>0</v>
      </c>
      <c r="CA332" s="17" t="s">
        <v>130</v>
      </c>
      <c r="CB332" s="21" t="str">
        <f t="shared" si="201"/>
        <v>48</v>
      </c>
      <c r="CC332" s="21" t="str">
        <f t="shared" si="202"/>
        <v>384</v>
      </c>
      <c r="CD332" s="21" t="str">
        <f t="shared" si="203"/>
        <v>192</v>
      </c>
      <c r="CE332" s="21">
        <f t="shared" ref="CE332:CE350" si="214">CB332+CC332+CD332</f>
        <v>624</v>
      </c>
      <c r="CF332" s="58">
        <f t="shared" si="204"/>
        <v>145</v>
      </c>
      <c r="CG332" s="115">
        <f t="shared" si="207"/>
        <v>90480</v>
      </c>
      <c r="CH332" s="17" t="s">
        <v>1287</v>
      </c>
      <c r="CI332" s="114">
        <v>0</v>
      </c>
      <c r="CJ332" s="115">
        <f>Table1[[#This Row],[Check 3 Per Student Savings]]*CI332</f>
        <v>0</v>
      </c>
      <c r="CK332" s="114">
        <v>0</v>
      </c>
      <c r="CL332" s="115">
        <f>Table1[[#This Row],[Check 3 Per Student Savings]]*CK332</f>
        <v>0</v>
      </c>
      <c r="CM332" s="114" t="str">
        <f>IF(Table1[[#This Row],[Check 3 Status]]="Continued", Table1[[#This Row],[Check 3 Students Spring]], 0)</f>
        <v>192</v>
      </c>
      <c r="CN332" s="115">
        <f>Table1[[#This Row],[Check 3 Per Student Savings]]*CM332</f>
        <v>27840</v>
      </c>
      <c r="CO332" s="114">
        <f t="shared" si="208"/>
        <v>192</v>
      </c>
      <c r="CP332" s="115">
        <f t="shared" si="209"/>
        <v>27840</v>
      </c>
      <c r="CQ332" s="115" t="s">
        <v>130</v>
      </c>
      <c r="CR332" s="114" t="s">
        <v>1285</v>
      </c>
      <c r="CS332" s="114" t="s">
        <v>1524</v>
      </c>
      <c r="CT332" s="114" t="s">
        <v>1351</v>
      </c>
      <c r="CU332" s="114">
        <f t="shared" si="210"/>
        <v>624</v>
      </c>
      <c r="CV332" s="115">
        <v>145</v>
      </c>
      <c r="CW332" s="115">
        <f t="shared" si="211"/>
        <v>90480</v>
      </c>
      <c r="CX332" s="17" t="s">
        <v>1287</v>
      </c>
      <c r="CY332" s="21" t="str">
        <f>IF(Table1[[#This Row],[Check 4 Status]]="Continued", Table1[[#This Row],[Check 4 Students Summer]], 0)</f>
        <v>48</v>
      </c>
      <c r="CZ332" s="58">
        <f>Table1[[#This Row],[Check 4 Per Student Savings]]*CY332</f>
        <v>6960</v>
      </c>
      <c r="DA332" s="114" t="str">
        <f>IF(Table1[[#This Row],[Check 4 Status]]="Continued", Table1[[#This Row],[Check 4 Students Fall]], 0)</f>
        <v>384</v>
      </c>
      <c r="DB332" s="115">
        <f>Table1[[#This Row],[Check 4 Per Student Savings]]*DA332</f>
        <v>55680</v>
      </c>
      <c r="DC332" s="21" t="str">
        <f>IF(Table1[[#This Row],[Check 4 Status]]="Continued", Table1[[#This Row],[Check 4 Students Spring]], 0)</f>
        <v>192</v>
      </c>
      <c r="DD332" s="58">
        <f>Table1[[#This Row],[Check 4 Per Student Savings]]*DC332</f>
        <v>27840</v>
      </c>
      <c r="DE332" s="58">
        <f t="shared" si="212"/>
        <v>624</v>
      </c>
      <c r="DF332" s="58">
        <f t="shared" si="213"/>
        <v>90480</v>
      </c>
      <c r="DG33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816</v>
      </c>
      <c r="DH33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118320</v>
      </c>
      <c r="DI332" s="119">
        <f>Table1[[#This Row],[Grand Total Savings]]/Table1[[#This Row],[Total Award]]</f>
        <v>6.3956756756756761</v>
      </c>
      <c r="DJ332" s="17"/>
      <c r="DK332" s="17"/>
      <c r="DL332" s="17"/>
      <c r="DM332" s="17"/>
      <c r="DY332" s="21"/>
      <c r="DZ332" s="58"/>
      <c r="EA332" s="21"/>
      <c r="EB332" s="21"/>
      <c r="EC332" s="17"/>
      <c r="ED332" s="17"/>
      <c r="EE332" s="17"/>
      <c r="EF332" s="17"/>
    </row>
    <row r="333" spans="1:136" x14ac:dyDescent="0.25">
      <c r="A333" s="121">
        <v>469</v>
      </c>
      <c r="B333" s="121"/>
      <c r="C333" s="191" t="s">
        <v>129</v>
      </c>
      <c r="D333" s="118">
        <v>516323</v>
      </c>
      <c r="E333" s="116"/>
      <c r="F333" s="117"/>
      <c r="G333" s="202" t="s">
        <v>1437</v>
      </c>
      <c r="H333" s="95" t="s">
        <v>6</v>
      </c>
      <c r="I333" s="229" t="s">
        <v>118</v>
      </c>
      <c r="J333" s="17" t="s">
        <v>132</v>
      </c>
      <c r="K333" s="101">
        <v>30000</v>
      </c>
      <c r="L333" s="101" t="s">
        <v>1443</v>
      </c>
      <c r="M333" s="17" t="s">
        <v>490</v>
      </c>
      <c r="N333" s="17" t="s">
        <v>491</v>
      </c>
      <c r="O333" s="17" t="s">
        <v>572</v>
      </c>
      <c r="P333" s="17" t="s">
        <v>571</v>
      </c>
      <c r="Q333" s="101" t="s">
        <v>206</v>
      </c>
      <c r="R333" s="101"/>
      <c r="S333" s="197"/>
      <c r="T333" s="17" t="s">
        <v>1442</v>
      </c>
      <c r="U333" s="17" t="s">
        <v>1095</v>
      </c>
      <c r="V333" s="17" t="s">
        <v>1095</v>
      </c>
      <c r="W333" s="17" t="s">
        <v>1095</v>
      </c>
      <c r="X333" s="17" t="s">
        <v>1095</v>
      </c>
      <c r="Y333" s="56">
        <v>274032</v>
      </c>
      <c r="Z333" s="21">
        <v>1384</v>
      </c>
      <c r="AA333" s="58">
        <v>198</v>
      </c>
      <c r="AB333" s="21" t="s">
        <v>1480</v>
      </c>
      <c r="AC333" s="21" t="s">
        <v>1525</v>
      </c>
      <c r="AD333" s="21" t="s">
        <v>1526</v>
      </c>
      <c r="AE333" s="17" t="s">
        <v>1443</v>
      </c>
      <c r="AF333" s="58" t="s">
        <v>129</v>
      </c>
      <c r="AG333" s="58"/>
      <c r="AH333" s="58"/>
      <c r="AI333" s="111" t="s">
        <v>130</v>
      </c>
      <c r="AJ333" s="21">
        <v>0</v>
      </c>
      <c r="AK333" s="21">
        <v>0</v>
      </c>
      <c r="AL333" s="21">
        <v>0</v>
      </c>
      <c r="AM333" s="21">
        <v>0</v>
      </c>
      <c r="AN333" s="21">
        <v>0</v>
      </c>
      <c r="AO333" s="21">
        <v>0</v>
      </c>
      <c r="AP333" s="21">
        <v>0</v>
      </c>
      <c r="AQ333" s="21">
        <v>0</v>
      </c>
      <c r="AR333" s="21">
        <v>0</v>
      </c>
      <c r="AS333" s="21">
        <v>0</v>
      </c>
      <c r="AT333" s="21">
        <v>0</v>
      </c>
      <c r="AU333" s="21">
        <v>0</v>
      </c>
      <c r="AV333" s="21">
        <v>0</v>
      </c>
      <c r="AW333" s="21">
        <v>0</v>
      </c>
      <c r="AX333" s="21">
        <v>0</v>
      </c>
      <c r="AY333" s="21">
        <v>0</v>
      </c>
      <c r="AZ333" s="21">
        <v>0</v>
      </c>
      <c r="BA333" s="21">
        <v>0</v>
      </c>
      <c r="BB333" s="21">
        <v>0</v>
      </c>
      <c r="BC333" s="21">
        <v>0</v>
      </c>
      <c r="BD333" s="21">
        <v>0</v>
      </c>
      <c r="BE333" s="21">
        <v>0</v>
      </c>
      <c r="BF333" s="21">
        <v>0</v>
      </c>
      <c r="BG333" s="21">
        <v>0</v>
      </c>
      <c r="BH333" s="21">
        <v>0</v>
      </c>
      <c r="BI333" s="21">
        <v>0</v>
      </c>
      <c r="BJ333" s="21">
        <v>0</v>
      </c>
      <c r="BK333" s="21">
        <v>0</v>
      </c>
      <c r="BL333" s="17" t="s">
        <v>130</v>
      </c>
      <c r="BM333" s="21">
        <v>0</v>
      </c>
      <c r="BN333" s="21">
        <v>0</v>
      </c>
      <c r="BO333" s="21">
        <v>0</v>
      </c>
      <c r="BP333" s="31">
        <f t="shared" si="200"/>
        <v>0</v>
      </c>
      <c r="BQ333" s="31">
        <f t="shared" si="200"/>
        <v>0</v>
      </c>
      <c r="BR333" s="58">
        <f>Table1[[#This Row],[Check 2 Students Total]]*Table1[[#This Row],[Summer 2018 Price Check]]</f>
        <v>0</v>
      </c>
      <c r="BS333" s="21">
        <v>0</v>
      </c>
      <c r="BT333" s="21">
        <v>0</v>
      </c>
      <c r="BU333" s="21">
        <v>0</v>
      </c>
      <c r="BV333" s="21">
        <v>0</v>
      </c>
      <c r="BW333" s="21">
        <v>0</v>
      </c>
      <c r="BX333" s="115">
        <f>Table1[[#This Row],[Summer 2018 Price Check]]*Table1[[#This Row],[Spring 2019 Students]]</f>
        <v>0</v>
      </c>
      <c r="BY333" s="31">
        <f t="shared" si="205"/>
        <v>0</v>
      </c>
      <c r="BZ333" s="58">
        <f t="shared" si="206"/>
        <v>0</v>
      </c>
      <c r="CA333" s="17" t="s">
        <v>130</v>
      </c>
      <c r="CB333" s="21" t="str">
        <f t="shared" si="201"/>
        <v>105</v>
      </c>
      <c r="CC333" s="21" t="str">
        <f t="shared" si="202"/>
        <v>685</v>
      </c>
      <c r="CD333" s="21" t="str">
        <f t="shared" si="203"/>
        <v>538</v>
      </c>
      <c r="CE333" s="21">
        <f t="shared" si="214"/>
        <v>1328</v>
      </c>
      <c r="CF333" s="58">
        <f t="shared" si="204"/>
        <v>198</v>
      </c>
      <c r="CG333" s="115">
        <f t="shared" si="207"/>
        <v>262944</v>
      </c>
      <c r="CH333" s="17" t="s">
        <v>1443</v>
      </c>
      <c r="CI333" s="114">
        <v>0</v>
      </c>
      <c r="CJ333" s="115">
        <f>Table1[[#This Row],[Check 3 Per Student Savings]]*CI333</f>
        <v>0</v>
      </c>
      <c r="CK333" s="114">
        <v>0</v>
      </c>
      <c r="CL333" s="115">
        <f>Table1[[#This Row],[Check 3 Per Student Savings]]*CK333</f>
        <v>0</v>
      </c>
      <c r="CM333" s="114">
        <v>0</v>
      </c>
      <c r="CN333" s="115">
        <f>Table1[[#This Row],[Check 3 Per Student Savings]]*CM333</f>
        <v>0</v>
      </c>
      <c r="CO333" s="114">
        <f t="shared" si="208"/>
        <v>0</v>
      </c>
      <c r="CP333" s="115">
        <f t="shared" si="209"/>
        <v>0</v>
      </c>
      <c r="CQ333" s="115" t="s">
        <v>130</v>
      </c>
      <c r="CR333" s="114" t="s">
        <v>1480</v>
      </c>
      <c r="CS333" s="114" t="s">
        <v>1525</v>
      </c>
      <c r="CT333" s="114" t="s">
        <v>1526</v>
      </c>
      <c r="CU333" s="114">
        <f t="shared" si="210"/>
        <v>1328</v>
      </c>
      <c r="CV333" s="115">
        <v>198</v>
      </c>
      <c r="CW333" s="115">
        <f t="shared" si="211"/>
        <v>262944</v>
      </c>
      <c r="CX333" s="17" t="s">
        <v>1443</v>
      </c>
      <c r="CY333" s="21" t="str">
        <f>IF(Table1[[#This Row],[Check 4 Status]]="Continued", Table1[[#This Row],[Check 4 Students Summer]], 0)</f>
        <v>105</v>
      </c>
      <c r="CZ333" s="58">
        <f>Table1[[#This Row],[Check 4 Per Student Savings]]*CY333</f>
        <v>20790</v>
      </c>
      <c r="DA333" s="114" t="str">
        <f>IF(Table1[[#This Row],[Check 4 Status]]="Continued", Table1[[#This Row],[Check 4 Students Fall]], 0)</f>
        <v>685</v>
      </c>
      <c r="DB333" s="115">
        <f>Table1[[#This Row],[Check 4 Per Student Savings]]*DA333</f>
        <v>135630</v>
      </c>
      <c r="DC333" s="21" t="str">
        <f>IF(Table1[[#This Row],[Check 4 Status]]="Continued", Table1[[#This Row],[Check 4 Students Spring]], 0)</f>
        <v>538</v>
      </c>
      <c r="DD333" s="58">
        <f>Table1[[#This Row],[Check 4 Per Student Savings]]*DC333</f>
        <v>106524</v>
      </c>
      <c r="DE333" s="58">
        <f t="shared" si="212"/>
        <v>1328</v>
      </c>
      <c r="DF333" s="58">
        <f t="shared" si="213"/>
        <v>262944</v>
      </c>
      <c r="DG33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1328</v>
      </c>
      <c r="DH33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262944</v>
      </c>
      <c r="DI333" s="119">
        <f>Table1[[#This Row],[Grand Total Savings]]/Table1[[#This Row],[Total Award]]</f>
        <v>8.7647999999999993</v>
      </c>
      <c r="DJ333" s="17"/>
      <c r="DK333" s="17"/>
      <c r="DL333" s="17"/>
      <c r="DM333" s="17"/>
      <c r="DY333" s="21"/>
      <c r="DZ333" s="58"/>
      <c r="EA333" s="21"/>
      <c r="EB333" s="21"/>
      <c r="EC333" s="17"/>
      <c r="ED333" s="17"/>
      <c r="EE333" s="17"/>
      <c r="EF333" s="17"/>
    </row>
    <row r="334" spans="1:136" x14ac:dyDescent="0.25">
      <c r="A334" s="121">
        <v>471</v>
      </c>
      <c r="B334" s="121"/>
      <c r="C334" s="191" t="s">
        <v>129</v>
      </c>
      <c r="D334" s="118">
        <v>516148</v>
      </c>
      <c r="E334" s="116"/>
      <c r="F334" s="117"/>
      <c r="G334" s="202" t="s">
        <v>1437</v>
      </c>
      <c r="H334" s="95" t="s">
        <v>6</v>
      </c>
      <c r="I334" s="229" t="s">
        <v>118</v>
      </c>
      <c r="J334" s="17" t="s">
        <v>499</v>
      </c>
      <c r="K334" s="101">
        <v>25800</v>
      </c>
      <c r="L334" s="101" t="s">
        <v>1443</v>
      </c>
      <c r="M334" s="17" t="s">
        <v>1527</v>
      </c>
      <c r="N334" s="17" t="s">
        <v>1528</v>
      </c>
      <c r="O334" s="17" t="s">
        <v>1529</v>
      </c>
      <c r="P334" s="17" t="s">
        <v>1530</v>
      </c>
      <c r="Q334" s="101" t="s">
        <v>148</v>
      </c>
      <c r="R334" s="101"/>
      <c r="S334" s="197"/>
      <c r="T334" s="17" t="s">
        <v>1442</v>
      </c>
      <c r="U334" s="17" t="s">
        <v>1095</v>
      </c>
      <c r="V334" s="17" t="s">
        <v>1095</v>
      </c>
      <c r="W334" s="17" t="s">
        <v>1095</v>
      </c>
      <c r="X334" s="17" t="s">
        <v>1095</v>
      </c>
      <c r="Y334" s="56">
        <v>69064.800000000003</v>
      </c>
      <c r="Z334" s="21">
        <v>336</v>
      </c>
      <c r="AA334" s="58">
        <v>205.55</v>
      </c>
      <c r="AB334" s="21" t="s">
        <v>1531</v>
      </c>
      <c r="AC334" s="21" t="s">
        <v>1468</v>
      </c>
      <c r="AD334" s="21" t="s">
        <v>1468</v>
      </c>
      <c r="AE334" s="17" t="s">
        <v>1443</v>
      </c>
      <c r="AF334" s="58" t="s">
        <v>129</v>
      </c>
      <c r="AG334" s="58"/>
      <c r="AH334" s="58"/>
      <c r="AI334" s="111" t="s">
        <v>130</v>
      </c>
      <c r="AJ334" s="21">
        <v>0</v>
      </c>
      <c r="AK334" s="21">
        <v>0</v>
      </c>
      <c r="AL334" s="21">
        <v>0</v>
      </c>
      <c r="AM334" s="21">
        <v>0</v>
      </c>
      <c r="AN334" s="21">
        <v>0</v>
      </c>
      <c r="AO334" s="21">
        <v>0</v>
      </c>
      <c r="AP334" s="21">
        <v>0</v>
      </c>
      <c r="AQ334" s="21">
        <v>0</v>
      </c>
      <c r="AR334" s="21">
        <v>0</v>
      </c>
      <c r="AS334" s="21">
        <v>0</v>
      </c>
      <c r="AT334" s="21">
        <v>0</v>
      </c>
      <c r="AU334" s="21">
        <v>0</v>
      </c>
      <c r="AV334" s="21">
        <v>0</v>
      </c>
      <c r="AW334" s="21">
        <v>0</v>
      </c>
      <c r="AX334" s="21">
        <v>0</v>
      </c>
      <c r="AY334" s="21">
        <v>0</v>
      </c>
      <c r="AZ334" s="21">
        <v>0</v>
      </c>
      <c r="BA334" s="21">
        <v>0</v>
      </c>
      <c r="BB334" s="21">
        <v>0</v>
      </c>
      <c r="BC334" s="21">
        <v>0</v>
      </c>
      <c r="BD334" s="21">
        <v>0</v>
      </c>
      <c r="BE334" s="21">
        <v>0</v>
      </c>
      <c r="BF334" s="21">
        <v>0</v>
      </c>
      <c r="BG334" s="21">
        <v>0</v>
      </c>
      <c r="BH334" s="21">
        <v>0</v>
      </c>
      <c r="BI334" s="21">
        <v>0</v>
      </c>
      <c r="BJ334" s="21">
        <v>0</v>
      </c>
      <c r="BK334" s="21">
        <v>0</v>
      </c>
      <c r="BL334" s="17" t="s">
        <v>130</v>
      </c>
      <c r="BM334" s="21">
        <v>0</v>
      </c>
      <c r="BN334" s="21">
        <v>0</v>
      </c>
      <c r="BO334" s="21">
        <v>0</v>
      </c>
      <c r="BP334" s="31">
        <f t="shared" si="200"/>
        <v>0</v>
      </c>
      <c r="BQ334" s="31">
        <f t="shared" si="200"/>
        <v>0</v>
      </c>
      <c r="BR334" s="58">
        <f>Table1[[#This Row],[Check 2 Students Total]]*Table1[[#This Row],[Summer 2018 Price Check]]</f>
        <v>0</v>
      </c>
      <c r="BS334" s="21">
        <v>0</v>
      </c>
      <c r="BT334" s="21">
        <v>0</v>
      </c>
      <c r="BU334" s="21">
        <v>0</v>
      </c>
      <c r="BV334" s="21">
        <v>0</v>
      </c>
      <c r="BW334" s="21">
        <v>0</v>
      </c>
      <c r="BX334" s="115">
        <f>Table1[[#This Row],[Summer 2018 Price Check]]*Table1[[#This Row],[Spring 2019 Students]]</f>
        <v>0</v>
      </c>
      <c r="BY334" s="31">
        <f t="shared" si="205"/>
        <v>0</v>
      </c>
      <c r="BZ334" s="58">
        <f t="shared" si="206"/>
        <v>0</v>
      </c>
      <c r="CA334" s="17" t="s">
        <v>130</v>
      </c>
      <c r="CB334" s="21" t="str">
        <f t="shared" si="201"/>
        <v>56</v>
      </c>
      <c r="CC334" s="21" t="str">
        <f t="shared" si="202"/>
        <v>140</v>
      </c>
      <c r="CD334" s="21" t="str">
        <f t="shared" si="203"/>
        <v>140</v>
      </c>
      <c r="CE334" s="21">
        <f t="shared" si="214"/>
        <v>336</v>
      </c>
      <c r="CF334" s="58">
        <f t="shared" si="204"/>
        <v>205.55</v>
      </c>
      <c r="CG334" s="115">
        <f t="shared" si="207"/>
        <v>69064.800000000003</v>
      </c>
      <c r="CH334" s="17" t="s">
        <v>1443</v>
      </c>
      <c r="CI334" s="114">
        <v>0</v>
      </c>
      <c r="CJ334" s="115">
        <f>Table1[[#This Row],[Check 3 Per Student Savings]]*CI334</f>
        <v>0</v>
      </c>
      <c r="CK334" s="114">
        <v>0</v>
      </c>
      <c r="CL334" s="115">
        <f>Table1[[#This Row],[Check 3 Per Student Savings]]*CK334</f>
        <v>0</v>
      </c>
      <c r="CM334" s="114">
        <v>0</v>
      </c>
      <c r="CN334" s="115">
        <f>Table1[[#This Row],[Check 3 Per Student Savings]]*CM334</f>
        <v>0</v>
      </c>
      <c r="CO334" s="114">
        <f t="shared" si="208"/>
        <v>0</v>
      </c>
      <c r="CP334" s="115">
        <f t="shared" si="209"/>
        <v>0</v>
      </c>
      <c r="CQ334" s="115" t="s">
        <v>130</v>
      </c>
      <c r="CR334" s="114" t="s">
        <v>1531</v>
      </c>
      <c r="CS334" s="114" t="s">
        <v>1468</v>
      </c>
      <c r="CT334" s="114" t="s">
        <v>1468</v>
      </c>
      <c r="CU334" s="114">
        <f t="shared" si="210"/>
        <v>336</v>
      </c>
      <c r="CV334" s="115">
        <v>205.55</v>
      </c>
      <c r="CW334" s="115">
        <f t="shared" si="211"/>
        <v>69064.800000000003</v>
      </c>
      <c r="CX334" s="17" t="s">
        <v>1443</v>
      </c>
      <c r="CY334" s="21" t="str">
        <f>IF(Table1[[#This Row],[Check 4 Status]]="Continued", Table1[[#This Row],[Check 4 Students Summer]], 0)</f>
        <v>56</v>
      </c>
      <c r="CZ334" s="58">
        <f>Table1[[#This Row],[Check 4 Per Student Savings]]*CY334</f>
        <v>11510.800000000001</v>
      </c>
      <c r="DA334" s="114" t="str">
        <f>IF(Table1[[#This Row],[Check 4 Status]]="Continued", Table1[[#This Row],[Check 4 Students Fall]], 0)</f>
        <v>140</v>
      </c>
      <c r="DB334" s="115">
        <f>Table1[[#This Row],[Check 4 Per Student Savings]]*DA334</f>
        <v>28777</v>
      </c>
      <c r="DC334" s="21" t="str">
        <f>IF(Table1[[#This Row],[Check 4 Status]]="Continued", Table1[[#This Row],[Check 4 Students Spring]], 0)</f>
        <v>140</v>
      </c>
      <c r="DD334" s="58">
        <f>Table1[[#This Row],[Check 4 Per Student Savings]]*DC334</f>
        <v>28777</v>
      </c>
      <c r="DE334" s="58">
        <f t="shared" si="212"/>
        <v>336</v>
      </c>
      <c r="DF334" s="58">
        <f t="shared" si="213"/>
        <v>69064.800000000003</v>
      </c>
      <c r="DG33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336</v>
      </c>
      <c r="DH33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69064.800000000003</v>
      </c>
      <c r="DI334" s="119">
        <f>Table1[[#This Row],[Grand Total Savings]]/Table1[[#This Row],[Total Award]]</f>
        <v>2.6769302325581394</v>
      </c>
      <c r="DJ334" s="17"/>
      <c r="DK334" s="17"/>
      <c r="DL334" s="17"/>
      <c r="DM334" s="17"/>
      <c r="DY334" s="21"/>
      <c r="DZ334" s="58"/>
      <c r="EA334" s="21"/>
      <c r="EB334" s="21"/>
      <c r="EC334" s="17"/>
      <c r="ED334" s="17"/>
      <c r="EE334" s="17"/>
      <c r="EF334" s="17"/>
    </row>
    <row r="335" spans="1:136" ht="30" x14ac:dyDescent="0.25">
      <c r="A335" s="128" t="s">
        <v>1532</v>
      </c>
      <c r="B335" s="128"/>
      <c r="C335" s="128"/>
      <c r="D335" s="118">
        <v>516226</v>
      </c>
      <c r="E335" s="116"/>
      <c r="F335" s="117"/>
      <c r="G335" s="202" t="s">
        <v>1437</v>
      </c>
      <c r="H335" s="95" t="s">
        <v>6</v>
      </c>
      <c r="I335" s="139" t="s">
        <v>962</v>
      </c>
      <c r="J335" s="93" t="s">
        <v>276</v>
      </c>
      <c r="K335" s="101">
        <v>4800</v>
      </c>
      <c r="L335" s="101" t="s">
        <v>1287</v>
      </c>
      <c r="M335" s="17" t="s">
        <v>656</v>
      </c>
      <c r="N335" s="17" t="s">
        <v>657</v>
      </c>
      <c r="O335" s="17" t="s">
        <v>734</v>
      </c>
      <c r="P335" s="17" t="s">
        <v>261</v>
      </c>
      <c r="Q335" s="101" t="s">
        <v>192</v>
      </c>
      <c r="R335" s="101"/>
      <c r="S335" s="197"/>
      <c r="T335" s="17" t="s">
        <v>13</v>
      </c>
      <c r="U335" s="17" t="s">
        <v>1095</v>
      </c>
      <c r="V335" s="17" t="s">
        <v>1095</v>
      </c>
      <c r="W335" s="17" t="s">
        <v>1095</v>
      </c>
      <c r="X335" s="17" t="s">
        <v>1095</v>
      </c>
      <c r="Y335" s="21">
        <v>0</v>
      </c>
      <c r="Z335" s="21">
        <v>0</v>
      </c>
      <c r="AA335" s="21">
        <v>0</v>
      </c>
      <c r="AB335" s="21">
        <v>0</v>
      </c>
      <c r="AC335" s="21">
        <v>0</v>
      </c>
      <c r="AD335" s="21">
        <v>0</v>
      </c>
      <c r="AE335" s="93" t="s">
        <v>1287</v>
      </c>
      <c r="AF335" s="58" t="s">
        <v>129</v>
      </c>
      <c r="AG335" s="58"/>
      <c r="AH335" s="58"/>
      <c r="AI335" s="111" t="s">
        <v>130</v>
      </c>
      <c r="AJ335" s="21">
        <f t="shared" ref="AJ335:AJ350" si="215">AD335</f>
        <v>0</v>
      </c>
      <c r="AK335" s="58" t="s">
        <v>13</v>
      </c>
      <c r="AL335" s="58" t="s">
        <v>13</v>
      </c>
      <c r="AM335" s="58" t="s">
        <v>13</v>
      </c>
      <c r="AN335" s="58" t="s">
        <v>13</v>
      </c>
      <c r="AO335" s="58" t="s">
        <v>13</v>
      </c>
      <c r="AP335" s="58" t="s">
        <v>13</v>
      </c>
      <c r="AQ335" s="58" t="s">
        <v>13</v>
      </c>
      <c r="AR335" s="58" t="s">
        <v>13</v>
      </c>
      <c r="AS335" s="58" t="s">
        <v>13</v>
      </c>
      <c r="AT335" s="58" t="s">
        <v>13</v>
      </c>
      <c r="AU335" s="58" t="s">
        <v>13</v>
      </c>
      <c r="AV335" s="58" t="s">
        <v>13</v>
      </c>
      <c r="AW335" s="58" t="s">
        <v>13</v>
      </c>
      <c r="AX335" s="58" t="s">
        <v>13</v>
      </c>
      <c r="AY335" s="58" t="s">
        <v>13</v>
      </c>
      <c r="AZ335" s="58" t="s">
        <v>13</v>
      </c>
      <c r="BA335" s="58" t="s">
        <v>13</v>
      </c>
      <c r="BB335" s="58" t="s">
        <v>13</v>
      </c>
      <c r="BC335" s="58" t="s">
        <v>13</v>
      </c>
      <c r="BD335" s="58" t="s">
        <v>13</v>
      </c>
      <c r="BE335" s="58" t="s">
        <v>13</v>
      </c>
      <c r="BF335" s="58" t="s">
        <v>13</v>
      </c>
      <c r="BG335" s="58" t="s">
        <v>13</v>
      </c>
      <c r="BH335" s="58" t="s">
        <v>13</v>
      </c>
      <c r="BI335" s="58" t="s">
        <v>13</v>
      </c>
      <c r="BJ335" s="58" t="s">
        <v>13</v>
      </c>
      <c r="BK335" s="58" t="s">
        <v>13</v>
      </c>
      <c r="BL335" s="17" t="s">
        <v>964</v>
      </c>
      <c r="BM335" s="21">
        <v>0</v>
      </c>
      <c r="BN335" s="21">
        <v>0</v>
      </c>
      <c r="BO335" s="21">
        <v>0</v>
      </c>
      <c r="BP335" s="31">
        <f t="shared" si="200"/>
        <v>0</v>
      </c>
      <c r="BQ335" s="31">
        <f t="shared" si="200"/>
        <v>0</v>
      </c>
      <c r="BR335" s="58">
        <f>Table1[[#This Row],[Check 2 Students Total]]*Table1[[#This Row],[Summer 2018 Price Check]]</f>
        <v>0</v>
      </c>
      <c r="BS335" s="21">
        <v>0</v>
      </c>
      <c r="BT335" s="21">
        <v>0</v>
      </c>
      <c r="BU335" s="21">
        <v>0</v>
      </c>
      <c r="BV335" s="21">
        <v>0</v>
      </c>
      <c r="BW335" s="21">
        <v>0</v>
      </c>
      <c r="BX335" s="115">
        <f>Table1[[#This Row],[Summer 2018 Price Check]]*Table1[[#This Row],[Spring 2019 Students]]</f>
        <v>0</v>
      </c>
      <c r="BY335" s="31">
        <f t="shared" si="205"/>
        <v>0</v>
      </c>
      <c r="BZ335" s="58">
        <f t="shared" si="206"/>
        <v>0</v>
      </c>
      <c r="CA335" s="17" t="s">
        <v>964</v>
      </c>
      <c r="CB335" s="21">
        <v>0</v>
      </c>
      <c r="CC335" s="21">
        <v>0</v>
      </c>
      <c r="CD335" s="21">
        <v>0</v>
      </c>
      <c r="CE335" s="21">
        <f t="shared" si="214"/>
        <v>0</v>
      </c>
      <c r="CF335" s="21">
        <v>0</v>
      </c>
      <c r="CG335" s="115">
        <v>0</v>
      </c>
      <c r="CH335" s="93" t="s">
        <v>1287</v>
      </c>
      <c r="CI335" s="114">
        <f>IF(Table1[[#This Row],[Check 3 Status]]="Continued", Table1[[#This Row],[Check 3 Students Summer]], 0)</f>
        <v>0</v>
      </c>
      <c r="CJ335" s="115">
        <f>Table1[[#This Row],[Check 3 Per Student Savings]]*CI335</f>
        <v>0</v>
      </c>
      <c r="CK335" s="114">
        <f>IF(Table1[[#This Row],[Check 3 Status]]="Continued", Table1[[#This Row],[Check 3 Students Fall]], 0)</f>
        <v>0</v>
      </c>
      <c r="CL335" s="115">
        <f>Table1[[#This Row],[Check 3 Per Student Savings]]*CK335</f>
        <v>0</v>
      </c>
      <c r="CM335" s="114">
        <f>IF(Table1[[#This Row],[Check 3 Status]]="Continued", Table1[[#This Row],[Check 3 Students Spring]], 0)</f>
        <v>0</v>
      </c>
      <c r="CN335" s="115">
        <f>Table1[[#This Row],[Check 3 Per Student Savings]]*CM335</f>
        <v>0</v>
      </c>
      <c r="CO335" s="114">
        <f t="shared" si="208"/>
        <v>0</v>
      </c>
      <c r="CP335" s="115">
        <f t="shared" si="209"/>
        <v>0</v>
      </c>
      <c r="CQ335" s="115" t="s">
        <v>964</v>
      </c>
      <c r="CR335" s="114">
        <v>0</v>
      </c>
      <c r="CS335" s="114">
        <v>0</v>
      </c>
      <c r="CT335" s="114">
        <v>0</v>
      </c>
      <c r="CU335" s="114">
        <f t="shared" si="210"/>
        <v>0</v>
      </c>
      <c r="CV335" s="115">
        <v>0</v>
      </c>
      <c r="CW335" s="115">
        <f t="shared" si="211"/>
        <v>0</v>
      </c>
      <c r="CX335" s="232" t="s">
        <v>1287</v>
      </c>
      <c r="CY335" s="21">
        <f>IF(Table1[[#This Row],[Check 4 Status]]="Continued", Table1[[#This Row],[Check 4 Students Summer]], 0)</f>
        <v>0</v>
      </c>
      <c r="CZ335" s="58">
        <f>Table1[[#This Row],[Check 4 Per Student Savings]]*CY335</f>
        <v>0</v>
      </c>
      <c r="DA335" s="114">
        <f>IF(Table1[[#This Row],[Check 4 Status]]="Continued", Table1[[#This Row],[Check 4 Students Fall]], 0)</f>
        <v>0</v>
      </c>
      <c r="DB335" s="115">
        <f>Table1[[#This Row],[Check 4 Per Student Savings]]*DA335</f>
        <v>0</v>
      </c>
      <c r="DC335" s="21">
        <f>IF(Table1[[#This Row],[Check 4 Status]]="Continued", Table1[[#This Row],[Check 4 Students Spring]], 0)</f>
        <v>0</v>
      </c>
      <c r="DD335" s="58">
        <f>Table1[[#This Row],[Check 4 Per Student Savings]]*DC335</f>
        <v>0</v>
      </c>
      <c r="DE335" s="58">
        <f t="shared" si="212"/>
        <v>0</v>
      </c>
      <c r="DF335" s="58">
        <f t="shared" si="213"/>
        <v>0</v>
      </c>
      <c r="DG335" s="21">
        <v>0</v>
      </c>
      <c r="DH335" s="21">
        <v>0</v>
      </c>
      <c r="DI335" s="21">
        <v>0</v>
      </c>
      <c r="DJ335" s="17"/>
      <c r="DK335" s="17"/>
      <c r="DL335" s="17"/>
      <c r="DM335" s="17"/>
      <c r="DY335" s="21"/>
      <c r="DZ335" s="58"/>
      <c r="EA335" s="21"/>
      <c r="EB335" s="21"/>
      <c r="EC335" s="17"/>
      <c r="ED335" s="17"/>
      <c r="EE335" s="17"/>
      <c r="EF335" s="17"/>
    </row>
    <row r="336" spans="1:136" x14ac:dyDescent="0.25">
      <c r="A336" s="128" t="s">
        <v>1533</v>
      </c>
      <c r="B336" s="128"/>
      <c r="C336" s="128"/>
      <c r="D336" s="118">
        <v>516206</v>
      </c>
      <c r="E336" s="116"/>
      <c r="F336" s="117"/>
      <c r="G336" s="202" t="s">
        <v>1437</v>
      </c>
      <c r="H336" s="95" t="s">
        <v>6</v>
      </c>
      <c r="I336" s="139" t="s">
        <v>962</v>
      </c>
      <c r="J336" s="93" t="s">
        <v>166</v>
      </c>
      <c r="K336" s="101">
        <v>4800</v>
      </c>
      <c r="L336" s="101" t="s">
        <v>1287</v>
      </c>
      <c r="M336" s="17" t="s">
        <v>1035</v>
      </c>
      <c r="N336" s="17" t="s">
        <v>464</v>
      </c>
      <c r="O336" s="17" t="s">
        <v>1534</v>
      </c>
      <c r="P336" s="17" t="s">
        <v>466</v>
      </c>
      <c r="Q336" s="101" t="s">
        <v>467</v>
      </c>
      <c r="R336" s="101"/>
      <c r="S336" s="197"/>
      <c r="T336" s="17" t="s">
        <v>13</v>
      </c>
      <c r="U336" s="17" t="s">
        <v>1095</v>
      </c>
      <c r="V336" s="17" t="s">
        <v>1095</v>
      </c>
      <c r="W336" s="17" t="s">
        <v>1095</v>
      </c>
      <c r="X336" s="17" t="s">
        <v>1095</v>
      </c>
      <c r="Y336" s="21">
        <v>0</v>
      </c>
      <c r="Z336" s="21">
        <v>0</v>
      </c>
      <c r="AA336" s="21">
        <v>0</v>
      </c>
      <c r="AB336" s="21">
        <v>0</v>
      </c>
      <c r="AC336" s="21">
        <v>0</v>
      </c>
      <c r="AD336" s="21">
        <v>0</v>
      </c>
      <c r="AE336" s="93" t="s">
        <v>1287</v>
      </c>
      <c r="AF336" s="58" t="s">
        <v>129</v>
      </c>
      <c r="AG336" s="58"/>
      <c r="AH336" s="58"/>
      <c r="AI336" s="111" t="s">
        <v>130</v>
      </c>
      <c r="AJ336" s="21">
        <f t="shared" si="215"/>
        <v>0</v>
      </c>
      <c r="AK336" s="58" t="s">
        <v>13</v>
      </c>
      <c r="AL336" s="58" t="s">
        <v>13</v>
      </c>
      <c r="AM336" s="58" t="s">
        <v>13</v>
      </c>
      <c r="AN336" s="58" t="s">
        <v>13</v>
      </c>
      <c r="AO336" s="58" t="s">
        <v>13</v>
      </c>
      <c r="AP336" s="58" t="s">
        <v>13</v>
      </c>
      <c r="AQ336" s="58" t="s">
        <v>13</v>
      </c>
      <c r="AR336" s="58" t="s">
        <v>13</v>
      </c>
      <c r="AS336" s="58" t="s">
        <v>13</v>
      </c>
      <c r="AT336" s="58" t="s">
        <v>13</v>
      </c>
      <c r="AU336" s="58" t="s">
        <v>13</v>
      </c>
      <c r="AV336" s="58" t="s">
        <v>13</v>
      </c>
      <c r="AW336" s="58" t="s">
        <v>13</v>
      </c>
      <c r="AX336" s="58" t="s">
        <v>13</v>
      </c>
      <c r="AY336" s="58" t="s">
        <v>13</v>
      </c>
      <c r="AZ336" s="58" t="s">
        <v>13</v>
      </c>
      <c r="BA336" s="58" t="s">
        <v>13</v>
      </c>
      <c r="BB336" s="58" t="s">
        <v>13</v>
      </c>
      <c r="BC336" s="58" t="s">
        <v>13</v>
      </c>
      <c r="BD336" s="58" t="s">
        <v>13</v>
      </c>
      <c r="BE336" s="58" t="s">
        <v>13</v>
      </c>
      <c r="BF336" s="58" t="s">
        <v>13</v>
      </c>
      <c r="BG336" s="58" t="s">
        <v>13</v>
      </c>
      <c r="BH336" s="58" t="s">
        <v>13</v>
      </c>
      <c r="BI336" s="58" t="s">
        <v>13</v>
      </c>
      <c r="BJ336" s="58" t="s">
        <v>13</v>
      </c>
      <c r="BK336" s="58" t="s">
        <v>13</v>
      </c>
      <c r="BL336" s="17" t="s">
        <v>964</v>
      </c>
      <c r="BM336" s="21">
        <v>0</v>
      </c>
      <c r="BN336" s="21">
        <v>0</v>
      </c>
      <c r="BO336" s="21">
        <v>0</v>
      </c>
      <c r="BP336" s="31">
        <f t="shared" si="200"/>
        <v>0</v>
      </c>
      <c r="BQ336" s="31">
        <f t="shared" si="200"/>
        <v>0</v>
      </c>
      <c r="BR336" s="58">
        <f>Table1[[#This Row],[Check 2 Students Total]]*Table1[[#This Row],[Summer 2018 Price Check]]</f>
        <v>0</v>
      </c>
      <c r="BS336" s="21">
        <v>0</v>
      </c>
      <c r="BT336" s="21">
        <v>0</v>
      </c>
      <c r="BU336" s="21">
        <v>0</v>
      </c>
      <c r="BV336" s="21">
        <v>0</v>
      </c>
      <c r="BW336" s="21">
        <v>0</v>
      </c>
      <c r="BX336" s="115">
        <f>Table1[[#This Row],[Summer 2018 Price Check]]*Table1[[#This Row],[Spring 2019 Students]]</f>
        <v>0</v>
      </c>
      <c r="BY336" s="31">
        <f t="shared" si="205"/>
        <v>0</v>
      </c>
      <c r="BZ336" s="58">
        <f t="shared" si="206"/>
        <v>0</v>
      </c>
      <c r="CA336" s="17" t="s">
        <v>964</v>
      </c>
      <c r="CB336" s="21">
        <v>0</v>
      </c>
      <c r="CC336" s="21">
        <v>0</v>
      </c>
      <c r="CD336" s="21">
        <v>0</v>
      </c>
      <c r="CE336" s="21">
        <f t="shared" si="214"/>
        <v>0</v>
      </c>
      <c r="CF336" s="21">
        <v>0</v>
      </c>
      <c r="CG336" s="115">
        <v>0</v>
      </c>
      <c r="CH336" s="93" t="s">
        <v>1287</v>
      </c>
      <c r="CI336" s="114">
        <f>IF(Table1[[#This Row],[Check 3 Status]]="Continued", Table1[[#This Row],[Check 3 Students Summer]], 0)</f>
        <v>0</v>
      </c>
      <c r="CJ336" s="115">
        <f>Table1[[#This Row],[Check 3 Per Student Savings]]*CI336</f>
        <v>0</v>
      </c>
      <c r="CK336" s="114">
        <f>IF(Table1[[#This Row],[Check 3 Status]]="Continued", Table1[[#This Row],[Check 3 Students Fall]], 0)</f>
        <v>0</v>
      </c>
      <c r="CL336" s="115">
        <f>Table1[[#This Row],[Check 3 Per Student Savings]]*CK336</f>
        <v>0</v>
      </c>
      <c r="CM336" s="114">
        <f>IF(Table1[[#This Row],[Check 3 Status]]="Continued", Table1[[#This Row],[Check 3 Students Spring]], 0)</f>
        <v>0</v>
      </c>
      <c r="CN336" s="115">
        <f>Table1[[#This Row],[Check 3 Per Student Savings]]*CM336</f>
        <v>0</v>
      </c>
      <c r="CO336" s="114">
        <f t="shared" si="208"/>
        <v>0</v>
      </c>
      <c r="CP336" s="115">
        <f t="shared" si="209"/>
        <v>0</v>
      </c>
      <c r="CQ336" s="115" t="s">
        <v>964</v>
      </c>
      <c r="CR336" s="114">
        <v>0</v>
      </c>
      <c r="CS336" s="114">
        <v>0</v>
      </c>
      <c r="CT336" s="114">
        <v>0</v>
      </c>
      <c r="CU336" s="114">
        <f t="shared" si="210"/>
        <v>0</v>
      </c>
      <c r="CV336" s="115">
        <v>0</v>
      </c>
      <c r="CW336" s="115">
        <f t="shared" si="211"/>
        <v>0</v>
      </c>
      <c r="CX336" s="232" t="s">
        <v>1287</v>
      </c>
      <c r="CY336" s="21">
        <f>IF(Table1[[#This Row],[Check 4 Status]]="Continued", Table1[[#This Row],[Check 4 Students Summer]], 0)</f>
        <v>0</v>
      </c>
      <c r="CZ336" s="58">
        <f>Table1[[#This Row],[Check 4 Per Student Savings]]*CY336</f>
        <v>0</v>
      </c>
      <c r="DA336" s="114">
        <f>IF(Table1[[#This Row],[Check 4 Status]]="Continued", Table1[[#This Row],[Check 4 Students Fall]], 0)</f>
        <v>0</v>
      </c>
      <c r="DB336" s="115">
        <f>Table1[[#This Row],[Check 4 Per Student Savings]]*DA336</f>
        <v>0</v>
      </c>
      <c r="DC336" s="21">
        <f>IF(Table1[[#This Row],[Check 4 Status]]="Continued", Table1[[#This Row],[Check 4 Students Spring]], 0)</f>
        <v>0</v>
      </c>
      <c r="DD336" s="58">
        <f>Table1[[#This Row],[Check 4 Per Student Savings]]*DC336</f>
        <v>0</v>
      </c>
      <c r="DE336" s="58">
        <f t="shared" si="212"/>
        <v>0</v>
      </c>
      <c r="DF336" s="58">
        <f t="shared" si="213"/>
        <v>0</v>
      </c>
      <c r="DG336" s="21">
        <v>0</v>
      </c>
      <c r="DH336" s="21">
        <v>0</v>
      </c>
      <c r="DI336" s="21">
        <v>0</v>
      </c>
      <c r="DJ336" s="17"/>
      <c r="DK336" s="17"/>
      <c r="DL336" s="17"/>
      <c r="DM336" s="17"/>
      <c r="DY336" s="21"/>
      <c r="DZ336" s="58"/>
      <c r="EA336" s="21"/>
      <c r="EB336" s="21"/>
      <c r="EC336" s="17"/>
      <c r="ED336" s="17"/>
      <c r="EE336" s="17"/>
      <c r="EF336" s="17"/>
    </row>
    <row r="337" spans="1:142" ht="30" x14ac:dyDescent="0.25">
      <c r="A337" s="128" t="s">
        <v>1535</v>
      </c>
      <c r="B337" s="128"/>
      <c r="C337" s="128"/>
      <c r="D337" s="118">
        <v>516227</v>
      </c>
      <c r="E337" s="116"/>
      <c r="F337" s="117"/>
      <c r="G337" s="202" t="s">
        <v>1437</v>
      </c>
      <c r="H337" s="95" t="s">
        <v>6</v>
      </c>
      <c r="I337" s="139" t="s">
        <v>962</v>
      </c>
      <c r="J337" s="93" t="s">
        <v>276</v>
      </c>
      <c r="K337" s="101">
        <v>4800</v>
      </c>
      <c r="L337" s="101" t="s">
        <v>1443</v>
      </c>
      <c r="M337" s="17" t="s">
        <v>1536</v>
      </c>
      <c r="N337" s="104" t="s">
        <v>827</v>
      </c>
      <c r="O337" s="17" t="s">
        <v>1537</v>
      </c>
      <c r="P337" s="17" t="s">
        <v>1538</v>
      </c>
      <c r="Q337" s="101" t="s">
        <v>714</v>
      </c>
      <c r="R337" s="101"/>
      <c r="S337" s="197"/>
      <c r="T337" s="17" t="s">
        <v>13</v>
      </c>
      <c r="U337" s="17" t="s">
        <v>1095</v>
      </c>
      <c r="V337" s="17" t="s">
        <v>1095</v>
      </c>
      <c r="W337" s="17" t="s">
        <v>1095</v>
      </c>
      <c r="X337" s="17" t="s">
        <v>1095</v>
      </c>
      <c r="Y337" s="21">
        <v>0</v>
      </c>
      <c r="Z337" s="21">
        <v>0</v>
      </c>
      <c r="AA337" s="21">
        <v>0</v>
      </c>
      <c r="AB337" s="21">
        <v>0</v>
      </c>
      <c r="AC337" s="21">
        <v>0</v>
      </c>
      <c r="AD337" s="21">
        <v>0</v>
      </c>
      <c r="AE337" s="93" t="s">
        <v>1443</v>
      </c>
      <c r="AF337" s="58" t="s">
        <v>129</v>
      </c>
      <c r="AG337" s="58"/>
      <c r="AH337" s="58"/>
      <c r="AI337" s="111" t="s">
        <v>130</v>
      </c>
      <c r="AJ337" s="21">
        <f t="shared" si="215"/>
        <v>0</v>
      </c>
      <c r="AK337" s="58" t="s">
        <v>13</v>
      </c>
      <c r="AL337" s="58" t="s">
        <v>13</v>
      </c>
      <c r="AM337" s="58" t="s">
        <v>13</v>
      </c>
      <c r="AN337" s="58" t="s">
        <v>13</v>
      </c>
      <c r="AO337" s="58" t="s">
        <v>13</v>
      </c>
      <c r="AP337" s="58" t="s">
        <v>13</v>
      </c>
      <c r="AQ337" s="58" t="s">
        <v>13</v>
      </c>
      <c r="AR337" s="58" t="s">
        <v>13</v>
      </c>
      <c r="AS337" s="58" t="s">
        <v>13</v>
      </c>
      <c r="AT337" s="58" t="s">
        <v>13</v>
      </c>
      <c r="AU337" s="58" t="s">
        <v>13</v>
      </c>
      <c r="AV337" s="58" t="s">
        <v>13</v>
      </c>
      <c r="AW337" s="58" t="s">
        <v>13</v>
      </c>
      <c r="AX337" s="58" t="s">
        <v>13</v>
      </c>
      <c r="AY337" s="58" t="s">
        <v>13</v>
      </c>
      <c r="AZ337" s="58" t="s">
        <v>13</v>
      </c>
      <c r="BA337" s="58" t="s">
        <v>13</v>
      </c>
      <c r="BB337" s="58" t="s">
        <v>13</v>
      </c>
      <c r="BC337" s="58" t="s">
        <v>13</v>
      </c>
      <c r="BD337" s="58" t="s">
        <v>13</v>
      </c>
      <c r="BE337" s="58" t="s">
        <v>13</v>
      </c>
      <c r="BF337" s="58" t="s">
        <v>13</v>
      </c>
      <c r="BG337" s="58" t="s">
        <v>13</v>
      </c>
      <c r="BH337" s="58" t="s">
        <v>13</v>
      </c>
      <c r="BI337" s="58" t="s">
        <v>13</v>
      </c>
      <c r="BJ337" s="58" t="s">
        <v>13</v>
      </c>
      <c r="BK337" s="58" t="s">
        <v>13</v>
      </c>
      <c r="BL337" s="17" t="s">
        <v>964</v>
      </c>
      <c r="BM337" s="21">
        <v>0</v>
      </c>
      <c r="BN337" s="21">
        <v>0</v>
      </c>
      <c r="BO337" s="21">
        <v>0</v>
      </c>
      <c r="BP337" s="31">
        <f t="shared" si="200"/>
        <v>0</v>
      </c>
      <c r="BQ337" s="31">
        <f t="shared" si="200"/>
        <v>0</v>
      </c>
      <c r="BR337" s="58">
        <f>Table1[[#This Row],[Check 2 Students Total]]*Table1[[#This Row],[Summer 2018 Price Check]]</f>
        <v>0</v>
      </c>
      <c r="BS337" s="21">
        <v>0</v>
      </c>
      <c r="BT337" s="21">
        <v>0</v>
      </c>
      <c r="BU337" s="21">
        <v>0</v>
      </c>
      <c r="BV337" s="21">
        <v>0</v>
      </c>
      <c r="BW337" s="21">
        <v>0</v>
      </c>
      <c r="BX337" s="115">
        <f>Table1[[#This Row],[Summer 2018 Price Check]]*Table1[[#This Row],[Spring 2019 Students]]</f>
        <v>0</v>
      </c>
      <c r="BY337" s="31">
        <f t="shared" si="205"/>
        <v>0</v>
      </c>
      <c r="BZ337" s="58">
        <f t="shared" si="206"/>
        <v>0</v>
      </c>
      <c r="CA337" s="17" t="s">
        <v>964</v>
      </c>
      <c r="CB337" s="21">
        <v>0</v>
      </c>
      <c r="CC337" s="21">
        <v>0</v>
      </c>
      <c r="CD337" s="21">
        <v>0</v>
      </c>
      <c r="CE337" s="21">
        <f t="shared" si="214"/>
        <v>0</v>
      </c>
      <c r="CF337" s="21">
        <v>0</v>
      </c>
      <c r="CG337" s="115">
        <v>0</v>
      </c>
      <c r="CH337" s="93" t="s">
        <v>1443</v>
      </c>
      <c r="CI337" s="114">
        <f>IF(Table1[[#This Row],[Check 3 Status]]="Continued", Table1[[#This Row],[Check 3 Students Summer]], 0)</f>
        <v>0</v>
      </c>
      <c r="CJ337" s="115">
        <f>Table1[[#This Row],[Check 3 Per Student Savings]]*CI337</f>
        <v>0</v>
      </c>
      <c r="CK337" s="114">
        <f>IF(Table1[[#This Row],[Check 3 Status]]="Continued", Table1[[#This Row],[Check 3 Students Fall]], 0)</f>
        <v>0</v>
      </c>
      <c r="CL337" s="115">
        <f>Table1[[#This Row],[Check 3 Per Student Savings]]*CK337</f>
        <v>0</v>
      </c>
      <c r="CM337" s="114">
        <f>IF(Table1[[#This Row],[Check 3 Status]]="Continued", Table1[[#This Row],[Check 3 Students Spring]], 0)</f>
        <v>0</v>
      </c>
      <c r="CN337" s="115">
        <f>Table1[[#This Row],[Check 3 Per Student Savings]]*CM337</f>
        <v>0</v>
      </c>
      <c r="CO337" s="114">
        <f t="shared" si="208"/>
        <v>0</v>
      </c>
      <c r="CP337" s="115">
        <f t="shared" si="209"/>
        <v>0</v>
      </c>
      <c r="CQ337" s="115" t="s">
        <v>964</v>
      </c>
      <c r="CR337" s="114">
        <v>0</v>
      </c>
      <c r="CS337" s="114">
        <v>0</v>
      </c>
      <c r="CT337" s="114">
        <v>0</v>
      </c>
      <c r="CU337" s="114">
        <f t="shared" si="210"/>
        <v>0</v>
      </c>
      <c r="CV337" s="115">
        <v>0</v>
      </c>
      <c r="CW337" s="115">
        <f t="shared" si="211"/>
        <v>0</v>
      </c>
      <c r="CX337" s="232" t="s">
        <v>1443</v>
      </c>
      <c r="CY337" s="21">
        <f>IF(Table1[[#This Row],[Check 4 Status]]="Continued", Table1[[#This Row],[Check 4 Students Summer]], 0)</f>
        <v>0</v>
      </c>
      <c r="CZ337" s="58">
        <f>Table1[[#This Row],[Check 4 Per Student Savings]]*CY337</f>
        <v>0</v>
      </c>
      <c r="DA337" s="114">
        <f>IF(Table1[[#This Row],[Check 4 Status]]="Continued", Table1[[#This Row],[Check 4 Students Fall]], 0)</f>
        <v>0</v>
      </c>
      <c r="DB337" s="115">
        <f>Table1[[#This Row],[Check 4 Per Student Savings]]*DA337</f>
        <v>0</v>
      </c>
      <c r="DC337" s="21">
        <f>IF(Table1[[#This Row],[Check 4 Status]]="Continued", Table1[[#This Row],[Check 4 Students Spring]], 0)</f>
        <v>0</v>
      </c>
      <c r="DD337" s="58">
        <f>Table1[[#This Row],[Check 4 Per Student Savings]]*DC337</f>
        <v>0</v>
      </c>
      <c r="DE337" s="58">
        <f t="shared" si="212"/>
        <v>0</v>
      </c>
      <c r="DF337" s="58">
        <f t="shared" si="213"/>
        <v>0</v>
      </c>
      <c r="DG337" s="21">
        <v>0</v>
      </c>
      <c r="DH337" s="21">
        <v>0</v>
      </c>
      <c r="DI337" s="21">
        <v>0</v>
      </c>
      <c r="DJ337" s="17"/>
      <c r="DK337" s="17"/>
      <c r="DL337" s="17"/>
      <c r="DM337" s="17"/>
      <c r="DY337" s="21"/>
      <c r="DZ337" s="58"/>
      <c r="EA337" s="21"/>
      <c r="EB337" s="21"/>
      <c r="EC337" s="17"/>
      <c r="ED337" s="17"/>
      <c r="EE337" s="17"/>
      <c r="EF337" s="17"/>
    </row>
    <row r="338" spans="1:142" ht="30" x14ac:dyDescent="0.25">
      <c r="A338" s="128" t="s">
        <v>1539</v>
      </c>
      <c r="B338" s="128"/>
      <c r="C338" s="128"/>
      <c r="D338" s="118">
        <v>516228</v>
      </c>
      <c r="E338" s="116"/>
      <c r="F338" s="117"/>
      <c r="G338" s="202" t="s">
        <v>1437</v>
      </c>
      <c r="H338" s="95" t="s">
        <v>6</v>
      </c>
      <c r="I338" s="139" t="s">
        <v>962</v>
      </c>
      <c r="J338" s="93" t="s">
        <v>276</v>
      </c>
      <c r="K338" s="101">
        <v>2800</v>
      </c>
      <c r="L338" s="101" t="s">
        <v>1287</v>
      </c>
      <c r="M338" s="17" t="s">
        <v>1540</v>
      </c>
      <c r="N338" s="104" t="s">
        <v>1541</v>
      </c>
      <c r="O338" s="17" t="s">
        <v>577</v>
      </c>
      <c r="P338" s="17" t="s">
        <v>1195</v>
      </c>
      <c r="Q338" s="101" t="s">
        <v>192</v>
      </c>
      <c r="R338" s="101"/>
      <c r="S338" s="197"/>
      <c r="T338" s="17" t="s">
        <v>13</v>
      </c>
      <c r="U338" s="17" t="s">
        <v>1095</v>
      </c>
      <c r="V338" s="17" t="s">
        <v>1095</v>
      </c>
      <c r="W338" s="17" t="s">
        <v>1095</v>
      </c>
      <c r="X338" s="17" t="s">
        <v>1095</v>
      </c>
      <c r="Y338" s="21">
        <v>0</v>
      </c>
      <c r="Z338" s="21">
        <v>0</v>
      </c>
      <c r="AA338" s="21">
        <v>0</v>
      </c>
      <c r="AB338" s="21">
        <v>0</v>
      </c>
      <c r="AC338" s="21">
        <v>0</v>
      </c>
      <c r="AD338" s="21">
        <v>0</v>
      </c>
      <c r="AE338" s="93" t="s">
        <v>1287</v>
      </c>
      <c r="AF338" s="58" t="s">
        <v>129</v>
      </c>
      <c r="AG338" s="58"/>
      <c r="AH338" s="58"/>
      <c r="AI338" s="111" t="s">
        <v>130</v>
      </c>
      <c r="AJ338" s="21">
        <f t="shared" si="215"/>
        <v>0</v>
      </c>
      <c r="AK338" s="58" t="s">
        <v>13</v>
      </c>
      <c r="AL338" s="58" t="s">
        <v>13</v>
      </c>
      <c r="AM338" s="58" t="s">
        <v>13</v>
      </c>
      <c r="AN338" s="58" t="s">
        <v>13</v>
      </c>
      <c r="AO338" s="58" t="s">
        <v>13</v>
      </c>
      <c r="AP338" s="58" t="s">
        <v>13</v>
      </c>
      <c r="AQ338" s="58" t="s">
        <v>13</v>
      </c>
      <c r="AR338" s="58" t="s">
        <v>13</v>
      </c>
      <c r="AS338" s="58" t="s">
        <v>13</v>
      </c>
      <c r="AT338" s="58" t="s">
        <v>13</v>
      </c>
      <c r="AU338" s="58" t="s">
        <v>13</v>
      </c>
      <c r="AV338" s="58" t="s">
        <v>13</v>
      </c>
      <c r="AW338" s="58" t="s">
        <v>13</v>
      </c>
      <c r="AX338" s="58" t="s">
        <v>13</v>
      </c>
      <c r="AY338" s="58" t="s">
        <v>13</v>
      </c>
      <c r="AZ338" s="58" t="s">
        <v>13</v>
      </c>
      <c r="BA338" s="58" t="s">
        <v>13</v>
      </c>
      <c r="BB338" s="58" t="s">
        <v>13</v>
      </c>
      <c r="BC338" s="58" t="s">
        <v>13</v>
      </c>
      <c r="BD338" s="58" t="s">
        <v>13</v>
      </c>
      <c r="BE338" s="58" t="s">
        <v>13</v>
      </c>
      <c r="BF338" s="58" t="s">
        <v>13</v>
      </c>
      <c r="BG338" s="58" t="s">
        <v>13</v>
      </c>
      <c r="BH338" s="58" t="s">
        <v>13</v>
      </c>
      <c r="BI338" s="58" t="s">
        <v>13</v>
      </c>
      <c r="BJ338" s="58" t="s">
        <v>13</v>
      </c>
      <c r="BK338" s="58" t="s">
        <v>13</v>
      </c>
      <c r="BL338" s="17" t="s">
        <v>964</v>
      </c>
      <c r="BM338" s="21">
        <v>0</v>
      </c>
      <c r="BN338" s="21">
        <v>0</v>
      </c>
      <c r="BO338" s="21">
        <v>0</v>
      </c>
      <c r="BP338" s="31">
        <f t="shared" si="200"/>
        <v>0</v>
      </c>
      <c r="BQ338" s="31">
        <f t="shared" si="200"/>
        <v>0</v>
      </c>
      <c r="BR338" s="58">
        <f>Table1[[#This Row],[Check 2 Students Total]]*Table1[[#This Row],[Summer 2018 Price Check]]</f>
        <v>0</v>
      </c>
      <c r="BS338" s="21">
        <v>0</v>
      </c>
      <c r="BT338" s="21">
        <v>0</v>
      </c>
      <c r="BU338" s="21">
        <v>0</v>
      </c>
      <c r="BV338" s="21">
        <v>0</v>
      </c>
      <c r="BW338" s="21">
        <v>0</v>
      </c>
      <c r="BX338" s="115">
        <f>Table1[[#This Row],[Summer 2018 Price Check]]*Table1[[#This Row],[Spring 2019 Students]]</f>
        <v>0</v>
      </c>
      <c r="BY338" s="31">
        <f t="shared" si="205"/>
        <v>0</v>
      </c>
      <c r="BZ338" s="58">
        <f t="shared" si="206"/>
        <v>0</v>
      </c>
      <c r="CA338" s="17" t="s">
        <v>964</v>
      </c>
      <c r="CB338" s="21">
        <v>0</v>
      </c>
      <c r="CC338" s="21">
        <v>0</v>
      </c>
      <c r="CD338" s="21">
        <v>0</v>
      </c>
      <c r="CE338" s="21">
        <f t="shared" si="214"/>
        <v>0</v>
      </c>
      <c r="CF338" s="21">
        <v>0</v>
      </c>
      <c r="CG338" s="115">
        <v>0</v>
      </c>
      <c r="CH338" s="93" t="s">
        <v>1287</v>
      </c>
      <c r="CI338" s="114">
        <f>IF(Table1[[#This Row],[Check 3 Status]]="Continued", Table1[[#This Row],[Check 3 Students Summer]], 0)</f>
        <v>0</v>
      </c>
      <c r="CJ338" s="115">
        <f>Table1[[#This Row],[Check 3 Per Student Savings]]*CI338</f>
        <v>0</v>
      </c>
      <c r="CK338" s="114">
        <f>IF(Table1[[#This Row],[Check 3 Status]]="Continued", Table1[[#This Row],[Check 3 Students Fall]], 0)</f>
        <v>0</v>
      </c>
      <c r="CL338" s="115">
        <f>Table1[[#This Row],[Check 3 Per Student Savings]]*CK338</f>
        <v>0</v>
      </c>
      <c r="CM338" s="114">
        <f>IF(Table1[[#This Row],[Check 3 Status]]="Continued", Table1[[#This Row],[Check 3 Students Spring]], 0)</f>
        <v>0</v>
      </c>
      <c r="CN338" s="115">
        <f>Table1[[#This Row],[Check 3 Per Student Savings]]*CM338</f>
        <v>0</v>
      </c>
      <c r="CO338" s="114">
        <f t="shared" si="208"/>
        <v>0</v>
      </c>
      <c r="CP338" s="115">
        <f t="shared" si="209"/>
        <v>0</v>
      </c>
      <c r="CQ338" s="115" t="s">
        <v>964</v>
      </c>
      <c r="CR338" s="114">
        <v>0</v>
      </c>
      <c r="CS338" s="114">
        <v>0</v>
      </c>
      <c r="CT338" s="114">
        <v>0</v>
      </c>
      <c r="CU338" s="114">
        <f t="shared" si="210"/>
        <v>0</v>
      </c>
      <c r="CV338" s="115">
        <v>0</v>
      </c>
      <c r="CW338" s="115">
        <f t="shared" si="211"/>
        <v>0</v>
      </c>
      <c r="CX338" s="232" t="s">
        <v>1287</v>
      </c>
      <c r="CY338" s="21">
        <f>IF(Table1[[#This Row],[Check 4 Status]]="Continued", Table1[[#This Row],[Check 4 Students Summer]], 0)</f>
        <v>0</v>
      </c>
      <c r="CZ338" s="58">
        <f>Table1[[#This Row],[Check 4 Per Student Savings]]*CY338</f>
        <v>0</v>
      </c>
      <c r="DA338" s="114">
        <f>IF(Table1[[#This Row],[Check 4 Status]]="Continued", Table1[[#This Row],[Check 4 Students Fall]], 0)</f>
        <v>0</v>
      </c>
      <c r="DB338" s="115">
        <f>Table1[[#This Row],[Check 4 Per Student Savings]]*DA338</f>
        <v>0</v>
      </c>
      <c r="DC338" s="21">
        <f>IF(Table1[[#This Row],[Check 4 Status]]="Continued", Table1[[#This Row],[Check 4 Students Spring]], 0)</f>
        <v>0</v>
      </c>
      <c r="DD338" s="58">
        <f>Table1[[#This Row],[Check 4 Per Student Savings]]*DC338</f>
        <v>0</v>
      </c>
      <c r="DE338" s="58">
        <f t="shared" si="212"/>
        <v>0</v>
      </c>
      <c r="DF338" s="58">
        <f t="shared" si="213"/>
        <v>0</v>
      </c>
      <c r="DG338" s="21">
        <v>0</v>
      </c>
      <c r="DH338" s="21">
        <v>0</v>
      </c>
      <c r="DI338" s="21">
        <v>0</v>
      </c>
      <c r="DJ338" s="17"/>
      <c r="DK338" s="17"/>
      <c r="DL338" s="17"/>
      <c r="DM338" s="17"/>
      <c r="DY338" s="21"/>
      <c r="DZ338" s="58"/>
      <c r="EA338" s="21"/>
      <c r="EB338" s="21"/>
      <c r="EC338" s="17"/>
      <c r="ED338" s="17"/>
      <c r="EE338" s="17"/>
      <c r="EF338" s="17"/>
    </row>
    <row r="339" spans="1:142" ht="30" x14ac:dyDescent="0.25">
      <c r="A339" s="121" t="s">
        <v>1542</v>
      </c>
      <c r="B339" s="121"/>
      <c r="C339" s="121"/>
      <c r="D339" s="118">
        <v>516277</v>
      </c>
      <c r="E339" s="116"/>
      <c r="F339" s="117"/>
      <c r="G339" s="202" t="s">
        <v>1437</v>
      </c>
      <c r="H339" s="95" t="s">
        <v>6</v>
      </c>
      <c r="I339" s="139" t="s">
        <v>962</v>
      </c>
      <c r="J339" s="93" t="s">
        <v>132</v>
      </c>
      <c r="K339" s="101">
        <v>2800</v>
      </c>
      <c r="L339" s="101" t="s">
        <v>1287</v>
      </c>
      <c r="M339" s="17" t="s">
        <v>1543</v>
      </c>
      <c r="N339" s="104" t="s">
        <v>1159</v>
      </c>
      <c r="O339" s="17" t="s">
        <v>1544</v>
      </c>
      <c r="P339" s="17" t="s">
        <v>1545</v>
      </c>
      <c r="Q339" s="101" t="s">
        <v>177</v>
      </c>
      <c r="R339" s="101"/>
      <c r="S339" s="197"/>
      <c r="T339" s="17" t="s">
        <v>13</v>
      </c>
      <c r="U339" s="17" t="s">
        <v>1095</v>
      </c>
      <c r="V339" s="17" t="s">
        <v>1095</v>
      </c>
      <c r="W339" s="17" t="s">
        <v>1095</v>
      </c>
      <c r="X339" s="17" t="s">
        <v>1095</v>
      </c>
      <c r="Y339" s="21">
        <v>0</v>
      </c>
      <c r="Z339" s="21">
        <v>0</v>
      </c>
      <c r="AA339" s="21">
        <v>0</v>
      </c>
      <c r="AB339" s="21">
        <v>0</v>
      </c>
      <c r="AC339" s="21">
        <v>0</v>
      </c>
      <c r="AD339" s="21">
        <v>0</v>
      </c>
      <c r="AE339" s="93" t="s">
        <v>1287</v>
      </c>
      <c r="AF339" s="58" t="s">
        <v>129</v>
      </c>
      <c r="AG339" s="58"/>
      <c r="AH339" s="58"/>
      <c r="AI339" s="111" t="s">
        <v>130</v>
      </c>
      <c r="AJ339" s="21">
        <f t="shared" si="215"/>
        <v>0</v>
      </c>
      <c r="AK339" s="58" t="s">
        <v>13</v>
      </c>
      <c r="AL339" s="58" t="s">
        <v>13</v>
      </c>
      <c r="AM339" s="58" t="s">
        <v>13</v>
      </c>
      <c r="AN339" s="58" t="s">
        <v>13</v>
      </c>
      <c r="AO339" s="58" t="s">
        <v>13</v>
      </c>
      <c r="AP339" s="58" t="s">
        <v>13</v>
      </c>
      <c r="AQ339" s="58" t="s">
        <v>13</v>
      </c>
      <c r="AR339" s="58" t="s">
        <v>13</v>
      </c>
      <c r="AS339" s="58" t="s">
        <v>13</v>
      </c>
      <c r="AT339" s="58" t="s">
        <v>13</v>
      </c>
      <c r="AU339" s="58" t="s">
        <v>13</v>
      </c>
      <c r="AV339" s="58" t="s">
        <v>13</v>
      </c>
      <c r="AW339" s="58" t="s">
        <v>13</v>
      </c>
      <c r="AX339" s="58" t="s">
        <v>13</v>
      </c>
      <c r="AY339" s="58" t="s">
        <v>13</v>
      </c>
      <c r="AZ339" s="58" t="s">
        <v>13</v>
      </c>
      <c r="BA339" s="58" t="s">
        <v>13</v>
      </c>
      <c r="BB339" s="58" t="s">
        <v>13</v>
      </c>
      <c r="BC339" s="58" t="s">
        <v>13</v>
      </c>
      <c r="BD339" s="58" t="s">
        <v>13</v>
      </c>
      <c r="BE339" s="58" t="s">
        <v>13</v>
      </c>
      <c r="BF339" s="58" t="s">
        <v>13</v>
      </c>
      <c r="BG339" s="58" t="s">
        <v>13</v>
      </c>
      <c r="BH339" s="58" t="s">
        <v>13</v>
      </c>
      <c r="BI339" s="58" t="s">
        <v>13</v>
      </c>
      <c r="BJ339" s="58" t="s">
        <v>13</v>
      </c>
      <c r="BK339" s="58" t="s">
        <v>13</v>
      </c>
      <c r="BL339" s="17" t="s">
        <v>964</v>
      </c>
      <c r="BM339" s="21">
        <v>0</v>
      </c>
      <c r="BN339" s="21">
        <v>0</v>
      </c>
      <c r="BO339" s="21">
        <v>0</v>
      </c>
      <c r="BP339" s="31">
        <f t="shared" si="200"/>
        <v>0</v>
      </c>
      <c r="BQ339" s="31">
        <f t="shared" si="200"/>
        <v>0</v>
      </c>
      <c r="BR339" s="58">
        <f>Table1[[#This Row],[Check 2 Students Total]]*Table1[[#This Row],[Summer 2018 Price Check]]</f>
        <v>0</v>
      </c>
      <c r="BS339" s="21">
        <v>0</v>
      </c>
      <c r="BT339" s="21">
        <v>0</v>
      </c>
      <c r="BU339" s="21">
        <v>0</v>
      </c>
      <c r="BV339" s="21">
        <v>0</v>
      </c>
      <c r="BW339" s="21">
        <v>0</v>
      </c>
      <c r="BX339" s="115">
        <f>Table1[[#This Row],[Summer 2018 Price Check]]*Table1[[#This Row],[Spring 2019 Students]]</f>
        <v>0</v>
      </c>
      <c r="BY339" s="31">
        <f t="shared" si="205"/>
        <v>0</v>
      </c>
      <c r="BZ339" s="58">
        <f t="shared" si="206"/>
        <v>0</v>
      </c>
      <c r="CA339" s="17" t="s">
        <v>964</v>
      </c>
      <c r="CB339" s="21">
        <v>0</v>
      </c>
      <c r="CC339" s="21">
        <v>0</v>
      </c>
      <c r="CD339" s="21">
        <v>0</v>
      </c>
      <c r="CE339" s="21">
        <f t="shared" si="214"/>
        <v>0</v>
      </c>
      <c r="CF339" s="21">
        <v>0</v>
      </c>
      <c r="CG339" s="115">
        <v>0</v>
      </c>
      <c r="CH339" s="93" t="s">
        <v>1287</v>
      </c>
      <c r="CI339" s="114">
        <f>IF(Table1[[#This Row],[Check 3 Status]]="Continued", Table1[[#This Row],[Check 3 Students Summer]], 0)</f>
        <v>0</v>
      </c>
      <c r="CJ339" s="115">
        <f>Table1[[#This Row],[Check 3 Per Student Savings]]*CI339</f>
        <v>0</v>
      </c>
      <c r="CK339" s="114">
        <f>IF(Table1[[#This Row],[Check 3 Status]]="Continued", Table1[[#This Row],[Check 3 Students Fall]], 0)</f>
        <v>0</v>
      </c>
      <c r="CL339" s="115">
        <f>Table1[[#This Row],[Check 3 Per Student Savings]]*CK339</f>
        <v>0</v>
      </c>
      <c r="CM339" s="114">
        <f>IF(Table1[[#This Row],[Check 3 Status]]="Continued", Table1[[#This Row],[Check 3 Students Spring]], 0)</f>
        <v>0</v>
      </c>
      <c r="CN339" s="115">
        <f>Table1[[#This Row],[Check 3 Per Student Savings]]*CM339</f>
        <v>0</v>
      </c>
      <c r="CO339" s="114">
        <f t="shared" si="208"/>
        <v>0</v>
      </c>
      <c r="CP339" s="115">
        <f t="shared" si="209"/>
        <v>0</v>
      </c>
      <c r="CQ339" s="115" t="s">
        <v>964</v>
      </c>
      <c r="CR339" s="114">
        <v>0</v>
      </c>
      <c r="CS339" s="114">
        <v>0</v>
      </c>
      <c r="CT339" s="114">
        <v>0</v>
      </c>
      <c r="CU339" s="114">
        <f t="shared" si="210"/>
        <v>0</v>
      </c>
      <c r="CV339" s="115">
        <v>0</v>
      </c>
      <c r="CW339" s="115">
        <f t="shared" si="211"/>
        <v>0</v>
      </c>
      <c r="CX339" s="232" t="s">
        <v>1287</v>
      </c>
      <c r="CY339" s="21">
        <f>IF(Table1[[#This Row],[Check 4 Status]]="Continued", Table1[[#This Row],[Check 4 Students Summer]], 0)</f>
        <v>0</v>
      </c>
      <c r="CZ339" s="58">
        <f>Table1[[#This Row],[Check 4 Per Student Savings]]*CY339</f>
        <v>0</v>
      </c>
      <c r="DA339" s="114">
        <f>IF(Table1[[#This Row],[Check 4 Status]]="Continued", Table1[[#This Row],[Check 4 Students Fall]], 0)</f>
        <v>0</v>
      </c>
      <c r="DB339" s="115">
        <f>Table1[[#This Row],[Check 4 Per Student Savings]]*DA339</f>
        <v>0</v>
      </c>
      <c r="DC339" s="21">
        <f>IF(Table1[[#This Row],[Check 4 Status]]="Continued", Table1[[#This Row],[Check 4 Students Spring]], 0)</f>
        <v>0</v>
      </c>
      <c r="DD339" s="58">
        <f>Table1[[#This Row],[Check 4 Per Student Savings]]*DC339</f>
        <v>0</v>
      </c>
      <c r="DE339" s="58">
        <f t="shared" si="212"/>
        <v>0</v>
      </c>
      <c r="DF339" s="58">
        <f t="shared" si="213"/>
        <v>0</v>
      </c>
      <c r="DG339" s="21">
        <v>0</v>
      </c>
      <c r="DH339" s="21">
        <v>0</v>
      </c>
      <c r="DI339" s="21">
        <v>0</v>
      </c>
      <c r="DJ339" s="17"/>
      <c r="DK339" s="17"/>
      <c r="DL339" s="17"/>
      <c r="DM339" s="17"/>
      <c r="DY339" s="21"/>
      <c r="DZ339" s="58"/>
      <c r="EA339" s="21"/>
      <c r="EB339" s="21"/>
      <c r="EC339" s="17"/>
      <c r="ED339" s="17"/>
      <c r="EE339" s="17"/>
      <c r="EF339" s="17"/>
    </row>
    <row r="340" spans="1:142" ht="30" x14ac:dyDescent="0.25">
      <c r="A340" s="128" t="s">
        <v>1546</v>
      </c>
      <c r="B340" s="128"/>
      <c r="C340" s="128"/>
      <c r="D340" s="118">
        <v>516229</v>
      </c>
      <c r="E340" s="116"/>
      <c r="F340" s="117"/>
      <c r="G340" s="202" t="s">
        <v>1437</v>
      </c>
      <c r="H340" s="95" t="s">
        <v>6</v>
      </c>
      <c r="I340" s="139" t="s">
        <v>962</v>
      </c>
      <c r="J340" s="93" t="s">
        <v>276</v>
      </c>
      <c r="K340" s="101">
        <v>4800</v>
      </c>
      <c r="L340" s="101" t="s">
        <v>1287</v>
      </c>
      <c r="M340" s="17" t="s">
        <v>1059</v>
      </c>
      <c r="N340" s="104" t="s">
        <v>1060</v>
      </c>
      <c r="O340" s="17" t="s">
        <v>1547</v>
      </c>
      <c r="P340" s="17" t="s">
        <v>1548</v>
      </c>
      <c r="Q340" s="101" t="s">
        <v>641</v>
      </c>
      <c r="R340" s="101"/>
      <c r="S340" s="197"/>
      <c r="T340" s="17" t="s">
        <v>13</v>
      </c>
      <c r="U340" s="17" t="s">
        <v>1095</v>
      </c>
      <c r="V340" s="17" t="s">
        <v>1095</v>
      </c>
      <c r="W340" s="17" t="s">
        <v>1095</v>
      </c>
      <c r="X340" s="17" t="s">
        <v>1095</v>
      </c>
      <c r="Y340" s="21">
        <v>0</v>
      </c>
      <c r="Z340" s="21">
        <v>0</v>
      </c>
      <c r="AA340" s="21">
        <v>0</v>
      </c>
      <c r="AB340" s="21">
        <v>0</v>
      </c>
      <c r="AC340" s="21">
        <v>0</v>
      </c>
      <c r="AD340" s="21">
        <v>0</v>
      </c>
      <c r="AE340" s="93" t="s">
        <v>1287</v>
      </c>
      <c r="AF340" s="58" t="s">
        <v>129</v>
      </c>
      <c r="AG340" s="58"/>
      <c r="AH340" s="58"/>
      <c r="AI340" s="111" t="s">
        <v>130</v>
      </c>
      <c r="AJ340" s="21">
        <f t="shared" si="215"/>
        <v>0</v>
      </c>
      <c r="AK340" s="58" t="s">
        <v>13</v>
      </c>
      <c r="AL340" s="58" t="s">
        <v>13</v>
      </c>
      <c r="AM340" s="58" t="s">
        <v>13</v>
      </c>
      <c r="AN340" s="58" t="s">
        <v>13</v>
      </c>
      <c r="AO340" s="58" t="s">
        <v>13</v>
      </c>
      <c r="AP340" s="58" t="s">
        <v>13</v>
      </c>
      <c r="AQ340" s="58" t="s">
        <v>13</v>
      </c>
      <c r="AR340" s="58" t="s">
        <v>13</v>
      </c>
      <c r="AS340" s="58" t="s">
        <v>13</v>
      </c>
      <c r="AT340" s="58" t="s">
        <v>13</v>
      </c>
      <c r="AU340" s="58" t="s">
        <v>13</v>
      </c>
      <c r="AV340" s="58" t="s">
        <v>13</v>
      </c>
      <c r="AW340" s="58" t="s">
        <v>13</v>
      </c>
      <c r="AX340" s="58" t="s">
        <v>13</v>
      </c>
      <c r="AY340" s="58" t="s">
        <v>13</v>
      </c>
      <c r="AZ340" s="58" t="s">
        <v>13</v>
      </c>
      <c r="BA340" s="58" t="s">
        <v>13</v>
      </c>
      <c r="BB340" s="58" t="s">
        <v>13</v>
      </c>
      <c r="BC340" s="58" t="s">
        <v>13</v>
      </c>
      <c r="BD340" s="58" t="s">
        <v>13</v>
      </c>
      <c r="BE340" s="58" t="s">
        <v>13</v>
      </c>
      <c r="BF340" s="58" t="s">
        <v>13</v>
      </c>
      <c r="BG340" s="58" t="s">
        <v>13</v>
      </c>
      <c r="BH340" s="58" t="s">
        <v>13</v>
      </c>
      <c r="BI340" s="58" t="s">
        <v>13</v>
      </c>
      <c r="BJ340" s="58" t="s">
        <v>13</v>
      </c>
      <c r="BK340" s="58" t="s">
        <v>13</v>
      </c>
      <c r="BL340" s="17" t="s">
        <v>964</v>
      </c>
      <c r="BM340" s="21">
        <v>0</v>
      </c>
      <c r="BN340" s="21">
        <v>0</v>
      </c>
      <c r="BO340" s="21">
        <v>0</v>
      </c>
      <c r="BP340" s="31">
        <f t="shared" si="200"/>
        <v>0</v>
      </c>
      <c r="BQ340" s="31">
        <f t="shared" si="200"/>
        <v>0</v>
      </c>
      <c r="BR340" s="58">
        <f>Table1[[#This Row],[Check 2 Students Total]]*Table1[[#This Row],[Summer 2018 Price Check]]</f>
        <v>0</v>
      </c>
      <c r="BS340" s="21">
        <v>0</v>
      </c>
      <c r="BT340" s="21">
        <v>0</v>
      </c>
      <c r="BU340" s="21">
        <v>0</v>
      </c>
      <c r="BV340" s="21">
        <v>0</v>
      </c>
      <c r="BW340" s="21">
        <v>0</v>
      </c>
      <c r="BX340" s="115">
        <f>Table1[[#This Row],[Summer 2018 Price Check]]*Table1[[#This Row],[Spring 2019 Students]]</f>
        <v>0</v>
      </c>
      <c r="BY340" s="31">
        <f t="shared" si="205"/>
        <v>0</v>
      </c>
      <c r="BZ340" s="58">
        <f t="shared" si="206"/>
        <v>0</v>
      </c>
      <c r="CA340" s="17" t="s">
        <v>964</v>
      </c>
      <c r="CB340" s="21">
        <v>0</v>
      </c>
      <c r="CC340" s="21">
        <v>0</v>
      </c>
      <c r="CD340" s="21">
        <v>0</v>
      </c>
      <c r="CE340" s="21">
        <f t="shared" si="214"/>
        <v>0</v>
      </c>
      <c r="CF340" s="21">
        <v>0</v>
      </c>
      <c r="CG340" s="115">
        <v>0</v>
      </c>
      <c r="CH340" s="93" t="s">
        <v>1287</v>
      </c>
      <c r="CI340" s="114">
        <f>IF(Table1[[#This Row],[Check 3 Status]]="Continued", Table1[[#This Row],[Check 3 Students Summer]], 0)</f>
        <v>0</v>
      </c>
      <c r="CJ340" s="115">
        <f>Table1[[#This Row],[Check 3 Per Student Savings]]*CI340</f>
        <v>0</v>
      </c>
      <c r="CK340" s="114">
        <f>IF(Table1[[#This Row],[Check 3 Status]]="Continued", Table1[[#This Row],[Check 3 Students Fall]], 0)</f>
        <v>0</v>
      </c>
      <c r="CL340" s="115">
        <f>Table1[[#This Row],[Check 3 Per Student Savings]]*CK340</f>
        <v>0</v>
      </c>
      <c r="CM340" s="114">
        <f>IF(Table1[[#This Row],[Check 3 Status]]="Continued", Table1[[#This Row],[Check 3 Students Spring]], 0)</f>
        <v>0</v>
      </c>
      <c r="CN340" s="115">
        <f>Table1[[#This Row],[Check 3 Per Student Savings]]*CM340</f>
        <v>0</v>
      </c>
      <c r="CO340" s="114">
        <f t="shared" si="208"/>
        <v>0</v>
      </c>
      <c r="CP340" s="115">
        <f t="shared" si="209"/>
        <v>0</v>
      </c>
      <c r="CQ340" s="115" t="s">
        <v>964</v>
      </c>
      <c r="CR340" s="114">
        <v>0</v>
      </c>
      <c r="CS340" s="114">
        <v>0</v>
      </c>
      <c r="CT340" s="114">
        <v>0</v>
      </c>
      <c r="CU340" s="114">
        <f t="shared" si="210"/>
        <v>0</v>
      </c>
      <c r="CV340" s="115">
        <v>0</v>
      </c>
      <c r="CW340" s="115">
        <f t="shared" si="211"/>
        <v>0</v>
      </c>
      <c r="CX340" s="232" t="s">
        <v>1287</v>
      </c>
      <c r="CY340" s="21">
        <f>IF(Table1[[#This Row],[Check 4 Status]]="Continued", Table1[[#This Row],[Check 4 Students Summer]], 0)</f>
        <v>0</v>
      </c>
      <c r="CZ340" s="58">
        <f>Table1[[#This Row],[Check 4 Per Student Savings]]*CY340</f>
        <v>0</v>
      </c>
      <c r="DA340" s="114">
        <f>IF(Table1[[#This Row],[Check 4 Status]]="Continued", Table1[[#This Row],[Check 4 Students Fall]], 0)</f>
        <v>0</v>
      </c>
      <c r="DB340" s="115">
        <f>Table1[[#This Row],[Check 4 Per Student Savings]]*DA340</f>
        <v>0</v>
      </c>
      <c r="DC340" s="21">
        <f>IF(Table1[[#This Row],[Check 4 Status]]="Continued", Table1[[#This Row],[Check 4 Students Spring]], 0)</f>
        <v>0</v>
      </c>
      <c r="DD340" s="58">
        <f>Table1[[#This Row],[Check 4 Per Student Savings]]*DC340</f>
        <v>0</v>
      </c>
      <c r="DE340" s="58">
        <f t="shared" si="212"/>
        <v>0</v>
      </c>
      <c r="DF340" s="58">
        <f t="shared" si="213"/>
        <v>0</v>
      </c>
      <c r="DG340" s="21">
        <v>0</v>
      </c>
      <c r="DH340" s="21">
        <v>0</v>
      </c>
      <c r="DI340" s="21">
        <v>0</v>
      </c>
      <c r="DJ340" s="17"/>
      <c r="DK340" s="17"/>
      <c r="DL340" s="17"/>
      <c r="DM340" s="17"/>
      <c r="DY340" s="21"/>
      <c r="DZ340" s="58"/>
      <c r="EA340" s="21"/>
      <c r="EB340" s="21"/>
      <c r="EC340" s="17"/>
      <c r="ED340" s="17"/>
      <c r="EE340" s="17"/>
      <c r="EF340" s="17"/>
    </row>
    <row r="341" spans="1:142" ht="30" x14ac:dyDescent="0.25">
      <c r="A341" s="128" t="s">
        <v>1549</v>
      </c>
      <c r="B341" s="128"/>
      <c r="C341" s="128"/>
      <c r="D341" s="118">
        <v>516217</v>
      </c>
      <c r="E341" s="116"/>
      <c r="F341" s="117"/>
      <c r="G341" s="202" t="s">
        <v>1437</v>
      </c>
      <c r="H341" s="95" t="s">
        <v>6</v>
      </c>
      <c r="I341" s="139" t="s">
        <v>962</v>
      </c>
      <c r="J341" s="93" t="s">
        <v>236</v>
      </c>
      <c r="K341" s="101">
        <v>4800</v>
      </c>
      <c r="L341" s="101" t="s">
        <v>1287</v>
      </c>
      <c r="M341" s="17" t="s">
        <v>1550</v>
      </c>
      <c r="N341" s="104" t="s">
        <v>1551</v>
      </c>
      <c r="O341" s="17" t="s">
        <v>1552</v>
      </c>
      <c r="P341" s="17" t="s">
        <v>1553</v>
      </c>
      <c r="Q341" s="101" t="s">
        <v>304</v>
      </c>
      <c r="R341" s="101"/>
      <c r="S341" s="197"/>
      <c r="T341" s="17" t="s">
        <v>13</v>
      </c>
      <c r="U341" s="17" t="s">
        <v>1095</v>
      </c>
      <c r="V341" s="17" t="s">
        <v>1095</v>
      </c>
      <c r="W341" s="17" t="s">
        <v>1095</v>
      </c>
      <c r="X341" s="17" t="s">
        <v>1095</v>
      </c>
      <c r="Y341" s="21">
        <v>0</v>
      </c>
      <c r="Z341" s="21">
        <v>0</v>
      </c>
      <c r="AA341" s="21">
        <v>0</v>
      </c>
      <c r="AB341" s="21">
        <v>0</v>
      </c>
      <c r="AC341" s="21">
        <v>0</v>
      </c>
      <c r="AD341" s="21">
        <v>0</v>
      </c>
      <c r="AE341" s="93" t="s">
        <v>1287</v>
      </c>
      <c r="AF341" s="58" t="s">
        <v>129</v>
      </c>
      <c r="AG341" s="58"/>
      <c r="AH341" s="58"/>
      <c r="AI341" s="111" t="s">
        <v>130</v>
      </c>
      <c r="AJ341" s="21">
        <f t="shared" si="215"/>
        <v>0</v>
      </c>
      <c r="AK341" s="58" t="s">
        <v>13</v>
      </c>
      <c r="AL341" s="58" t="s">
        <v>13</v>
      </c>
      <c r="AM341" s="58" t="s">
        <v>13</v>
      </c>
      <c r="AN341" s="58" t="s">
        <v>13</v>
      </c>
      <c r="AO341" s="58" t="s">
        <v>13</v>
      </c>
      <c r="AP341" s="58" t="s">
        <v>13</v>
      </c>
      <c r="AQ341" s="58" t="s">
        <v>13</v>
      </c>
      <c r="AR341" s="58" t="s">
        <v>13</v>
      </c>
      <c r="AS341" s="58" t="s">
        <v>13</v>
      </c>
      <c r="AT341" s="58" t="s">
        <v>13</v>
      </c>
      <c r="AU341" s="58" t="s">
        <v>13</v>
      </c>
      <c r="AV341" s="58" t="s">
        <v>13</v>
      </c>
      <c r="AW341" s="58" t="s">
        <v>13</v>
      </c>
      <c r="AX341" s="58" t="s">
        <v>13</v>
      </c>
      <c r="AY341" s="58" t="s">
        <v>13</v>
      </c>
      <c r="AZ341" s="58" t="s">
        <v>13</v>
      </c>
      <c r="BA341" s="58" t="s">
        <v>13</v>
      </c>
      <c r="BB341" s="58" t="s">
        <v>13</v>
      </c>
      <c r="BC341" s="58" t="s">
        <v>13</v>
      </c>
      <c r="BD341" s="58" t="s">
        <v>13</v>
      </c>
      <c r="BE341" s="58" t="s">
        <v>13</v>
      </c>
      <c r="BF341" s="58" t="s">
        <v>13</v>
      </c>
      <c r="BG341" s="58" t="s">
        <v>13</v>
      </c>
      <c r="BH341" s="58" t="s">
        <v>13</v>
      </c>
      <c r="BI341" s="58" t="s">
        <v>13</v>
      </c>
      <c r="BJ341" s="58" t="s">
        <v>13</v>
      </c>
      <c r="BK341" s="58" t="s">
        <v>13</v>
      </c>
      <c r="BL341" s="17" t="s">
        <v>964</v>
      </c>
      <c r="BM341" s="21">
        <v>0</v>
      </c>
      <c r="BN341" s="21">
        <v>0</v>
      </c>
      <c r="BO341" s="21">
        <v>0</v>
      </c>
      <c r="BP341" s="31">
        <f t="shared" si="200"/>
        <v>0</v>
      </c>
      <c r="BQ341" s="31">
        <f t="shared" si="200"/>
        <v>0</v>
      </c>
      <c r="BR341" s="58">
        <f>Table1[[#This Row],[Check 2 Students Total]]*Table1[[#This Row],[Summer 2018 Price Check]]</f>
        <v>0</v>
      </c>
      <c r="BS341" s="21">
        <v>0</v>
      </c>
      <c r="BT341" s="21">
        <v>0</v>
      </c>
      <c r="BU341" s="21">
        <v>0</v>
      </c>
      <c r="BV341" s="21">
        <v>0</v>
      </c>
      <c r="BW341" s="21">
        <v>0</v>
      </c>
      <c r="BX341" s="115">
        <f>Table1[[#This Row],[Summer 2018 Price Check]]*Table1[[#This Row],[Spring 2019 Students]]</f>
        <v>0</v>
      </c>
      <c r="BY341" s="31">
        <f t="shared" si="205"/>
        <v>0</v>
      </c>
      <c r="BZ341" s="58">
        <f t="shared" si="206"/>
        <v>0</v>
      </c>
      <c r="CA341" s="17" t="s">
        <v>964</v>
      </c>
      <c r="CB341" s="21">
        <v>0</v>
      </c>
      <c r="CC341" s="21">
        <v>0</v>
      </c>
      <c r="CD341" s="21">
        <v>0</v>
      </c>
      <c r="CE341" s="21">
        <f t="shared" si="214"/>
        <v>0</v>
      </c>
      <c r="CF341" s="21">
        <v>0</v>
      </c>
      <c r="CG341" s="115">
        <v>0</v>
      </c>
      <c r="CH341" s="93" t="s">
        <v>1287</v>
      </c>
      <c r="CI341" s="114">
        <f>IF(Table1[[#This Row],[Check 3 Status]]="Continued", Table1[[#This Row],[Check 3 Students Summer]], 0)</f>
        <v>0</v>
      </c>
      <c r="CJ341" s="115">
        <f>Table1[[#This Row],[Check 3 Per Student Savings]]*CI341</f>
        <v>0</v>
      </c>
      <c r="CK341" s="114">
        <f>IF(Table1[[#This Row],[Check 3 Status]]="Continued", Table1[[#This Row],[Check 3 Students Fall]], 0)</f>
        <v>0</v>
      </c>
      <c r="CL341" s="115">
        <f>Table1[[#This Row],[Check 3 Per Student Savings]]*CK341</f>
        <v>0</v>
      </c>
      <c r="CM341" s="114">
        <f>IF(Table1[[#This Row],[Check 3 Status]]="Continued", Table1[[#This Row],[Check 3 Students Spring]], 0)</f>
        <v>0</v>
      </c>
      <c r="CN341" s="115">
        <f>Table1[[#This Row],[Check 3 Per Student Savings]]*CM341</f>
        <v>0</v>
      </c>
      <c r="CO341" s="114">
        <f t="shared" si="208"/>
        <v>0</v>
      </c>
      <c r="CP341" s="115">
        <f t="shared" si="209"/>
        <v>0</v>
      </c>
      <c r="CQ341" s="115" t="s">
        <v>964</v>
      </c>
      <c r="CR341" s="114">
        <v>0</v>
      </c>
      <c r="CS341" s="114">
        <v>0</v>
      </c>
      <c r="CT341" s="114">
        <v>0</v>
      </c>
      <c r="CU341" s="114">
        <f t="shared" si="210"/>
        <v>0</v>
      </c>
      <c r="CV341" s="115">
        <v>0</v>
      </c>
      <c r="CW341" s="115">
        <f t="shared" si="211"/>
        <v>0</v>
      </c>
      <c r="CX341" s="232" t="s">
        <v>1287</v>
      </c>
      <c r="CY341" s="21">
        <f>IF(Table1[[#This Row],[Check 4 Status]]="Continued", Table1[[#This Row],[Check 4 Students Summer]], 0)</f>
        <v>0</v>
      </c>
      <c r="CZ341" s="58">
        <f>Table1[[#This Row],[Check 4 Per Student Savings]]*CY341</f>
        <v>0</v>
      </c>
      <c r="DA341" s="114">
        <f>IF(Table1[[#This Row],[Check 4 Status]]="Continued", Table1[[#This Row],[Check 4 Students Fall]], 0)</f>
        <v>0</v>
      </c>
      <c r="DB341" s="115">
        <f>Table1[[#This Row],[Check 4 Per Student Savings]]*DA341</f>
        <v>0</v>
      </c>
      <c r="DC341" s="21">
        <f>IF(Table1[[#This Row],[Check 4 Status]]="Continued", Table1[[#This Row],[Check 4 Students Spring]], 0)</f>
        <v>0</v>
      </c>
      <c r="DD341" s="58">
        <f>Table1[[#This Row],[Check 4 Per Student Savings]]*DC341</f>
        <v>0</v>
      </c>
      <c r="DE341" s="58">
        <f t="shared" si="212"/>
        <v>0</v>
      </c>
      <c r="DF341" s="58">
        <f t="shared" si="213"/>
        <v>0</v>
      </c>
      <c r="DG341" s="21">
        <v>0</v>
      </c>
      <c r="DH341" s="21">
        <v>0</v>
      </c>
      <c r="DI341" s="21">
        <v>0</v>
      </c>
      <c r="DJ341" s="17"/>
      <c r="DK341" s="17"/>
      <c r="DL341" s="17"/>
      <c r="DM341" s="17"/>
      <c r="DY341" s="21"/>
      <c r="DZ341" s="58"/>
      <c r="EA341" s="21"/>
      <c r="EB341" s="21"/>
      <c r="EC341" s="17"/>
      <c r="ED341" s="17"/>
      <c r="EE341" s="17"/>
      <c r="EF341" s="17"/>
    </row>
    <row r="342" spans="1:142" ht="30" x14ac:dyDescent="0.25">
      <c r="A342" s="128" t="s">
        <v>1554</v>
      </c>
      <c r="B342" s="128"/>
      <c r="C342" s="128"/>
      <c r="D342" s="118">
        <v>516230</v>
      </c>
      <c r="E342" s="116"/>
      <c r="F342" s="117"/>
      <c r="G342" s="202" t="s">
        <v>1437</v>
      </c>
      <c r="H342" s="95" t="s">
        <v>6</v>
      </c>
      <c r="I342" s="139" t="s">
        <v>962</v>
      </c>
      <c r="J342" s="93" t="s">
        <v>276</v>
      </c>
      <c r="K342" s="101">
        <v>2000</v>
      </c>
      <c r="L342" s="101" t="s">
        <v>1287</v>
      </c>
      <c r="M342" s="17" t="s">
        <v>1536</v>
      </c>
      <c r="N342" s="104" t="s">
        <v>827</v>
      </c>
      <c r="O342" s="17" t="s">
        <v>1555</v>
      </c>
      <c r="P342" s="17" t="s">
        <v>980</v>
      </c>
      <c r="Q342" s="101" t="s">
        <v>714</v>
      </c>
      <c r="R342" s="101"/>
      <c r="S342" s="197"/>
      <c r="T342" s="17" t="s">
        <v>13</v>
      </c>
      <c r="U342" s="17" t="s">
        <v>1095</v>
      </c>
      <c r="V342" s="17" t="s">
        <v>1095</v>
      </c>
      <c r="W342" s="17" t="s">
        <v>1095</v>
      </c>
      <c r="X342" s="17" t="s">
        <v>1095</v>
      </c>
      <c r="Y342" s="21">
        <v>0</v>
      </c>
      <c r="Z342" s="21">
        <v>0</v>
      </c>
      <c r="AA342" s="21">
        <v>0</v>
      </c>
      <c r="AB342" s="21">
        <v>0</v>
      </c>
      <c r="AC342" s="21">
        <v>0</v>
      </c>
      <c r="AD342" s="21">
        <v>0</v>
      </c>
      <c r="AE342" s="93" t="s">
        <v>1287</v>
      </c>
      <c r="AF342" s="58" t="s">
        <v>129</v>
      </c>
      <c r="AG342" s="58"/>
      <c r="AH342" s="58"/>
      <c r="AI342" s="111" t="s">
        <v>130</v>
      </c>
      <c r="AJ342" s="21">
        <f t="shared" si="215"/>
        <v>0</v>
      </c>
      <c r="AK342" s="58" t="s">
        <v>13</v>
      </c>
      <c r="AL342" s="58" t="s">
        <v>13</v>
      </c>
      <c r="AM342" s="58" t="s">
        <v>13</v>
      </c>
      <c r="AN342" s="58" t="s">
        <v>13</v>
      </c>
      <c r="AO342" s="58" t="s">
        <v>13</v>
      </c>
      <c r="AP342" s="58" t="s">
        <v>13</v>
      </c>
      <c r="AQ342" s="58" t="s">
        <v>13</v>
      </c>
      <c r="AR342" s="58" t="s">
        <v>13</v>
      </c>
      <c r="AS342" s="58" t="s">
        <v>13</v>
      </c>
      <c r="AT342" s="58" t="s">
        <v>13</v>
      </c>
      <c r="AU342" s="58" t="s">
        <v>13</v>
      </c>
      <c r="AV342" s="58" t="s">
        <v>13</v>
      </c>
      <c r="AW342" s="58" t="s">
        <v>13</v>
      </c>
      <c r="AX342" s="58" t="s">
        <v>13</v>
      </c>
      <c r="AY342" s="58" t="s">
        <v>13</v>
      </c>
      <c r="AZ342" s="58" t="s">
        <v>13</v>
      </c>
      <c r="BA342" s="58" t="s">
        <v>13</v>
      </c>
      <c r="BB342" s="58" t="s">
        <v>13</v>
      </c>
      <c r="BC342" s="58" t="s">
        <v>13</v>
      </c>
      <c r="BD342" s="58" t="s">
        <v>13</v>
      </c>
      <c r="BE342" s="58" t="s">
        <v>13</v>
      </c>
      <c r="BF342" s="58" t="s">
        <v>13</v>
      </c>
      <c r="BG342" s="58" t="s">
        <v>13</v>
      </c>
      <c r="BH342" s="58" t="s">
        <v>13</v>
      </c>
      <c r="BI342" s="58" t="s">
        <v>13</v>
      </c>
      <c r="BJ342" s="58" t="s">
        <v>13</v>
      </c>
      <c r="BK342" s="58" t="s">
        <v>13</v>
      </c>
      <c r="BL342" s="17" t="s">
        <v>964</v>
      </c>
      <c r="BM342" s="21">
        <v>0</v>
      </c>
      <c r="BN342" s="21">
        <v>0</v>
      </c>
      <c r="BO342" s="21">
        <v>0</v>
      </c>
      <c r="BP342" s="31">
        <f t="shared" si="200"/>
        <v>0</v>
      </c>
      <c r="BQ342" s="31">
        <f t="shared" si="200"/>
        <v>0</v>
      </c>
      <c r="BR342" s="58">
        <f>Table1[[#This Row],[Check 2 Students Total]]*Table1[[#This Row],[Summer 2018 Price Check]]</f>
        <v>0</v>
      </c>
      <c r="BS342" s="21">
        <v>0</v>
      </c>
      <c r="BT342" s="21">
        <v>0</v>
      </c>
      <c r="BU342" s="21">
        <v>0</v>
      </c>
      <c r="BV342" s="21">
        <v>0</v>
      </c>
      <c r="BW342" s="21">
        <v>0</v>
      </c>
      <c r="BX342" s="115">
        <f>Table1[[#This Row],[Summer 2018 Price Check]]*Table1[[#This Row],[Spring 2019 Students]]</f>
        <v>0</v>
      </c>
      <c r="BY342" s="31">
        <f t="shared" si="205"/>
        <v>0</v>
      </c>
      <c r="BZ342" s="58">
        <f t="shared" si="206"/>
        <v>0</v>
      </c>
      <c r="CA342" s="17" t="s">
        <v>964</v>
      </c>
      <c r="CB342" s="21">
        <v>0</v>
      </c>
      <c r="CC342" s="21">
        <v>0</v>
      </c>
      <c r="CD342" s="21">
        <v>0</v>
      </c>
      <c r="CE342" s="21">
        <f t="shared" si="214"/>
        <v>0</v>
      </c>
      <c r="CF342" s="21">
        <v>0</v>
      </c>
      <c r="CG342" s="115">
        <v>0</v>
      </c>
      <c r="CH342" s="93" t="s">
        <v>1287</v>
      </c>
      <c r="CI342" s="114">
        <f>IF(Table1[[#This Row],[Check 3 Status]]="Continued", Table1[[#This Row],[Check 3 Students Summer]], 0)</f>
        <v>0</v>
      </c>
      <c r="CJ342" s="115">
        <f>Table1[[#This Row],[Check 3 Per Student Savings]]*CI342</f>
        <v>0</v>
      </c>
      <c r="CK342" s="114">
        <f>IF(Table1[[#This Row],[Check 3 Status]]="Continued", Table1[[#This Row],[Check 3 Students Fall]], 0)</f>
        <v>0</v>
      </c>
      <c r="CL342" s="115">
        <f>Table1[[#This Row],[Check 3 Per Student Savings]]*CK342</f>
        <v>0</v>
      </c>
      <c r="CM342" s="114">
        <f>IF(Table1[[#This Row],[Check 3 Status]]="Continued", Table1[[#This Row],[Check 3 Students Spring]], 0)</f>
        <v>0</v>
      </c>
      <c r="CN342" s="115">
        <f>Table1[[#This Row],[Check 3 Per Student Savings]]*CM342</f>
        <v>0</v>
      </c>
      <c r="CO342" s="114">
        <f t="shared" si="208"/>
        <v>0</v>
      </c>
      <c r="CP342" s="115">
        <f t="shared" si="209"/>
        <v>0</v>
      </c>
      <c r="CQ342" s="115" t="s">
        <v>964</v>
      </c>
      <c r="CR342" s="114">
        <v>0</v>
      </c>
      <c r="CS342" s="114">
        <v>0</v>
      </c>
      <c r="CT342" s="114">
        <v>0</v>
      </c>
      <c r="CU342" s="114">
        <f t="shared" si="210"/>
        <v>0</v>
      </c>
      <c r="CV342" s="115">
        <v>0</v>
      </c>
      <c r="CW342" s="115">
        <f t="shared" si="211"/>
        <v>0</v>
      </c>
      <c r="CX342" s="232" t="s">
        <v>1287</v>
      </c>
      <c r="CY342" s="21">
        <f>IF(Table1[[#This Row],[Check 4 Status]]="Continued", Table1[[#This Row],[Check 4 Students Summer]], 0)</f>
        <v>0</v>
      </c>
      <c r="CZ342" s="58">
        <f>Table1[[#This Row],[Check 4 Per Student Savings]]*CY342</f>
        <v>0</v>
      </c>
      <c r="DA342" s="114">
        <f>IF(Table1[[#This Row],[Check 4 Status]]="Continued", Table1[[#This Row],[Check 4 Students Fall]], 0)</f>
        <v>0</v>
      </c>
      <c r="DB342" s="115">
        <f>Table1[[#This Row],[Check 4 Per Student Savings]]*DA342</f>
        <v>0</v>
      </c>
      <c r="DC342" s="21">
        <f>IF(Table1[[#This Row],[Check 4 Status]]="Continued", Table1[[#This Row],[Check 4 Students Spring]], 0)</f>
        <v>0</v>
      </c>
      <c r="DD342" s="58">
        <f>Table1[[#This Row],[Check 4 Per Student Savings]]*DC342</f>
        <v>0</v>
      </c>
      <c r="DE342" s="58">
        <f t="shared" si="212"/>
        <v>0</v>
      </c>
      <c r="DF342" s="58">
        <f t="shared" si="213"/>
        <v>0</v>
      </c>
      <c r="DG342" s="21">
        <v>0</v>
      </c>
      <c r="DH342" s="21">
        <v>0</v>
      </c>
      <c r="DI342" s="21">
        <v>0</v>
      </c>
      <c r="DJ342" s="17"/>
      <c r="DK342" s="17"/>
      <c r="DL342" s="17"/>
      <c r="DM342" s="17"/>
      <c r="DY342" s="21"/>
      <c r="DZ342" s="58"/>
      <c r="EA342" s="21"/>
      <c r="EB342" s="21"/>
      <c r="EC342" s="17"/>
      <c r="ED342" s="17"/>
      <c r="EE342" s="17"/>
      <c r="EF342" s="17"/>
    </row>
    <row r="343" spans="1:142" x14ac:dyDescent="0.25">
      <c r="A343" s="128" t="s">
        <v>1556</v>
      </c>
      <c r="B343" s="128"/>
      <c r="C343" s="128"/>
      <c r="D343" s="118">
        <v>516208</v>
      </c>
      <c r="E343" s="116"/>
      <c r="F343" s="117"/>
      <c r="G343" s="202" t="s">
        <v>1437</v>
      </c>
      <c r="H343" s="95" t="s">
        <v>6</v>
      </c>
      <c r="I343" s="139" t="s">
        <v>962</v>
      </c>
      <c r="J343" s="93" t="s">
        <v>166</v>
      </c>
      <c r="K343" s="101">
        <v>4800</v>
      </c>
      <c r="L343" s="101" t="s">
        <v>1287</v>
      </c>
      <c r="M343" s="17" t="s">
        <v>1557</v>
      </c>
      <c r="N343" s="104" t="s">
        <v>1558</v>
      </c>
      <c r="O343" s="17" t="s">
        <v>486</v>
      </c>
      <c r="P343" s="17" t="s">
        <v>487</v>
      </c>
      <c r="Q343" s="101" t="s">
        <v>488</v>
      </c>
      <c r="R343" s="101"/>
      <c r="S343" s="197"/>
      <c r="T343" s="17" t="s">
        <v>13</v>
      </c>
      <c r="U343" s="17" t="s">
        <v>1095</v>
      </c>
      <c r="V343" s="17" t="s">
        <v>1095</v>
      </c>
      <c r="W343" s="17" t="s">
        <v>1095</v>
      </c>
      <c r="X343" s="17" t="s">
        <v>1095</v>
      </c>
      <c r="Y343" s="21">
        <v>0</v>
      </c>
      <c r="Z343" s="21">
        <v>0</v>
      </c>
      <c r="AA343" s="21">
        <v>0</v>
      </c>
      <c r="AB343" s="21">
        <v>0</v>
      </c>
      <c r="AC343" s="21">
        <v>0</v>
      </c>
      <c r="AD343" s="21">
        <v>0</v>
      </c>
      <c r="AE343" s="93" t="s">
        <v>1287</v>
      </c>
      <c r="AF343" s="58" t="s">
        <v>129</v>
      </c>
      <c r="AG343" s="58"/>
      <c r="AH343" s="58"/>
      <c r="AI343" s="111" t="s">
        <v>130</v>
      </c>
      <c r="AJ343" s="21">
        <f t="shared" si="215"/>
        <v>0</v>
      </c>
      <c r="AK343" s="58" t="s">
        <v>13</v>
      </c>
      <c r="AL343" s="58" t="s">
        <v>13</v>
      </c>
      <c r="AM343" s="58" t="s">
        <v>13</v>
      </c>
      <c r="AN343" s="58" t="s">
        <v>13</v>
      </c>
      <c r="AO343" s="58" t="s">
        <v>13</v>
      </c>
      <c r="AP343" s="58" t="s">
        <v>13</v>
      </c>
      <c r="AQ343" s="58" t="s">
        <v>13</v>
      </c>
      <c r="AR343" s="58" t="s">
        <v>13</v>
      </c>
      <c r="AS343" s="58" t="s">
        <v>13</v>
      </c>
      <c r="AT343" s="58" t="s">
        <v>13</v>
      </c>
      <c r="AU343" s="58" t="s">
        <v>13</v>
      </c>
      <c r="AV343" s="58" t="s">
        <v>13</v>
      </c>
      <c r="AW343" s="58" t="s">
        <v>13</v>
      </c>
      <c r="AX343" s="58" t="s">
        <v>13</v>
      </c>
      <c r="AY343" s="58" t="s">
        <v>13</v>
      </c>
      <c r="AZ343" s="58" t="s">
        <v>13</v>
      </c>
      <c r="BA343" s="58" t="s">
        <v>13</v>
      </c>
      <c r="BB343" s="58" t="s">
        <v>13</v>
      </c>
      <c r="BC343" s="58" t="s">
        <v>13</v>
      </c>
      <c r="BD343" s="58" t="s">
        <v>13</v>
      </c>
      <c r="BE343" s="58" t="s">
        <v>13</v>
      </c>
      <c r="BF343" s="58" t="s">
        <v>13</v>
      </c>
      <c r="BG343" s="58" t="s">
        <v>13</v>
      </c>
      <c r="BH343" s="58" t="s">
        <v>13</v>
      </c>
      <c r="BI343" s="58" t="s">
        <v>13</v>
      </c>
      <c r="BJ343" s="58" t="s">
        <v>13</v>
      </c>
      <c r="BK343" s="58" t="s">
        <v>13</v>
      </c>
      <c r="BL343" s="17" t="s">
        <v>964</v>
      </c>
      <c r="BM343" s="21">
        <v>0</v>
      </c>
      <c r="BN343" s="21">
        <v>0</v>
      </c>
      <c r="BO343" s="21">
        <v>0</v>
      </c>
      <c r="BP343" s="31">
        <f t="shared" si="200"/>
        <v>0</v>
      </c>
      <c r="BQ343" s="31">
        <f t="shared" si="200"/>
        <v>0</v>
      </c>
      <c r="BR343" s="58">
        <f>Table1[[#This Row],[Check 2 Students Total]]*Table1[[#This Row],[Summer 2018 Price Check]]</f>
        <v>0</v>
      </c>
      <c r="BS343" s="21">
        <v>0</v>
      </c>
      <c r="BT343" s="21">
        <v>0</v>
      </c>
      <c r="BU343" s="21">
        <v>0</v>
      </c>
      <c r="BV343" s="21">
        <v>0</v>
      </c>
      <c r="BW343" s="21">
        <v>0</v>
      </c>
      <c r="BX343" s="115">
        <f>Table1[[#This Row],[Summer 2018 Price Check]]*Table1[[#This Row],[Spring 2019 Students]]</f>
        <v>0</v>
      </c>
      <c r="BY343" s="31">
        <f t="shared" si="205"/>
        <v>0</v>
      </c>
      <c r="BZ343" s="58">
        <f t="shared" si="206"/>
        <v>0</v>
      </c>
      <c r="CA343" s="17" t="s">
        <v>964</v>
      </c>
      <c r="CB343" s="21">
        <v>0</v>
      </c>
      <c r="CC343" s="21">
        <v>0</v>
      </c>
      <c r="CD343" s="21">
        <v>0</v>
      </c>
      <c r="CE343" s="21">
        <f t="shared" si="214"/>
        <v>0</v>
      </c>
      <c r="CF343" s="21">
        <v>0</v>
      </c>
      <c r="CG343" s="115">
        <v>0</v>
      </c>
      <c r="CH343" s="93" t="s">
        <v>1287</v>
      </c>
      <c r="CI343" s="114">
        <f>IF(Table1[[#This Row],[Check 3 Status]]="Continued", Table1[[#This Row],[Check 3 Students Summer]], 0)</f>
        <v>0</v>
      </c>
      <c r="CJ343" s="115">
        <f>Table1[[#This Row],[Check 3 Per Student Savings]]*CI343</f>
        <v>0</v>
      </c>
      <c r="CK343" s="114">
        <f>IF(Table1[[#This Row],[Check 3 Status]]="Continued", Table1[[#This Row],[Check 3 Students Fall]], 0)</f>
        <v>0</v>
      </c>
      <c r="CL343" s="115">
        <f>Table1[[#This Row],[Check 3 Per Student Savings]]*CK343</f>
        <v>0</v>
      </c>
      <c r="CM343" s="114">
        <f>IF(Table1[[#This Row],[Check 3 Status]]="Continued", Table1[[#This Row],[Check 3 Students Spring]], 0)</f>
        <v>0</v>
      </c>
      <c r="CN343" s="115">
        <f>Table1[[#This Row],[Check 3 Per Student Savings]]*CM343</f>
        <v>0</v>
      </c>
      <c r="CO343" s="114">
        <f t="shared" si="208"/>
        <v>0</v>
      </c>
      <c r="CP343" s="115">
        <f t="shared" si="209"/>
        <v>0</v>
      </c>
      <c r="CQ343" s="115" t="s">
        <v>964</v>
      </c>
      <c r="CR343" s="114">
        <v>0</v>
      </c>
      <c r="CS343" s="114">
        <v>0</v>
      </c>
      <c r="CT343" s="114">
        <v>0</v>
      </c>
      <c r="CU343" s="114">
        <f t="shared" si="210"/>
        <v>0</v>
      </c>
      <c r="CV343" s="115">
        <v>0</v>
      </c>
      <c r="CW343" s="115">
        <f t="shared" si="211"/>
        <v>0</v>
      </c>
      <c r="CX343" s="232" t="s">
        <v>1287</v>
      </c>
      <c r="CY343" s="21">
        <f>IF(Table1[[#This Row],[Check 4 Status]]="Continued", Table1[[#This Row],[Check 4 Students Summer]], 0)</f>
        <v>0</v>
      </c>
      <c r="CZ343" s="58">
        <f>Table1[[#This Row],[Check 4 Per Student Savings]]*CY343</f>
        <v>0</v>
      </c>
      <c r="DA343" s="114">
        <f>IF(Table1[[#This Row],[Check 4 Status]]="Continued", Table1[[#This Row],[Check 4 Students Fall]], 0)</f>
        <v>0</v>
      </c>
      <c r="DB343" s="115">
        <f>Table1[[#This Row],[Check 4 Per Student Savings]]*DA343</f>
        <v>0</v>
      </c>
      <c r="DC343" s="21">
        <f>IF(Table1[[#This Row],[Check 4 Status]]="Continued", Table1[[#This Row],[Check 4 Students Spring]], 0)</f>
        <v>0</v>
      </c>
      <c r="DD343" s="58">
        <f>Table1[[#This Row],[Check 4 Per Student Savings]]*DC343</f>
        <v>0</v>
      </c>
      <c r="DE343" s="58">
        <f t="shared" si="212"/>
        <v>0</v>
      </c>
      <c r="DF343" s="58">
        <f t="shared" si="213"/>
        <v>0</v>
      </c>
      <c r="DG343" s="21">
        <v>0</v>
      </c>
      <c r="DH343" s="21">
        <v>0</v>
      </c>
      <c r="DI343" s="21">
        <v>0</v>
      </c>
      <c r="DJ343" s="17"/>
      <c r="DK343" s="17"/>
      <c r="DL343" s="17"/>
      <c r="DM343" s="17"/>
      <c r="DY343" s="21"/>
      <c r="DZ343" s="58"/>
      <c r="EA343" s="21"/>
      <c r="EB343" s="21"/>
      <c r="EC343" s="17"/>
      <c r="ED343" s="17"/>
      <c r="EE343" s="17"/>
      <c r="EF343" s="17"/>
    </row>
    <row r="344" spans="1:142" ht="30" x14ac:dyDescent="0.25">
      <c r="A344" s="128" t="s">
        <v>1559</v>
      </c>
      <c r="B344" s="128"/>
      <c r="C344" s="128"/>
      <c r="D344" s="118">
        <v>516218</v>
      </c>
      <c r="E344" s="116"/>
      <c r="F344" s="117"/>
      <c r="G344" s="202" t="s">
        <v>1437</v>
      </c>
      <c r="H344" s="95" t="s">
        <v>6</v>
      </c>
      <c r="I344" s="139" t="s">
        <v>962</v>
      </c>
      <c r="J344" s="93" t="s">
        <v>236</v>
      </c>
      <c r="K344" s="101">
        <v>4800</v>
      </c>
      <c r="L344" s="101" t="s">
        <v>1443</v>
      </c>
      <c r="M344" s="17" t="s">
        <v>1550</v>
      </c>
      <c r="N344" s="104" t="s">
        <v>1551</v>
      </c>
      <c r="O344" s="17" t="s">
        <v>1560</v>
      </c>
      <c r="P344" s="17" t="s">
        <v>1561</v>
      </c>
      <c r="Q344" s="101" t="s">
        <v>304</v>
      </c>
      <c r="R344" s="101"/>
      <c r="S344" s="197"/>
      <c r="T344" s="17" t="s">
        <v>13</v>
      </c>
      <c r="U344" s="17" t="s">
        <v>1095</v>
      </c>
      <c r="V344" s="17" t="s">
        <v>1095</v>
      </c>
      <c r="W344" s="17" t="s">
        <v>1095</v>
      </c>
      <c r="X344" s="17" t="s">
        <v>1095</v>
      </c>
      <c r="Y344" s="21">
        <v>0</v>
      </c>
      <c r="Z344" s="21">
        <v>0</v>
      </c>
      <c r="AA344" s="21">
        <v>0</v>
      </c>
      <c r="AB344" s="21">
        <v>0</v>
      </c>
      <c r="AC344" s="21">
        <v>0</v>
      </c>
      <c r="AD344" s="21">
        <v>0</v>
      </c>
      <c r="AE344" s="93" t="s">
        <v>1443</v>
      </c>
      <c r="AF344" s="58" t="s">
        <v>129</v>
      </c>
      <c r="AG344" s="58"/>
      <c r="AH344" s="58"/>
      <c r="AI344" s="111" t="s">
        <v>130</v>
      </c>
      <c r="AJ344" s="21">
        <f t="shared" si="215"/>
        <v>0</v>
      </c>
      <c r="AK344" s="58" t="s">
        <v>13</v>
      </c>
      <c r="AL344" s="58" t="s">
        <v>13</v>
      </c>
      <c r="AM344" s="58" t="s">
        <v>13</v>
      </c>
      <c r="AN344" s="58" t="s">
        <v>13</v>
      </c>
      <c r="AO344" s="58" t="s">
        <v>13</v>
      </c>
      <c r="AP344" s="58" t="s">
        <v>13</v>
      </c>
      <c r="AQ344" s="58" t="s">
        <v>13</v>
      </c>
      <c r="AR344" s="58" t="s">
        <v>13</v>
      </c>
      <c r="AS344" s="58" t="s">
        <v>13</v>
      </c>
      <c r="AT344" s="58" t="s">
        <v>13</v>
      </c>
      <c r="AU344" s="58" t="s">
        <v>13</v>
      </c>
      <c r="AV344" s="58" t="s">
        <v>13</v>
      </c>
      <c r="AW344" s="58" t="s">
        <v>13</v>
      </c>
      <c r="AX344" s="58" t="s">
        <v>13</v>
      </c>
      <c r="AY344" s="58" t="s">
        <v>13</v>
      </c>
      <c r="AZ344" s="58" t="s">
        <v>13</v>
      </c>
      <c r="BA344" s="58" t="s">
        <v>13</v>
      </c>
      <c r="BB344" s="58" t="s">
        <v>13</v>
      </c>
      <c r="BC344" s="58" t="s">
        <v>13</v>
      </c>
      <c r="BD344" s="58" t="s">
        <v>13</v>
      </c>
      <c r="BE344" s="58" t="s">
        <v>13</v>
      </c>
      <c r="BF344" s="58" t="s">
        <v>13</v>
      </c>
      <c r="BG344" s="58" t="s">
        <v>13</v>
      </c>
      <c r="BH344" s="58" t="s">
        <v>13</v>
      </c>
      <c r="BI344" s="58" t="s">
        <v>13</v>
      </c>
      <c r="BJ344" s="58" t="s">
        <v>13</v>
      </c>
      <c r="BK344" s="58" t="s">
        <v>13</v>
      </c>
      <c r="BL344" s="17" t="s">
        <v>964</v>
      </c>
      <c r="BM344" s="21">
        <v>0</v>
      </c>
      <c r="BN344" s="21">
        <v>0</v>
      </c>
      <c r="BO344" s="21">
        <v>0</v>
      </c>
      <c r="BP344" s="31">
        <f t="shared" si="200"/>
        <v>0</v>
      </c>
      <c r="BQ344" s="31">
        <f t="shared" si="200"/>
        <v>0</v>
      </c>
      <c r="BR344" s="58">
        <f>Table1[[#This Row],[Check 2 Students Total]]*Table1[[#This Row],[Summer 2018 Price Check]]</f>
        <v>0</v>
      </c>
      <c r="BS344" s="21">
        <v>0</v>
      </c>
      <c r="BT344" s="21">
        <v>0</v>
      </c>
      <c r="BU344" s="21">
        <v>0</v>
      </c>
      <c r="BV344" s="21">
        <v>0</v>
      </c>
      <c r="BW344" s="21">
        <v>0</v>
      </c>
      <c r="BX344" s="115">
        <f>Table1[[#This Row],[Summer 2018 Price Check]]*Table1[[#This Row],[Spring 2019 Students]]</f>
        <v>0</v>
      </c>
      <c r="BY344" s="31">
        <f t="shared" si="205"/>
        <v>0</v>
      </c>
      <c r="BZ344" s="58">
        <f t="shared" si="206"/>
        <v>0</v>
      </c>
      <c r="CA344" s="17" t="s">
        <v>964</v>
      </c>
      <c r="CB344" s="21">
        <v>0</v>
      </c>
      <c r="CC344" s="21">
        <v>0</v>
      </c>
      <c r="CD344" s="21">
        <v>0</v>
      </c>
      <c r="CE344" s="21">
        <f t="shared" si="214"/>
        <v>0</v>
      </c>
      <c r="CF344" s="21">
        <v>0</v>
      </c>
      <c r="CG344" s="115">
        <v>0</v>
      </c>
      <c r="CH344" s="93" t="s">
        <v>1443</v>
      </c>
      <c r="CI344" s="114">
        <f>IF(Table1[[#This Row],[Check 3 Status]]="Continued", Table1[[#This Row],[Check 3 Students Summer]], 0)</f>
        <v>0</v>
      </c>
      <c r="CJ344" s="115">
        <f>Table1[[#This Row],[Check 3 Per Student Savings]]*CI344</f>
        <v>0</v>
      </c>
      <c r="CK344" s="114">
        <f>IF(Table1[[#This Row],[Check 3 Status]]="Continued", Table1[[#This Row],[Check 3 Students Fall]], 0)</f>
        <v>0</v>
      </c>
      <c r="CL344" s="115">
        <f>Table1[[#This Row],[Check 3 Per Student Savings]]*CK344</f>
        <v>0</v>
      </c>
      <c r="CM344" s="114">
        <f>IF(Table1[[#This Row],[Check 3 Status]]="Continued", Table1[[#This Row],[Check 3 Students Spring]], 0)</f>
        <v>0</v>
      </c>
      <c r="CN344" s="115">
        <f>Table1[[#This Row],[Check 3 Per Student Savings]]*CM344</f>
        <v>0</v>
      </c>
      <c r="CO344" s="114">
        <f t="shared" si="208"/>
        <v>0</v>
      </c>
      <c r="CP344" s="115">
        <f t="shared" si="209"/>
        <v>0</v>
      </c>
      <c r="CQ344" s="115" t="s">
        <v>964</v>
      </c>
      <c r="CR344" s="114">
        <v>0</v>
      </c>
      <c r="CS344" s="114">
        <v>0</v>
      </c>
      <c r="CT344" s="114">
        <v>0</v>
      </c>
      <c r="CU344" s="114">
        <f t="shared" si="210"/>
        <v>0</v>
      </c>
      <c r="CV344" s="115">
        <v>0</v>
      </c>
      <c r="CW344" s="115">
        <f t="shared" si="211"/>
        <v>0</v>
      </c>
      <c r="CX344" s="232" t="s">
        <v>1443</v>
      </c>
      <c r="CY344" s="21">
        <f>IF(Table1[[#This Row],[Check 4 Status]]="Continued", Table1[[#This Row],[Check 4 Students Summer]], 0)</f>
        <v>0</v>
      </c>
      <c r="CZ344" s="58">
        <f>Table1[[#This Row],[Check 4 Per Student Savings]]*CY344</f>
        <v>0</v>
      </c>
      <c r="DA344" s="114">
        <f>IF(Table1[[#This Row],[Check 4 Status]]="Continued", Table1[[#This Row],[Check 4 Students Fall]], 0)</f>
        <v>0</v>
      </c>
      <c r="DB344" s="115">
        <f>Table1[[#This Row],[Check 4 Per Student Savings]]*DA344</f>
        <v>0</v>
      </c>
      <c r="DC344" s="21">
        <f>IF(Table1[[#This Row],[Check 4 Status]]="Continued", Table1[[#This Row],[Check 4 Students Spring]], 0)</f>
        <v>0</v>
      </c>
      <c r="DD344" s="58">
        <f>Table1[[#This Row],[Check 4 Per Student Savings]]*DC344</f>
        <v>0</v>
      </c>
      <c r="DE344" s="58">
        <f t="shared" si="212"/>
        <v>0</v>
      </c>
      <c r="DF344" s="58">
        <f t="shared" si="213"/>
        <v>0</v>
      </c>
      <c r="DG344" s="21">
        <v>0</v>
      </c>
      <c r="DH344" s="21">
        <v>0</v>
      </c>
      <c r="DI344" s="21">
        <v>0</v>
      </c>
      <c r="DJ344" s="17"/>
      <c r="DK344" s="17"/>
      <c r="DL344" s="17"/>
      <c r="DM344" s="17"/>
      <c r="DY344" s="21"/>
      <c r="DZ344" s="58"/>
      <c r="EA344" s="21"/>
      <c r="EB344" s="21"/>
      <c r="EC344" s="17"/>
      <c r="ED344" s="17"/>
      <c r="EE344" s="17"/>
      <c r="EF344" s="17"/>
    </row>
    <row r="345" spans="1:142" ht="30" x14ac:dyDescent="0.25">
      <c r="A345" s="121" t="s">
        <v>1562</v>
      </c>
      <c r="B345" s="121"/>
      <c r="C345" s="121"/>
      <c r="D345" s="118">
        <v>516261</v>
      </c>
      <c r="E345" s="116"/>
      <c r="F345" s="117"/>
      <c r="G345" s="202" t="s">
        <v>1437</v>
      </c>
      <c r="H345" s="95" t="s">
        <v>6</v>
      </c>
      <c r="I345" s="139" t="s">
        <v>962</v>
      </c>
      <c r="J345" s="93" t="s">
        <v>132</v>
      </c>
      <c r="K345" s="101">
        <v>4800</v>
      </c>
      <c r="L345" s="101" t="s">
        <v>1443</v>
      </c>
      <c r="M345" s="17" t="s">
        <v>1239</v>
      </c>
      <c r="N345" s="104" t="s">
        <v>1240</v>
      </c>
      <c r="O345" s="17" t="s">
        <v>1563</v>
      </c>
      <c r="P345" s="17" t="s">
        <v>1564</v>
      </c>
      <c r="Q345" s="101" t="s">
        <v>177</v>
      </c>
      <c r="R345" s="101"/>
      <c r="S345" s="197"/>
      <c r="T345" s="17" t="s">
        <v>13</v>
      </c>
      <c r="U345" s="17" t="s">
        <v>1095</v>
      </c>
      <c r="V345" s="17" t="s">
        <v>1095</v>
      </c>
      <c r="W345" s="17" t="s">
        <v>1095</v>
      </c>
      <c r="X345" s="17" t="s">
        <v>1095</v>
      </c>
      <c r="Y345" s="21">
        <v>0</v>
      </c>
      <c r="Z345" s="21">
        <v>0</v>
      </c>
      <c r="AA345" s="21">
        <v>0</v>
      </c>
      <c r="AB345" s="21">
        <v>0</v>
      </c>
      <c r="AC345" s="21">
        <v>0</v>
      </c>
      <c r="AD345" s="21">
        <v>0</v>
      </c>
      <c r="AE345" s="93" t="s">
        <v>1443</v>
      </c>
      <c r="AF345" s="58" t="s">
        <v>129</v>
      </c>
      <c r="AG345" s="58"/>
      <c r="AH345" s="58"/>
      <c r="AI345" s="111" t="s">
        <v>130</v>
      </c>
      <c r="AJ345" s="21">
        <f t="shared" si="215"/>
        <v>0</v>
      </c>
      <c r="AK345" s="58" t="s">
        <v>13</v>
      </c>
      <c r="AL345" s="58" t="s">
        <v>13</v>
      </c>
      <c r="AM345" s="58" t="s">
        <v>13</v>
      </c>
      <c r="AN345" s="58" t="s">
        <v>13</v>
      </c>
      <c r="AO345" s="58" t="s">
        <v>13</v>
      </c>
      <c r="AP345" s="58" t="s">
        <v>13</v>
      </c>
      <c r="AQ345" s="58" t="s">
        <v>13</v>
      </c>
      <c r="AR345" s="58" t="s">
        <v>13</v>
      </c>
      <c r="AS345" s="58" t="s">
        <v>13</v>
      </c>
      <c r="AT345" s="58" t="s">
        <v>13</v>
      </c>
      <c r="AU345" s="58" t="s">
        <v>13</v>
      </c>
      <c r="AV345" s="58" t="s">
        <v>13</v>
      </c>
      <c r="AW345" s="58" t="s">
        <v>13</v>
      </c>
      <c r="AX345" s="58" t="s">
        <v>13</v>
      </c>
      <c r="AY345" s="58" t="s">
        <v>13</v>
      </c>
      <c r="AZ345" s="58" t="s">
        <v>13</v>
      </c>
      <c r="BA345" s="58" t="s">
        <v>13</v>
      </c>
      <c r="BB345" s="58" t="s">
        <v>13</v>
      </c>
      <c r="BC345" s="58" t="s">
        <v>13</v>
      </c>
      <c r="BD345" s="58" t="s">
        <v>13</v>
      </c>
      <c r="BE345" s="58" t="s">
        <v>13</v>
      </c>
      <c r="BF345" s="58" t="s">
        <v>13</v>
      </c>
      <c r="BG345" s="58" t="s">
        <v>13</v>
      </c>
      <c r="BH345" s="58" t="s">
        <v>13</v>
      </c>
      <c r="BI345" s="58" t="s">
        <v>13</v>
      </c>
      <c r="BJ345" s="58" t="s">
        <v>13</v>
      </c>
      <c r="BK345" s="58" t="s">
        <v>13</v>
      </c>
      <c r="BL345" s="17" t="s">
        <v>964</v>
      </c>
      <c r="BM345" s="21">
        <v>0</v>
      </c>
      <c r="BN345" s="21">
        <v>0</v>
      </c>
      <c r="BO345" s="21">
        <v>0</v>
      </c>
      <c r="BP345" s="31">
        <f t="shared" si="200"/>
        <v>0</v>
      </c>
      <c r="BQ345" s="31">
        <f t="shared" si="200"/>
        <v>0</v>
      </c>
      <c r="BR345" s="58">
        <f>Table1[[#This Row],[Check 2 Students Total]]*Table1[[#This Row],[Summer 2018 Price Check]]</f>
        <v>0</v>
      </c>
      <c r="BS345" s="21">
        <v>0</v>
      </c>
      <c r="BT345" s="21">
        <v>0</v>
      </c>
      <c r="BU345" s="21">
        <v>0</v>
      </c>
      <c r="BV345" s="21">
        <v>0</v>
      </c>
      <c r="BW345" s="21">
        <v>0</v>
      </c>
      <c r="BX345" s="115">
        <f>Table1[[#This Row],[Summer 2018 Price Check]]*Table1[[#This Row],[Spring 2019 Students]]</f>
        <v>0</v>
      </c>
      <c r="BY345" s="31">
        <f t="shared" si="205"/>
        <v>0</v>
      </c>
      <c r="BZ345" s="58">
        <f t="shared" si="206"/>
        <v>0</v>
      </c>
      <c r="CA345" s="17" t="s">
        <v>964</v>
      </c>
      <c r="CB345" s="21">
        <v>0</v>
      </c>
      <c r="CC345" s="21">
        <v>0</v>
      </c>
      <c r="CD345" s="21">
        <v>0</v>
      </c>
      <c r="CE345" s="21">
        <f t="shared" si="214"/>
        <v>0</v>
      </c>
      <c r="CF345" s="21">
        <v>0</v>
      </c>
      <c r="CG345" s="115">
        <v>0</v>
      </c>
      <c r="CH345" s="93" t="s">
        <v>1443</v>
      </c>
      <c r="CI345" s="114">
        <f>IF(Table1[[#This Row],[Check 3 Status]]="Continued", Table1[[#This Row],[Check 3 Students Summer]], 0)</f>
        <v>0</v>
      </c>
      <c r="CJ345" s="115">
        <f>Table1[[#This Row],[Check 3 Per Student Savings]]*CI345</f>
        <v>0</v>
      </c>
      <c r="CK345" s="114">
        <f>IF(Table1[[#This Row],[Check 3 Status]]="Continued", Table1[[#This Row],[Check 3 Students Fall]], 0)</f>
        <v>0</v>
      </c>
      <c r="CL345" s="115">
        <f>Table1[[#This Row],[Check 3 Per Student Savings]]*CK345</f>
        <v>0</v>
      </c>
      <c r="CM345" s="114">
        <f>IF(Table1[[#This Row],[Check 3 Status]]="Continued", Table1[[#This Row],[Check 3 Students Spring]], 0)</f>
        <v>0</v>
      </c>
      <c r="CN345" s="115">
        <f>Table1[[#This Row],[Check 3 Per Student Savings]]*CM345</f>
        <v>0</v>
      </c>
      <c r="CO345" s="114">
        <f t="shared" si="208"/>
        <v>0</v>
      </c>
      <c r="CP345" s="115">
        <f t="shared" si="209"/>
        <v>0</v>
      </c>
      <c r="CQ345" s="115" t="s">
        <v>964</v>
      </c>
      <c r="CR345" s="114">
        <v>0</v>
      </c>
      <c r="CS345" s="114">
        <v>0</v>
      </c>
      <c r="CT345" s="114">
        <v>0</v>
      </c>
      <c r="CU345" s="114">
        <f t="shared" si="210"/>
        <v>0</v>
      </c>
      <c r="CV345" s="115">
        <v>0</v>
      </c>
      <c r="CW345" s="115">
        <f t="shared" si="211"/>
        <v>0</v>
      </c>
      <c r="CX345" s="232" t="s">
        <v>1443</v>
      </c>
      <c r="CY345" s="21">
        <f>IF(Table1[[#This Row],[Check 4 Status]]="Continued", Table1[[#This Row],[Check 4 Students Summer]], 0)</f>
        <v>0</v>
      </c>
      <c r="CZ345" s="58">
        <f>Table1[[#This Row],[Check 4 Per Student Savings]]*CY345</f>
        <v>0</v>
      </c>
      <c r="DA345" s="114">
        <f>IF(Table1[[#This Row],[Check 4 Status]]="Continued", Table1[[#This Row],[Check 4 Students Fall]], 0)</f>
        <v>0</v>
      </c>
      <c r="DB345" s="115">
        <f>Table1[[#This Row],[Check 4 Per Student Savings]]*DA345</f>
        <v>0</v>
      </c>
      <c r="DC345" s="21">
        <f>IF(Table1[[#This Row],[Check 4 Status]]="Continued", Table1[[#This Row],[Check 4 Students Spring]], 0)</f>
        <v>0</v>
      </c>
      <c r="DD345" s="58">
        <f>Table1[[#This Row],[Check 4 Per Student Savings]]*DC345</f>
        <v>0</v>
      </c>
      <c r="DE345" s="58">
        <f t="shared" si="212"/>
        <v>0</v>
      </c>
      <c r="DF345" s="58">
        <f t="shared" si="213"/>
        <v>0</v>
      </c>
      <c r="DG345" s="21">
        <v>0</v>
      </c>
      <c r="DH345" s="21">
        <v>0</v>
      </c>
      <c r="DI345" s="21">
        <v>0</v>
      </c>
      <c r="DJ345" s="17"/>
      <c r="DK345" s="17"/>
      <c r="DL345" s="17"/>
      <c r="DM345" s="17"/>
      <c r="DY345" s="21"/>
      <c r="DZ345" s="58"/>
      <c r="EA345" s="21"/>
      <c r="EB345" s="21"/>
      <c r="EC345" s="17"/>
      <c r="ED345" s="17"/>
      <c r="EE345" s="17"/>
      <c r="EF345" s="17"/>
    </row>
    <row r="346" spans="1:142" x14ac:dyDescent="0.25">
      <c r="A346" s="128" t="s">
        <v>1565</v>
      </c>
      <c r="B346" s="128"/>
      <c r="C346" s="128"/>
      <c r="D346" s="118">
        <v>516176</v>
      </c>
      <c r="E346" s="116"/>
      <c r="F346" s="117"/>
      <c r="G346" s="202" t="s">
        <v>1437</v>
      </c>
      <c r="H346" s="95" t="s">
        <v>6</v>
      </c>
      <c r="I346" s="139" t="s">
        <v>962</v>
      </c>
      <c r="J346" s="93" t="s">
        <v>159</v>
      </c>
      <c r="K346" s="101">
        <v>2800</v>
      </c>
      <c r="L346" s="101" t="s">
        <v>1443</v>
      </c>
      <c r="M346" s="17" t="s">
        <v>1566</v>
      </c>
      <c r="N346" s="104" t="s">
        <v>1567</v>
      </c>
      <c r="O346" s="17" t="s">
        <v>1568</v>
      </c>
      <c r="P346" s="17" t="s">
        <v>1569</v>
      </c>
      <c r="Q346" s="101" t="s">
        <v>304</v>
      </c>
      <c r="R346" s="101"/>
      <c r="S346" s="197"/>
      <c r="T346" s="17" t="s">
        <v>13</v>
      </c>
      <c r="U346" s="17" t="s">
        <v>1095</v>
      </c>
      <c r="V346" s="17" t="s">
        <v>1095</v>
      </c>
      <c r="W346" s="17" t="s">
        <v>1095</v>
      </c>
      <c r="X346" s="17" t="s">
        <v>1095</v>
      </c>
      <c r="Y346" s="21">
        <v>0</v>
      </c>
      <c r="Z346" s="21">
        <v>0</v>
      </c>
      <c r="AA346" s="21">
        <v>0</v>
      </c>
      <c r="AB346" s="21">
        <v>0</v>
      </c>
      <c r="AC346" s="21">
        <v>0</v>
      </c>
      <c r="AD346" s="21">
        <v>0</v>
      </c>
      <c r="AE346" s="93" t="s">
        <v>1443</v>
      </c>
      <c r="AF346" s="58" t="s">
        <v>129</v>
      </c>
      <c r="AG346" s="58"/>
      <c r="AH346" s="58"/>
      <c r="AI346" s="111" t="s">
        <v>130</v>
      </c>
      <c r="AJ346" s="21">
        <f t="shared" si="215"/>
        <v>0</v>
      </c>
      <c r="AK346" s="58" t="s">
        <v>13</v>
      </c>
      <c r="AL346" s="58" t="s">
        <v>13</v>
      </c>
      <c r="AM346" s="58" t="s">
        <v>13</v>
      </c>
      <c r="AN346" s="58" t="s">
        <v>13</v>
      </c>
      <c r="AO346" s="58" t="s">
        <v>13</v>
      </c>
      <c r="AP346" s="58" t="s">
        <v>13</v>
      </c>
      <c r="AQ346" s="58" t="s">
        <v>13</v>
      </c>
      <c r="AR346" s="58" t="s">
        <v>13</v>
      </c>
      <c r="AS346" s="58" t="s">
        <v>13</v>
      </c>
      <c r="AT346" s="58" t="s">
        <v>13</v>
      </c>
      <c r="AU346" s="58" t="s">
        <v>13</v>
      </c>
      <c r="AV346" s="58" t="s">
        <v>13</v>
      </c>
      <c r="AW346" s="58" t="s">
        <v>13</v>
      </c>
      <c r="AX346" s="58" t="s">
        <v>13</v>
      </c>
      <c r="AY346" s="58" t="s">
        <v>13</v>
      </c>
      <c r="AZ346" s="58" t="s">
        <v>13</v>
      </c>
      <c r="BA346" s="58" t="s">
        <v>13</v>
      </c>
      <c r="BB346" s="58" t="s">
        <v>13</v>
      </c>
      <c r="BC346" s="58" t="s">
        <v>13</v>
      </c>
      <c r="BD346" s="58" t="s">
        <v>13</v>
      </c>
      <c r="BE346" s="58" t="s">
        <v>13</v>
      </c>
      <c r="BF346" s="58" t="s">
        <v>13</v>
      </c>
      <c r="BG346" s="58" t="s">
        <v>13</v>
      </c>
      <c r="BH346" s="58" t="s">
        <v>13</v>
      </c>
      <c r="BI346" s="58" t="s">
        <v>13</v>
      </c>
      <c r="BJ346" s="58" t="s">
        <v>13</v>
      </c>
      <c r="BK346" s="58" t="s">
        <v>13</v>
      </c>
      <c r="BL346" s="17" t="s">
        <v>964</v>
      </c>
      <c r="BM346" s="21">
        <v>0</v>
      </c>
      <c r="BN346" s="21">
        <v>0</v>
      </c>
      <c r="BO346" s="21">
        <v>0</v>
      </c>
      <c r="BP346" s="31">
        <f t="shared" si="200"/>
        <v>0</v>
      </c>
      <c r="BQ346" s="31">
        <f t="shared" si="200"/>
        <v>0</v>
      </c>
      <c r="BR346" s="58">
        <f>Table1[[#This Row],[Check 2 Students Total]]*Table1[[#This Row],[Summer 2018 Price Check]]</f>
        <v>0</v>
      </c>
      <c r="BS346" s="21">
        <v>0</v>
      </c>
      <c r="BT346" s="21">
        <v>0</v>
      </c>
      <c r="BU346" s="21">
        <v>0</v>
      </c>
      <c r="BV346" s="21">
        <v>0</v>
      </c>
      <c r="BW346" s="21">
        <v>0</v>
      </c>
      <c r="BX346" s="115">
        <f>Table1[[#This Row],[Summer 2018 Price Check]]*Table1[[#This Row],[Spring 2019 Students]]</f>
        <v>0</v>
      </c>
      <c r="BY346" s="31">
        <f t="shared" si="205"/>
        <v>0</v>
      </c>
      <c r="BZ346" s="58">
        <f t="shared" si="206"/>
        <v>0</v>
      </c>
      <c r="CA346" s="17" t="s">
        <v>964</v>
      </c>
      <c r="CB346" s="21">
        <v>0</v>
      </c>
      <c r="CC346" s="21">
        <v>0</v>
      </c>
      <c r="CD346" s="21">
        <v>0</v>
      </c>
      <c r="CE346" s="21">
        <f t="shared" si="214"/>
        <v>0</v>
      </c>
      <c r="CF346" s="21">
        <v>0</v>
      </c>
      <c r="CG346" s="115">
        <v>0</v>
      </c>
      <c r="CH346" s="93" t="s">
        <v>1443</v>
      </c>
      <c r="CI346" s="114">
        <f>IF(Table1[[#This Row],[Check 3 Status]]="Continued", Table1[[#This Row],[Check 3 Students Summer]], 0)</f>
        <v>0</v>
      </c>
      <c r="CJ346" s="115">
        <f>Table1[[#This Row],[Check 3 Per Student Savings]]*CI346</f>
        <v>0</v>
      </c>
      <c r="CK346" s="114">
        <f>IF(Table1[[#This Row],[Check 3 Status]]="Continued", Table1[[#This Row],[Check 3 Students Fall]], 0)</f>
        <v>0</v>
      </c>
      <c r="CL346" s="115">
        <f>Table1[[#This Row],[Check 3 Per Student Savings]]*CK346</f>
        <v>0</v>
      </c>
      <c r="CM346" s="114">
        <f>IF(Table1[[#This Row],[Check 3 Status]]="Continued", Table1[[#This Row],[Check 3 Students Spring]], 0)</f>
        <v>0</v>
      </c>
      <c r="CN346" s="115">
        <f>Table1[[#This Row],[Check 3 Per Student Savings]]*CM346</f>
        <v>0</v>
      </c>
      <c r="CO346" s="114">
        <f t="shared" si="208"/>
        <v>0</v>
      </c>
      <c r="CP346" s="115">
        <f t="shared" si="209"/>
        <v>0</v>
      </c>
      <c r="CQ346" s="115" t="s">
        <v>964</v>
      </c>
      <c r="CR346" s="114">
        <v>0</v>
      </c>
      <c r="CS346" s="114">
        <v>0</v>
      </c>
      <c r="CT346" s="114">
        <v>0</v>
      </c>
      <c r="CU346" s="114">
        <f t="shared" si="210"/>
        <v>0</v>
      </c>
      <c r="CV346" s="115">
        <v>0</v>
      </c>
      <c r="CW346" s="115">
        <f t="shared" si="211"/>
        <v>0</v>
      </c>
      <c r="CX346" s="232" t="s">
        <v>1443</v>
      </c>
      <c r="CY346" s="21">
        <f>IF(Table1[[#This Row],[Check 4 Status]]="Continued", Table1[[#This Row],[Check 4 Students Summer]], 0)</f>
        <v>0</v>
      </c>
      <c r="CZ346" s="58">
        <f>Table1[[#This Row],[Check 4 Per Student Savings]]*CY346</f>
        <v>0</v>
      </c>
      <c r="DA346" s="114">
        <f>IF(Table1[[#This Row],[Check 4 Status]]="Continued", Table1[[#This Row],[Check 4 Students Fall]], 0)</f>
        <v>0</v>
      </c>
      <c r="DB346" s="115">
        <f>Table1[[#This Row],[Check 4 Per Student Savings]]*DA346</f>
        <v>0</v>
      </c>
      <c r="DC346" s="21">
        <f>IF(Table1[[#This Row],[Check 4 Status]]="Continued", Table1[[#This Row],[Check 4 Students Spring]], 0)</f>
        <v>0</v>
      </c>
      <c r="DD346" s="58">
        <f>Table1[[#This Row],[Check 4 Per Student Savings]]*DC346</f>
        <v>0</v>
      </c>
      <c r="DE346" s="58">
        <f t="shared" si="212"/>
        <v>0</v>
      </c>
      <c r="DF346" s="58">
        <f t="shared" si="213"/>
        <v>0</v>
      </c>
      <c r="DG346" s="21">
        <v>0</v>
      </c>
      <c r="DH346" s="21">
        <v>0</v>
      </c>
      <c r="DI346" s="21">
        <v>0</v>
      </c>
      <c r="DJ346" s="17"/>
      <c r="DK346" s="17"/>
      <c r="DL346" s="17"/>
      <c r="DM346" s="17"/>
      <c r="DY346" s="21"/>
      <c r="DZ346" s="58"/>
      <c r="EA346" s="21"/>
      <c r="EB346" s="21"/>
      <c r="EC346" s="17"/>
      <c r="ED346" s="17"/>
      <c r="EE346" s="17"/>
      <c r="EF346" s="17"/>
    </row>
    <row r="347" spans="1:142" x14ac:dyDescent="0.25">
      <c r="A347" s="128" t="s">
        <v>1570</v>
      </c>
      <c r="B347" s="128"/>
      <c r="C347" s="128"/>
      <c r="D347" s="118">
        <v>516181</v>
      </c>
      <c r="E347" s="116"/>
      <c r="F347" s="117"/>
      <c r="G347" s="202" t="s">
        <v>1437</v>
      </c>
      <c r="H347" s="95" t="s">
        <v>6</v>
      </c>
      <c r="I347" s="139" t="s">
        <v>962</v>
      </c>
      <c r="J347" s="93" t="s">
        <v>159</v>
      </c>
      <c r="K347" s="101">
        <v>2800</v>
      </c>
      <c r="L347" s="101" t="s">
        <v>1443</v>
      </c>
      <c r="M347" s="17" t="s">
        <v>1566</v>
      </c>
      <c r="N347" s="104" t="s">
        <v>1567</v>
      </c>
      <c r="O347" s="17" t="s">
        <v>1571</v>
      </c>
      <c r="P347" s="17" t="s">
        <v>1572</v>
      </c>
      <c r="Q347" s="101" t="s">
        <v>304</v>
      </c>
      <c r="R347" s="101"/>
      <c r="S347" s="197"/>
      <c r="T347" s="17" t="s">
        <v>13</v>
      </c>
      <c r="U347" s="17" t="s">
        <v>1095</v>
      </c>
      <c r="V347" s="17" t="s">
        <v>1095</v>
      </c>
      <c r="W347" s="17" t="s">
        <v>1095</v>
      </c>
      <c r="X347" s="17" t="s">
        <v>1095</v>
      </c>
      <c r="Y347" s="21">
        <v>0</v>
      </c>
      <c r="Z347" s="21">
        <v>0</v>
      </c>
      <c r="AA347" s="21">
        <v>0</v>
      </c>
      <c r="AB347" s="21">
        <v>0</v>
      </c>
      <c r="AC347" s="21">
        <v>0</v>
      </c>
      <c r="AD347" s="21">
        <v>0</v>
      </c>
      <c r="AE347" s="93" t="s">
        <v>1443</v>
      </c>
      <c r="AF347" s="58" t="s">
        <v>129</v>
      </c>
      <c r="AG347" s="58"/>
      <c r="AH347" s="58"/>
      <c r="AI347" s="111" t="s">
        <v>130</v>
      </c>
      <c r="AJ347" s="21">
        <f t="shared" si="215"/>
        <v>0</v>
      </c>
      <c r="AK347" s="58" t="s">
        <v>13</v>
      </c>
      <c r="AL347" s="58" t="s">
        <v>13</v>
      </c>
      <c r="AM347" s="58" t="s">
        <v>13</v>
      </c>
      <c r="AN347" s="58" t="s">
        <v>13</v>
      </c>
      <c r="AO347" s="58" t="s">
        <v>13</v>
      </c>
      <c r="AP347" s="58" t="s">
        <v>13</v>
      </c>
      <c r="AQ347" s="58" t="s">
        <v>13</v>
      </c>
      <c r="AR347" s="58" t="s">
        <v>13</v>
      </c>
      <c r="AS347" s="58" t="s">
        <v>13</v>
      </c>
      <c r="AT347" s="58" t="s">
        <v>13</v>
      </c>
      <c r="AU347" s="58" t="s">
        <v>13</v>
      </c>
      <c r="AV347" s="58" t="s">
        <v>13</v>
      </c>
      <c r="AW347" s="58" t="s">
        <v>13</v>
      </c>
      <c r="AX347" s="58" t="s">
        <v>13</v>
      </c>
      <c r="AY347" s="58" t="s">
        <v>13</v>
      </c>
      <c r="AZ347" s="58" t="s">
        <v>13</v>
      </c>
      <c r="BA347" s="58" t="s">
        <v>13</v>
      </c>
      <c r="BB347" s="58" t="s">
        <v>13</v>
      </c>
      <c r="BC347" s="58" t="s">
        <v>13</v>
      </c>
      <c r="BD347" s="58" t="s">
        <v>13</v>
      </c>
      <c r="BE347" s="58" t="s">
        <v>13</v>
      </c>
      <c r="BF347" s="58" t="s">
        <v>13</v>
      </c>
      <c r="BG347" s="58" t="s">
        <v>13</v>
      </c>
      <c r="BH347" s="58" t="s">
        <v>13</v>
      </c>
      <c r="BI347" s="58" t="s">
        <v>13</v>
      </c>
      <c r="BJ347" s="58" t="s">
        <v>13</v>
      </c>
      <c r="BK347" s="58" t="s">
        <v>13</v>
      </c>
      <c r="BL347" s="17" t="s">
        <v>964</v>
      </c>
      <c r="BM347" s="21">
        <v>0</v>
      </c>
      <c r="BN347" s="21">
        <v>0</v>
      </c>
      <c r="BO347" s="21">
        <v>0</v>
      </c>
      <c r="BP347" s="31">
        <f t="shared" si="200"/>
        <v>0</v>
      </c>
      <c r="BQ347" s="31">
        <f t="shared" si="200"/>
        <v>0</v>
      </c>
      <c r="BR347" s="58">
        <f>Table1[[#This Row],[Check 2 Students Total]]*Table1[[#This Row],[Summer 2018 Price Check]]</f>
        <v>0</v>
      </c>
      <c r="BS347" s="21">
        <v>0</v>
      </c>
      <c r="BT347" s="21">
        <v>0</v>
      </c>
      <c r="BU347" s="21">
        <v>0</v>
      </c>
      <c r="BV347" s="21">
        <v>0</v>
      </c>
      <c r="BW347" s="21">
        <v>0</v>
      </c>
      <c r="BX347" s="115">
        <f>Table1[[#This Row],[Summer 2018 Price Check]]*Table1[[#This Row],[Spring 2019 Students]]</f>
        <v>0</v>
      </c>
      <c r="BY347" s="31">
        <f t="shared" si="205"/>
        <v>0</v>
      </c>
      <c r="BZ347" s="58">
        <f t="shared" si="206"/>
        <v>0</v>
      </c>
      <c r="CA347" s="17" t="s">
        <v>964</v>
      </c>
      <c r="CB347" s="21">
        <v>0</v>
      </c>
      <c r="CC347" s="21">
        <v>0</v>
      </c>
      <c r="CD347" s="21">
        <v>0</v>
      </c>
      <c r="CE347" s="21">
        <f t="shared" si="214"/>
        <v>0</v>
      </c>
      <c r="CF347" s="21">
        <v>0</v>
      </c>
      <c r="CG347" s="115">
        <v>0</v>
      </c>
      <c r="CH347" s="93" t="s">
        <v>1443</v>
      </c>
      <c r="CI347" s="114">
        <f>IF(Table1[[#This Row],[Check 3 Status]]="Continued", Table1[[#This Row],[Check 3 Students Summer]], 0)</f>
        <v>0</v>
      </c>
      <c r="CJ347" s="115">
        <f>Table1[[#This Row],[Check 3 Per Student Savings]]*CI347</f>
        <v>0</v>
      </c>
      <c r="CK347" s="114">
        <f>IF(Table1[[#This Row],[Check 3 Status]]="Continued", Table1[[#This Row],[Check 3 Students Fall]], 0)</f>
        <v>0</v>
      </c>
      <c r="CL347" s="115">
        <f>Table1[[#This Row],[Check 3 Per Student Savings]]*CK347</f>
        <v>0</v>
      </c>
      <c r="CM347" s="114">
        <f>IF(Table1[[#This Row],[Check 3 Status]]="Continued", Table1[[#This Row],[Check 3 Students Spring]], 0)</f>
        <v>0</v>
      </c>
      <c r="CN347" s="115">
        <f>Table1[[#This Row],[Check 3 Per Student Savings]]*CM347</f>
        <v>0</v>
      </c>
      <c r="CO347" s="114">
        <f t="shared" si="208"/>
        <v>0</v>
      </c>
      <c r="CP347" s="115">
        <f t="shared" si="209"/>
        <v>0</v>
      </c>
      <c r="CQ347" s="115" t="s">
        <v>964</v>
      </c>
      <c r="CR347" s="114">
        <v>0</v>
      </c>
      <c r="CS347" s="114">
        <v>0</v>
      </c>
      <c r="CT347" s="114">
        <v>0</v>
      </c>
      <c r="CU347" s="114">
        <f t="shared" si="210"/>
        <v>0</v>
      </c>
      <c r="CV347" s="115">
        <v>0</v>
      </c>
      <c r="CW347" s="115">
        <f t="shared" si="211"/>
        <v>0</v>
      </c>
      <c r="CX347" s="232" t="s">
        <v>1443</v>
      </c>
      <c r="CY347" s="21">
        <f>IF(Table1[[#This Row],[Check 4 Status]]="Continued", Table1[[#This Row],[Check 4 Students Summer]], 0)</f>
        <v>0</v>
      </c>
      <c r="CZ347" s="58">
        <f>Table1[[#This Row],[Check 4 Per Student Savings]]*CY347</f>
        <v>0</v>
      </c>
      <c r="DA347" s="114">
        <f>IF(Table1[[#This Row],[Check 4 Status]]="Continued", Table1[[#This Row],[Check 4 Students Fall]], 0)</f>
        <v>0</v>
      </c>
      <c r="DB347" s="115">
        <f>Table1[[#This Row],[Check 4 Per Student Savings]]*DA347</f>
        <v>0</v>
      </c>
      <c r="DC347" s="21">
        <f>IF(Table1[[#This Row],[Check 4 Status]]="Continued", Table1[[#This Row],[Check 4 Students Spring]], 0)</f>
        <v>0</v>
      </c>
      <c r="DD347" s="58">
        <f>Table1[[#This Row],[Check 4 Per Student Savings]]*DC347</f>
        <v>0</v>
      </c>
      <c r="DE347" s="58">
        <f t="shared" si="212"/>
        <v>0</v>
      </c>
      <c r="DF347" s="58">
        <f t="shared" si="213"/>
        <v>0</v>
      </c>
      <c r="DG347" s="21">
        <v>0</v>
      </c>
      <c r="DH347" s="21">
        <v>0</v>
      </c>
      <c r="DI347" s="21">
        <v>0</v>
      </c>
      <c r="DJ347" s="17"/>
      <c r="DK347" s="17"/>
      <c r="DL347" s="17"/>
      <c r="DM347" s="17"/>
      <c r="DY347" s="21"/>
      <c r="DZ347" s="58"/>
      <c r="EA347" s="21"/>
      <c r="EB347" s="21"/>
      <c r="EC347" s="17"/>
      <c r="ED347" s="17"/>
      <c r="EE347" s="17"/>
      <c r="EF347" s="17"/>
    </row>
    <row r="348" spans="1:142" ht="30" x14ac:dyDescent="0.25">
      <c r="A348" s="128" t="s">
        <v>1573</v>
      </c>
      <c r="B348" s="128"/>
      <c r="C348" s="128"/>
      <c r="D348" s="118">
        <v>516200</v>
      </c>
      <c r="E348" s="116"/>
      <c r="F348" s="117"/>
      <c r="G348" s="202" t="s">
        <v>1437</v>
      </c>
      <c r="H348" s="95" t="s">
        <v>6</v>
      </c>
      <c r="I348" s="139" t="s">
        <v>962</v>
      </c>
      <c r="J348" s="93" t="s">
        <v>388</v>
      </c>
      <c r="K348" s="101">
        <v>4000</v>
      </c>
      <c r="L348" s="101" t="s">
        <v>1287</v>
      </c>
      <c r="M348" s="17" t="s">
        <v>1574</v>
      </c>
      <c r="N348" s="104" t="s">
        <v>1575</v>
      </c>
      <c r="O348" s="17" t="s">
        <v>1576</v>
      </c>
      <c r="P348" s="17" t="s">
        <v>1577</v>
      </c>
      <c r="Q348" s="101" t="s">
        <v>148</v>
      </c>
      <c r="R348" s="101"/>
      <c r="S348" s="197"/>
      <c r="T348" s="17" t="s">
        <v>13</v>
      </c>
      <c r="U348" s="17" t="s">
        <v>1095</v>
      </c>
      <c r="V348" s="17" t="s">
        <v>1095</v>
      </c>
      <c r="W348" s="17" t="s">
        <v>1095</v>
      </c>
      <c r="X348" s="17" t="s">
        <v>1095</v>
      </c>
      <c r="Y348" s="21">
        <v>0</v>
      </c>
      <c r="Z348" s="21">
        <v>0</v>
      </c>
      <c r="AA348" s="21">
        <v>0</v>
      </c>
      <c r="AB348" s="21">
        <v>0</v>
      </c>
      <c r="AC348" s="21">
        <v>0</v>
      </c>
      <c r="AD348" s="21">
        <v>0</v>
      </c>
      <c r="AE348" s="93" t="s">
        <v>1287</v>
      </c>
      <c r="AF348" s="58" t="s">
        <v>129</v>
      </c>
      <c r="AG348" s="58"/>
      <c r="AH348" s="58"/>
      <c r="AI348" s="111" t="s">
        <v>130</v>
      </c>
      <c r="AJ348" s="21">
        <f t="shared" si="215"/>
        <v>0</v>
      </c>
      <c r="AK348" s="58" t="s">
        <v>13</v>
      </c>
      <c r="AL348" s="58" t="s">
        <v>13</v>
      </c>
      <c r="AM348" s="58" t="s">
        <v>13</v>
      </c>
      <c r="AN348" s="58" t="s">
        <v>13</v>
      </c>
      <c r="AO348" s="58" t="s">
        <v>13</v>
      </c>
      <c r="AP348" s="58" t="s">
        <v>13</v>
      </c>
      <c r="AQ348" s="58" t="s">
        <v>13</v>
      </c>
      <c r="AR348" s="58" t="s">
        <v>13</v>
      </c>
      <c r="AS348" s="58" t="s">
        <v>13</v>
      </c>
      <c r="AT348" s="58" t="s">
        <v>13</v>
      </c>
      <c r="AU348" s="58" t="s">
        <v>13</v>
      </c>
      <c r="AV348" s="58" t="s">
        <v>13</v>
      </c>
      <c r="AW348" s="58" t="s">
        <v>13</v>
      </c>
      <c r="AX348" s="58" t="s">
        <v>13</v>
      </c>
      <c r="AY348" s="58" t="s">
        <v>13</v>
      </c>
      <c r="AZ348" s="58" t="s">
        <v>13</v>
      </c>
      <c r="BA348" s="58" t="s">
        <v>13</v>
      </c>
      <c r="BB348" s="58" t="s">
        <v>13</v>
      </c>
      <c r="BC348" s="58" t="s">
        <v>13</v>
      </c>
      <c r="BD348" s="58" t="s">
        <v>13</v>
      </c>
      <c r="BE348" s="58" t="s">
        <v>13</v>
      </c>
      <c r="BF348" s="58" t="s">
        <v>13</v>
      </c>
      <c r="BG348" s="58" t="s">
        <v>13</v>
      </c>
      <c r="BH348" s="58" t="s">
        <v>13</v>
      </c>
      <c r="BI348" s="58" t="s">
        <v>13</v>
      </c>
      <c r="BJ348" s="58" t="s">
        <v>13</v>
      </c>
      <c r="BK348" s="58" t="s">
        <v>13</v>
      </c>
      <c r="BL348" s="17" t="s">
        <v>964</v>
      </c>
      <c r="BM348" s="21">
        <v>0</v>
      </c>
      <c r="BN348" s="21">
        <v>0</v>
      </c>
      <c r="BO348" s="21">
        <v>0</v>
      </c>
      <c r="BP348" s="31">
        <f t="shared" si="200"/>
        <v>0</v>
      </c>
      <c r="BQ348" s="31">
        <f t="shared" si="200"/>
        <v>0</v>
      </c>
      <c r="BR348" s="58">
        <f>Table1[[#This Row],[Check 2 Students Total]]*Table1[[#This Row],[Summer 2018 Price Check]]</f>
        <v>0</v>
      </c>
      <c r="BS348" s="21">
        <v>0</v>
      </c>
      <c r="BT348" s="21">
        <v>0</v>
      </c>
      <c r="BU348" s="21">
        <v>0</v>
      </c>
      <c r="BV348" s="21">
        <v>0</v>
      </c>
      <c r="BW348" s="21">
        <v>0</v>
      </c>
      <c r="BX348" s="115">
        <f>Table1[[#This Row],[Summer 2018 Price Check]]*Table1[[#This Row],[Spring 2019 Students]]</f>
        <v>0</v>
      </c>
      <c r="BY348" s="31">
        <f t="shared" si="205"/>
        <v>0</v>
      </c>
      <c r="BZ348" s="58">
        <f t="shared" si="206"/>
        <v>0</v>
      </c>
      <c r="CA348" s="17" t="s">
        <v>964</v>
      </c>
      <c r="CB348" s="21">
        <v>0</v>
      </c>
      <c r="CC348" s="21">
        <v>0</v>
      </c>
      <c r="CD348" s="21">
        <v>0</v>
      </c>
      <c r="CE348" s="21">
        <f t="shared" si="214"/>
        <v>0</v>
      </c>
      <c r="CF348" s="21">
        <v>0</v>
      </c>
      <c r="CG348" s="115">
        <v>0</v>
      </c>
      <c r="CH348" s="93" t="s">
        <v>1287</v>
      </c>
      <c r="CI348" s="114">
        <f>IF(Table1[[#This Row],[Check 3 Status]]="Continued", Table1[[#This Row],[Check 3 Students Summer]], 0)</f>
        <v>0</v>
      </c>
      <c r="CJ348" s="115">
        <f>Table1[[#This Row],[Check 3 Per Student Savings]]*CI348</f>
        <v>0</v>
      </c>
      <c r="CK348" s="114">
        <f>IF(Table1[[#This Row],[Check 3 Status]]="Continued", Table1[[#This Row],[Check 3 Students Fall]], 0)</f>
        <v>0</v>
      </c>
      <c r="CL348" s="115">
        <f>Table1[[#This Row],[Check 3 Per Student Savings]]*CK348</f>
        <v>0</v>
      </c>
      <c r="CM348" s="114">
        <f>IF(Table1[[#This Row],[Check 3 Status]]="Continued", Table1[[#This Row],[Check 3 Students Spring]], 0)</f>
        <v>0</v>
      </c>
      <c r="CN348" s="115">
        <f>Table1[[#This Row],[Check 3 Per Student Savings]]*CM348</f>
        <v>0</v>
      </c>
      <c r="CO348" s="114">
        <f t="shared" si="208"/>
        <v>0</v>
      </c>
      <c r="CP348" s="115">
        <f t="shared" si="209"/>
        <v>0</v>
      </c>
      <c r="CQ348" s="115" t="s">
        <v>964</v>
      </c>
      <c r="CR348" s="114">
        <v>0</v>
      </c>
      <c r="CS348" s="114">
        <v>0</v>
      </c>
      <c r="CT348" s="114">
        <v>0</v>
      </c>
      <c r="CU348" s="114">
        <f t="shared" si="210"/>
        <v>0</v>
      </c>
      <c r="CV348" s="115">
        <v>0</v>
      </c>
      <c r="CW348" s="115">
        <f t="shared" si="211"/>
        <v>0</v>
      </c>
      <c r="CX348" s="232" t="s">
        <v>1287</v>
      </c>
      <c r="CY348" s="21">
        <f>IF(Table1[[#This Row],[Check 4 Status]]="Continued", Table1[[#This Row],[Check 4 Students Summer]], 0)</f>
        <v>0</v>
      </c>
      <c r="CZ348" s="58">
        <f>Table1[[#This Row],[Check 4 Per Student Savings]]*CY348</f>
        <v>0</v>
      </c>
      <c r="DA348" s="114">
        <f>IF(Table1[[#This Row],[Check 4 Status]]="Continued", Table1[[#This Row],[Check 4 Students Fall]], 0)</f>
        <v>0</v>
      </c>
      <c r="DB348" s="115">
        <f>Table1[[#This Row],[Check 4 Per Student Savings]]*DA348</f>
        <v>0</v>
      </c>
      <c r="DC348" s="21">
        <f>IF(Table1[[#This Row],[Check 4 Status]]="Continued", Table1[[#This Row],[Check 4 Students Spring]], 0)</f>
        <v>0</v>
      </c>
      <c r="DD348" s="58">
        <f>Table1[[#This Row],[Check 4 Per Student Savings]]*DC348</f>
        <v>0</v>
      </c>
      <c r="DE348" s="58">
        <f t="shared" si="212"/>
        <v>0</v>
      </c>
      <c r="DF348" s="58">
        <f t="shared" si="213"/>
        <v>0</v>
      </c>
      <c r="DG348" s="21">
        <v>0</v>
      </c>
      <c r="DH348" s="21">
        <v>0</v>
      </c>
      <c r="DI348" s="21">
        <v>0</v>
      </c>
      <c r="DJ348" s="17"/>
      <c r="DK348" s="17"/>
      <c r="DL348" s="17"/>
      <c r="DM348" s="17"/>
      <c r="DY348" s="21"/>
      <c r="DZ348" s="58"/>
      <c r="EA348" s="21"/>
      <c r="EB348" s="21"/>
      <c r="EC348" s="17"/>
      <c r="ED348" s="17"/>
      <c r="EE348" s="17"/>
      <c r="EF348" s="17"/>
    </row>
    <row r="349" spans="1:142" ht="30" x14ac:dyDescent="0.25">
      <c r="A349" s="128" t="s">
        <v>1578</v>
      </c>
      <c r="B349" s="128"/>
      <c r="C349" s="128"/>
      <c r="D349" s="118">
        <v>516234</v>
      </c>
      <c r="E349" s="116"/>
      <c r="F349" s="117"/>
      <c r="G349" s="202" t="s">
        <v>1437</v>
      </c>
      <c r="H349" s="95" t="s">
        <v>6</v>
      </c>
      <c r="I349" s="139" t="s">
        <v>962</v>
      </c>
      <c r="J349" s="93" t="s">
        <v>276</v>
      </c>
      <c r="K349" s="101">
        <v>4800</v>
      </c>
      <c r="L349" s="101" t="s">
        <v>1287</v>
      </c>
      <c r="M349" s="17" t="s">
        <v>512</v>
      </c>
      <c r="N349" s="104" t="s">
        <v>513</v>
      </c>
      <c r="O349" s="17" t="s">
        <v>204</v>
      </c>
      <c r="P349" s="17" t="s">
        <v>205</v>
      </c>
      <c r="Q349" s="101" t="s">
        <v>206</v>
      </c>
      <c r="R349" s="101"/>
      <c r="S349" s="197"/>
      <c r="T349" s="17" t="s">
        <v>13</v>
      </c>
      <c r="U349" s="17" t="s">
        <v>1095</v>
      </c>
      <c r="V349" s="17" t="s">
        <v>1095</v>
      </c>
      <c r="W349" s="17" t="s">
        <v>1095</v>
      </c>
      <c r="X349" s="17" t="s">
        <v>1095</v>
      </c>
      <c r="Y349" s="21">
        <v>0</v>
      </c>
      <c r="Z349" s="21">
        <v>0</v>
      </c>
      <c r="AA349" s="21">
        <v>0</v>
      </c>
      <c r="AB349" s="21">
        <v>0</v>
      </c>
      <c r="AC349" s="21">
        <v>0</v>
      </c>
      <c r="AD349" s="21">
        <v>0</v>
      </c>
      <c r="AE349" s="93" t="s">
        <v>1287</v>
      </c>
      <c r="AF349" s="58" t="s">
        <v>129</v>
      </c>
      <c r="AG349" s="58"/>
      <c r="AH349" s="58"/>
      <c r="AI349" s="111" t="s">
        <v>130</v>
      </c>
      <c r="AJ349" s="21">
        <f t="shared" si="215"/>
        <v>0</v>
      </c>
      <c r="AK349" s="58" t="s">
        <v>13</v>
      </c>
      <c r="AL349" s="58" t="s">
        <v>13</v>
      </c>
      <c r="AM349" s="58" t="s">
        <v>13</v>
      </c>
      <c r="AN349" s="58" t="s">
        <v>13</v>
      </c>
      <c r="AO349" s="58" t="s">
        <v>13</v>
      </c>
      <c r="AP349" s="58" t="s">
        <v>13</v>
      </c>
      <c r="AQ349" s="58" t="s">
        <v>13</v>
      </c>
      <c r="AR349" s="58" t="s">
        <v>13</v>
      </c>
      <c r="AS349" s="58" t="s">
        <v>13</v>
      </c>
      <c r="AT349" s="58" t="s">
        <v>13</v>
      </c>
      <c r="AU349" s="58" t="s">
        <v>13</v>
      </c>
      <c r="AV349" s="58" t="s">
        <v>13</v>
      </c>
      <c r="AW349" s="58" t="s">
        <v>13</v>
      </c>
      <c r="AX349" s="58" t="s">
        <v>13</v>
      </c>
      <c r="AY349" s="58" t="s">
        <v>13</v>
      </c>
      <c r="AZ349" s="58" t="s">
        <v>13</v>
      </c>
      <c r="BA349" s="58" t="s">
        <v>13</v>
      </c>
      <c r="BB349" s="58" t="s">
        <v>13</v>
      </c>
      <c r="BC349" s="58" t="s">
        <v>13</v>
      </c>
      <c r="BD349" s="58" t="s">
        <v>13</v>
      </c>
      <c r="BE349" s="58" t="s">
        <v>13</v>
      </c>
      <c r="BF349" s="58" t="s">
        <v>13</v>
      </c>
      <c r="BG349" s="58" t="s">
        <v>13</v>
      </c>
      <c r="BH349" s="58" t="s">
        <v>13</v>
      </c>
      <c r="BI349" s="58" t="s">
        <v>13</v>
      </c>
      <c r="BJ349" s="58" t="s">
        <v>13</v>
      </c>
      <c r="BK349" s="58" t="s">
        <v>13</v>
      </c>
      <c r="BL349" s="17" t="s">
        <v>964</v>
      </c>
      <c r="BM349" s="21">
        <v>0</v>
      </c>
      <c r="BN349" s="21">
        <v>0</v>
      </c>
      <c r="BO349" s="21">
        <v>0</v>
      </c>
      <c r="BP349" s="31">
        <f t="shared" si="200"/>
        <v>0</v>
      </c>
      <c r="BQ349" s="31">
        <f t="shared" si="200"/>
        <v>0</v>
      </c>
      <c r="BR349" s="58">
        <f>Table1[[#This Row],[Check 2 Students Total]]*Table1[[#This Row],[Summer 2018 Price Check]]</f>
        <v>0</v>
      </c>
      <c r="BS349" s="21">
        <v>0</v>
      </c>
      <c r="BT349" s="21">
        <v>0</v>
      </c>
      <c r="BU349" s="21">
        <v>0</v>
      </c>
      <c r="BV349" s="21">
        <v>0</v>
      </c>
      <c r="BW349" s="21">
        <v>0</v>
      </c>
      <c r="BX349" s="115">
        <f>Table1[[#This Row],[Summer 2018 Price Check]]*Table1[[#This Row],[Spring 2019 Students]]</f>
        <v>0</v>
      </c>
      <c r="BY349" s="31">
        <f t="shared" si="205"/>
        <v>0</v>
      </c>
      <c r="BZ349" s="58">
        <f t="shared" si="206"/>
        <v>0</v>
      </c>
      <c r="CA349" s="17" t="s">
        <v>964</v>
      </c>
      <c r="CB349" s="21">
        <v>0</v>
      </c>
      <c r="CC349" s="21">
        <v>0</v>
      </c>
      <c r="CD349" s="21">
        <v>0</v>
      </c>
      <c r="CE349" s="21">
        <f t="shared" si="214"/>
        <v>0</v>
      </c>
      <c r="CF349" s="21">
        <v>0</v>
      </c>
      <c r="CG349" s="115">
        <v>0</v>
      </c>
      <c r="CH349" s="93" t="s">
        <v>1287</v>
      </c>
      <c r="CI349" s="114">
        <f>IF(Table1[[#This Row],[Check 3 Status]]="Continued", Table1[[#This Row],[Check 3 Students Summer]], 0)</f>
        <v>0</v>
      </c>
      <c r="CJ349" s="115">
        <f>Table1[[#This Row],[Check 3 Per Student Savings]]*CI349</f>
        <v>0</v>
      </c>
      <c r="CK349" s="114">
        <f>IF(Table1[[#This Row],[Check 3 Status]]="Continued", Table1[[#This Row],[Check 3 Students Fall]], 0)</f>
        <v>0</v>
      </c>
      <c r="CL349" s="115">
        <f>Table1[[#This Row],[Check 3 Per Student Savings]]*CK349</f>
        <v>0</v>
      </c>
      <c r="CM349" s="114">
        <f>IF(Table1[[#This Row],[Check 3 Status]]="Continued", Table1[[#This Row],[Check 3 Students Spring]], 0)</f>
        <v>0</v>
      </c>
      <c r="CN349" s="115">
        <f>Table1[[#This Row],[Check 3 Per Student Savings]]*CM349</f>
        <v>0</v>
      </c>
      <c r="CO349" s="114">
        <f t="shared" si="208"/>
        <v>0</v>
      </c>
      <c r="CP349" s="115">
        <f t="shared" si="209"/>
        <v>0</v>
      </c>
      <c r="CQ349" s="115" t="s">
        <v>964</v>
      </c>
      <c r="CR349" s="114">
        <v>0</v>
      </c>
      <c r="CS349" s="114">
        <v>0</v>
      </c>
      <c r="CT349" s="114">
        <v>0</v>
      </c>
      <c r="CU349" s="114">
        <f t="shared" si="210"/>
        <v>0</v>
      </c>
      <c r="CV349" s="115">
        <v>0</v>
      </c>
      <c r="CW349" s="115">
        <f t="shared" si="211"/>
        <v>0</v>
      </c>
      <c r="CX349" s="232" t="s">
        <v>1287</v>
      </c>
      <c r="CY349" s="21">
        <f>IF(Table1[[#This Row],[Check 4 Status]]="Continued", Table1[[#This Row],[Check 4 Students Summer]], 0)</f>
        <v>0</v>
      </c>
      <c r="CZ349" s="58">
        <f>Table1[[#This Row],[Check 4 Per Student Savings]]*CY349</f>
        <v>0</v>
      </c>
      <c r="DA349" s="114">
        <f>IF(Table1[[#This Row],[Check 4 Status]]="Continued", Table1[[#This Row],[Check 4 Students Fall]], 0)</f>
        <v>0</v>
      </c>
      <c r="DB349" s="115">
        <f>Table1[[#This Row],[Check 4 Per Student Savings]]*DA349</f>
        <v>0</v>
      </c>
      <c r="DC349" s="21">
        <f>IF(Table1[[#This Row],[Check 4 Status]]="Continued", Table1[[#This Row],[Check 4 Students Spring]], 0)</f>
        <v>0</v>
      </c>
      <c r="DD349" s="58">
        <f>Table1[[#This Row],[Check 4 Per Student Savings]]*DC349</f>
        <v>0</v>
      </c>
      <c r="DE349" s="58">
        <f t="shared" si="212"/>
        <v>0</v>
      </c>
      <c r="DF349" s="58">
        <f t="shared" si="213"/>
        <v>0</v>
      </c>
      <c r="DG349" s="21">
        <v>0</v>
      </c>
      <c r="DH349" s="21">
        <v>0</v>
      </c>
      <c r="DI349" s="21">
        <v>0</v>
      </c>
      <c r="DJ349" s="17"/>
      <c r="DK349" s="17"/>
      <c r="DL349" s="17"/>
      <c r="DM349" s="17"/>
      <c r="DY349" s="21"/>
      <c r="DZ349" s="58"/>
      <c r="EA349" s="21"/>
      <c r="EB349" s="21"/>
      <c r="EC349" s="17"/>
      <c r="ED349" s="17"/>
      <c r="EE349" s="17"/>
      <c r="EF349" s="17"/>
    </row>
    <row r="350" spans="1:142" ht="30.75" thickBot="1" x14ac:dyDescent="0.3">
      <c r="A350" s="121" t="s">
        <v>1579</v>
      </c>
      <c r="B350" s="121"/>
      <c r="C350" s="121"/>
      <c r="D350" s="118">
        <v>516263</v>
      </c>
      <c r="E350" s="116"/>
      <c r="F350" s="117"/>
      <c r="G350" s="202" t="s">
        <v>1437</v>
      </c>
      <c r="H350" s="95" t="s">
        <v>6</v>
      </c>
      <c r="I350" s="139" t="s">
        <v>962</v>
      </c>
      <c r="J350" s="93" t="s">
        <v>132</v>
      </c>
      <c r="K350" s="101">
        <v>4800</v>
      </c>
      <c r="L350" s="101" t="s">
        <v>1443</v>
      </c>
      <c r="M350" s="17" t="s">
        <v>1580</v>
      </c>
      <c r="N350" s="104" t="s">
        <v>290</v>
      </c>
      <c r="O350" s="17" t="s">
        <v>1581</v>
      </c>
      <c r="P350" s="17" t="s">
        <v>1582</v>
      </c>
      <c r="Q350" s="101" t="s">
        <v>177</v>
      </c>
      <c r="R350" s="101"/>
      <c r="S350" s="197"/>
      <c r="T350" s="17" t="s">
        <v>13</v>
      </c>
      <c r="U350" s="17" t="s">
        <v>1095</v>
      </c>
      <c r="V350" s="17" t="s">
        <v>1095</v>
      </c>
      <c r="W350" s="17" t="s">
        <v>1095</v>
      </c>
      <c r="X350" s="17" t="s">
        <v>1095</v>
      </c>
      <c r="Y350" s="21">
        <v>0</v>
      </c>
      <c r="Z350" s="21">
        <v>0</v>
      </c>
      <c r="AA350" s="21">
        <v>0</v>
      </c>
      <c r="AB350" s="21">
        <v>0</v>
      </c>
      <c r="AC350" s="21">
        <v>0</v>
      </c>
      <c r="AD350" s="21">
        <v>0</v>
      </c>
      <c r="AE350" s="93" t="s">
        <v>1443</v>
      </c>
      <c r="AF350" s="58" t="s">
        <v>129</v>
      </c>
      <c r="AG350" s="58"/>
      <c r="AH350" s="58"/>
      <c r="AI350" s="111" t="s">
        <v>130</v>
      </c>
      <c r="AJ350" s="21">
        <f t="shared" si="215"/>
        <v>0</v>
      </c>
      <c r="AK350" s="58" t="s">
        <v>13</v>
      </c>
      <c r="AL350" s="58" t="s">
        <v>13</v>
      </c>
      <c r="AM350" s="58" t="s">
        <v>13</v>
      </c>
      <c r="AN350" s="58" t="s">
        <v>13</v>
      </c>
      <c r="AO350" s="58" t="s">
        <v>13</v>
      </c>
      <c r="AP350" s="58" t="s">
        <v>13</v>
      </c>
      <c r="AQ350" s="58" t="s">
        <v>13</v>
      </c>
      <c r="AR350" s="58" t="s">
        <v>13</v>
      </c>
      <c r="AS350" s="58" t="s">
        <v>13</v>
      </c>
      <c r="AT350" s="58" t="s">
        <v>13</v>
      </c>
      <c r="AU350" s="58" t="s">
        <v>13</v>
      </c>
      <c r="AV350" s="58" t="s">
        <v>13</v>
      </c>
      <c r="AW350" s="58" t="s">
        <v>13</v>
      </c>
      <c r="AX350" s="58" t="s">
        <v>13</v>
      </c>
      <c r="AY350" s="58" t="s">
        <v>13</v>
      </c>
      <c r="AZ350" s="58" t="s">
        <v>13</v>
      </c>
      <c r="BA350" s="58" t="s">
        <v>13</v>
      </c>
      <c r="BB350" s="58" t="s">
        <v>13</v>
      </c>
      <c r="BC350" s="58" t="s">
        <v>13</v>
      </c>
      <c r="BD350" s="58" t="s">
        <v>13</v>
      </c>
      <c r="BE350" s="58" t="s">
        <v>13</v>
      </c>
      <c r="BF350" s="58" t="s">
        <v>13</v>
      </c>
      <c r="BG350" s="58" t="s">
        <v>13</v>
      </c>
      <c r="BH350" s="58" t="s">
        <v>13</v>
      </c>
      <c r="BI350" s="58" t="s">
        <v>13</v>
      </c>
      <c r="BJ350" s="58" t="s">
        <v>13</v>
      </c>
      <c r="BK350" s="58" t="s">
        <v>13</v>
      </c>
      <c r="BL350" s="17" t="s">
        <v>964</v>
      </c>
      <c r="BM350" s="21">
        <v>0</v>
      </c>
      <c r="BN350" s="21">
        <v>0</v>
      </c>
      <c r="BO350" s="21">
        <v>0</v>
      </c>
      <c r="BP350" s="31">
        <f t="shared" si="200"/>
        <v>0</v>
      </c>
      <c r="BQ350" s="31">
        <f t="shared" si="200"/>
        <v>0</v>
      </c>
      <c r="BR350" s="58">
        <f>Table1[[#This Row],[Check 2 Students Total]]*Table1[[#This Row],[Summer 2018 Price Check]]</f>
        <v>0</v>
      </c>
      <c r="BS350" s="21">
        <v>0</v>
      </c>
      <c r="BT350" s="21">
        <v>0</v>
      </c>
      <c r="BU350" s="21">
        <v>0</v>
      </c>
      <c r="BV350" s="21">
        <v>0</v>
      </c>
      <c r="BW350" s="21">
        <v>0</v>
      </c>
      <c r="BX350" s="115">
        <f>Table1[[#This Row],[Summer 2018 Price Check]]*Table1[[#This Row],[Spring 2019 Students]]</f>
        <v>0</v>
      </c>
      <c r="BY350" s="31">
        <f t="shared" si="205"/>
        <v>0</v>
      </c>
      <c r="BZ350" s="58">
        <f t="shared" si="206"/>
        <v>0</v>
      </c>
      <c r="CA350" s="17" t="s">
        <v>964</v>
      </c>
      <c r="CB350" s="21">
        <v>0</v>
      </c>
      <c r="CC350" s="21">
        <v>0</v>
      </c>
      <c r="CD350" s="21">
        <v>0</v>
      </c>
      <c r="CE350" s="21">
        <f t="shared" si="214"/>
        <v>0</v>
      </c>
      <c r="CF350" s="21">
        <v>0</v>
      </c>
      <c r="CG350" s="115">
        <v>0</v>
      </c>
      <c r="CH350" s="93" t="s">
        <v>1443</v>
      </c>
      <c r="CI350" s="114">
        <f>IF(Table1[[#This Row],[Check 3 Status]]="Continued", Table1[[#This Row],[Check 3 Students Summer]], 0)</f>
        <v>0</v>
      </c>
      <c r="CJ350" s="115">
        <f>Table1[[#This Row],[Check 3 Per Student Savings]]*CI350</f>
        <v>0</v>
      </c>
      <c r="CK350" s="114">
        <f>IF(Table1[[#This Row],[Check 3 Status]]="Continued", Table1[[#This Row],[Check 3 Students Fall]], 0)</f>
        <v>0</v>
      </c>
      <c r="CL350" s="115">
        <f>Table1[[#This Row],[Check 3 Per Student Savings]]*CK350</f>
        <v>0</v>
      </c>
      <c r="CM350" s="114">
        <f>IF(Table1[[#This Row],[Check 3 Status]]="Continued", Table1[[#This Row],[Check 3 Students Spring]], 0)</f>
        <v>0</v>
      </c>
      <c r="CN350" s="115">
        <f>Table1[[#This Row],[Check 3 Per Student Savings]]*CM350</f>
        <v>0</v>
      </c>
      <c r="CO350" s="114">
        <f t="shared" si="208"/>
        <v>0</v>
      </c>
      <c r="CP350" s="115">
        <f t="shared" si="209"/>
        <v>0</v>
      </c>
      <c r="CQ350" s="115" t="s">
        <v>964</v>
      </c>
      <c r="CR350" s="114">
        <v>0</v>
      </c>
      <c r="CS350" s="114">
        <v>0</v>
      </c>
      <c r="CT350" s="114">
        <v>0</v>
      </c>
      <c r="CU350" s="114">
        <f t="shared" si="210"/>
        <v>0</v>
      </c>
      <c r="CV350" s="115">
        <v>0</v>
      </c>
      <c r="CW350" s="115">
        <f t="shared" si="211"/>
        <v>0</v>
      </c>
      <c r="CX350" s="232" t="s">
        <v>1443</v>
      </c>
      <c r="CY350" s="21">
        <f>IF(Table1[[#This Row],[Check 4 Status]]="Continued", Table1[[#This Row],[Check 4 Students Summer]], 0)</f>
        <v>0</v>
      </c>
      <c r="CZ350" s="58">
        <f>Table1[[#This Row],[Check 4 Per Student Savings]]*CY350</f>
        <v>0</v>
      </c>
      <c r="DA350" s="114">
        <f>IF(Table1[[#This Row],[Check 4 Status]]="Continued", Table1[[#This Row],[Check 4 Students Fall]], 0)</f>
        <v>0</v>
      </c>
      <c r="DB350" s="115">
        <f>Table1[[#This Row],[Check 4 Per Student Savings]]*DA350</f>
        <v>0</v>
      </c>
      <c r="DC350" s="21">
        <f>IF(Table1[[#This Row],[Check 4 Status]]="Continued", Table1[[#This Row],[Check 4 Students Spring]], 0)</f>
        <v>0</v>
      </c>
      <c r="DD350" s="58">
        <f>Table1[[#This Row],[Check 4 Per Student Savings]]*DC350</f>
        <v>0</v>
      </c>
      <c r="DE350" s="58">
        <f t="shared" si="212"/>
        <v>0</v>
      </c>
      <c r="DF350" s="58">
        <f t="shared" si="213"/>
        <v>0</v>
      </c>
      <c r="DG350" s="21">
        <v>0</v>
      </c>
      <c r="DH350" s="21">
        <v>0</v>
      </c>
      <c r="DI350" s="21">
        <v>0</v>
      </c>
      <c r="DJ350" s="17"/>
      <c r="DK350" s="17"/>
      <c r="DL350" s="17"/>
      <c r="DM350" s="17"/>
      <c r="DY350" s="21"/>
      <c r="DZ350" s="58"/>
      <c r="EA350" s="21"/>
      <c r="EB350" s="21"/>
      <c r="EC350" s="17"/>
      <c r="ED350" s="17"/>
      <c r="EE350" s="17"/>
      <c r="EF350" s="17"/>
    </row>
    <row r="351" spans="1:142" ht="15.75" thickTop="1" x14ac:dyDescent="0.25">
      <c r="A351" s="120">
        <v>473</v>
      </c>
      <c r="B351" s="121"/>
      <c r="C351" s="121" t="s">
        <v>129</v>
      </c>
      <c r="D351" s="118">
        <v>517199</v>
      </c>
      <c r="E351" s="117"/>
      <c r="F351" s="117"/>
      <c r="G351" s="200" t="s">
        <v>1583</v>
      </c>
      <c r="H351" s="95" t="s">
        <v>5</v>
      </c>
      <c r="I351" s="226" t="s">
        <v>118</v>
      </c>
      <c r="J351" s="205" t="s">
        <v>499</v>
      </c>
      <c r="K351" s="107">
        <v>25800</v>
      </c>
      <c r="L351" s="107" t="s">
        <v>498</v>
      </c>
      <c r="M351" s="101" t="s">
        <v>1584</v>
      </c>
      <c r="N351" s="101" t="s">
        <v>1585</v>
      </c>
      <c r="O351" s="101" t="s">
        <v>1586</v>
      </c>
      <c r="P351" s="101" t="s">
        <v>1587</v>
      </c>
      <c r="Q351" s="101" t="s">
        <v>192</v>
      </c>
      <c r="R351" s="101"/>
      <c r="S351" s="206"/>
      <c r="T351" s="206"/>
      <c r="U351" s="206"/>
      <c r="V351" s="17" t="s">
        <v>1095</v>
      </c>
      <c r="W351" s="17" t="s">
        <v>1095</v>
      </c>
      <c r="X351" s="17" t="s">
        <v>1095</v>
      </c>
      <c r="Y351" s="122">
        <v>47034</v>
      </c>
      <c r="Z351" s="17" t="s">
        <v>1588</v>
      </c>
      <c r="AA351" s="62" t="s">
        <v>1589</v>
      </c>
      <c r="AB351" s="21" t="s">
        <v>1285</v>
      </c>
      <c r="AC351" s="21" t="s">
        <v>1293</v>
      </c>
      <c r="AD351" s="21">
        <v>144</v>
      </c>
      <c r="AE351" s="17" t="s">
        <v>498</v>
      </c>
      <c r="AF351" s="58" t="s">
        <v>129</v>
      </c>
      <c r="AG351" s="58"/>
      <c r="AH351" s="58"/>
      <c r="AI351" s="111" t="s">
        <v>130</v>
      </c>
      <c r="AJ351" s="21">
        <v>0</v>
      </c>
      <c r="AK351" s="58">
        <v>0</v>
      </c>
      <c r="AL351" s="21">
        <v>0</v>
      </c>
      <c r="AM351" s="58">
        <f t="shared" ref="AM351:AM378" si="216">AK351</f>
        <v>0</v>
      </c>
      <c r="AN351" s="21">
        <v>0</v>
      </c>
      <c r="AO351" s="21">
        <v>0</v>
      </c>
      <c r="AP351" s="21">
        <v>0</v>
      </c>
      <c r="AQ351" s="21">
        <v>0</v>
      </c>
      <c r="AR351" s="21">
        <v>0</v>
      </c>
      <c r="AS351" s="21">
        <v>0</v>
      </c>
      <c r="AT351" s="21">
        <v>0</v>
      </c>
      <c r="AU351" s="21">
        <v>0</v>
      </c>
      <c r="AV351" s="21">
        <v>0</v>
      </c>
      <c r="AW351" s="21">
        <v>0</v>
      </c>
      <c r="AX351" s="21">
        <v>0</v>
      </c>
      <c r="AY351" s="21">
        <v>0</v>
      </c>
      <c r="AZ351" s="21">
        <v>0</v>
      </c>
      <c r="BA351" s="21">
        <v>0</v>
      </c>
      <c r="BB351" s="21">
        <v>0</v>
      </c>
      <c r="BC351" s="21">
        <v>0</v>
      </c>
      <c r="BD351" s="21">
        <v>0</v>
      </c>
      <c r="BE351" s="21">
        <v>0</v>
      </c>
      <c r="BF351" s="21">
        <v>0</v>
      </c>
      <c r="BG351" s="21">
        <v>0</v>
      </c>
      <c r="BH351" s="21">
        <v>0</v>
      </c>
      <c r="BI351" s="21">
        <v>0</v>
      </c>
      <c r="BJ351" s="21">
        <v>0</v>
      </c>
      <c r="BK351" s="21">
        <v>0</v>
      </c>
      <c r="BL351" s="17" t="s">
        <v>130</v>
      </c>
      <c r="BM351" s="21">
        <v>0</v>
      </c>
      <c r="BN351" s="21">
        <v>0</v>
      </c>
      <c r="BO351" s="21">
        <v>0</v>
      </c>
      <c r="BP351" s="31">
        <f t="shared" ref="BP351:BQ378" si="217">SUM(BM351:BO351)</f>
        <v>0</v>
      </c>
      <c r="BQ351" s="31">
        <f t="shared" si="217"/>
        <v>0</v>
      </c>
      <c r="BR351" s="58">
        <f>Table1[[#This Row],[Check 2 Students Total]]*Table1[[#This Row],[Summer 2018 Price Check]]</f>
        <v>0</v>
      </c>
      <c r="BS351" s="21">
        <v>0</v>
      </c>
      <c r="BT351" s="21">
        <v>0</v>
      </c>
      <c r="BU351" s="21">
        <v>0</v>
      </c>
      <c r="BV351" s="21">
        <v>0</v>
      </c>
      <c r="BW351" s="21">
        <v>0</v>
      </c>
      <c r="BX351" s="123">
        <f>Table1[[#This Row],[Summer 2018 Price Check]]*Table1[[#This Row],[Spring 2019 Students]]</f>
        <v>0</v>
      </c>
      <c r="BY351" s="31">
        <f t="shared" ref="BY351:BY378" si="218">BS351+BU351+BW351</f>
        <v>0</v>
      </c>
      <c r="BZ351" s="58">
        <f t="shared" ref="BZ351:BZ378" si="219">BT351+BV351+BX351</f>
        <v>0</v>
      </c>
      <c r="CA351" s="58" t="s">
        <v>130</v>
      </c>
      <c r="CB351" s="21" t="s">
        <v>1285</v>
      </c>
      <c r="CC351" s="21" t="s">
        <v>1293</v>
      </c>
      <c r="CD351" s="21">
        <v>144</v>
      </c>
      <c r="CE351" s="21" t="str">
        <f t="shared" ref="CE351:CE367" si="220">Z351</f>
        <v>216</v>
      </c>
      <c r="CF351" s="62" t="s">
        <v>1589</v>
      </c>
      <c r="CG351" s="123">
        <f t="shared" ref="CG351:CG378" si="221">(CE351*CF351)</f>
        <v>28220.400000000001</v>
      </c>
      <c r="CH351" s="17" t="s">
        <v>498</v>
      </c>
      <c r="CI351" s="124">
        <v>0</v>
      </c>
      <c r="CJ351" s="123">
        <f>Table1[[#This Row],[Check 3 Per Student Savings]]*CI351</f>
        <v>0</v>
      </c>
      <c r="CK351" s="124">
        <v>0</v>
      </c>
      <c r="CL351" s="123">
        <f>Table1[[#This Row],[Check 3 Per Student Savings]]*CK351</f>
        <v>0</v>
      </c>
      <c r="CM351" s="124">
        <v>0</v>
      </c>
      <c r="CN351" s="123">
        <f>Table1[[#This Row],[Check 3 Per Student Savings]]*CM351</f>
        <v>0</v>
      </c>
      <c r="CO351" s="124">
        <f t="shared" si="208"/>
        <v>0</v>
      </c>
      <c r="CP351" s="123">
        <f t="shared" si="209"/>
        <v>0</v>
      </c>
      <c r="CQ351" s="123" t="s">
        <v>130</v>
      </c>
      <c r="CR351" s="124" t="s">
        <v>1285</v>
      </c>
      <c r="CS351" s="124" t="s">
        <v>1293</v>
      </c>
      <c r="CT351" s="124">
        <v>144</v>
      </c>
      <c r="CU351" s="124">
        <f t="shared" si="210"/>
        <v>360</v>
      </c>
      <c r="CV351" s="123" t="s">
        <v>1589</v>
      </c>
      <c r="CW351" s="123">
        <f t="shared" si="211"/>
        <v>47034</v>
      </c>
      <c r="CX351" s="17" t="s">
        <v>498</v>
      </c>
      <c r="CY351" s="124">
        <v>0</v>
      </c>
      <c r="CZ351" s="58">
        <f>Table1[[#This Row],[Check 4 Per Student Savings]]*CY351</f>
        <v>0</v>
      </c>
      <c r="DA351" s="124" t="str">
        <f>IF(Table1[[#This Row],[Check 4 Status]]="Continued", Table1[[#This Row],[Check 4 Students Fall]], 0)</f>
        <v>168</v>
      </c>
      <c r="DB351" s="123">
        <f>Table1[[#This Row],[Check 4 Per Student Savings]]*DA351</f>
        <v>21949.200000000001</v>
      </c>
      <c r="DC351" s="21">
        <f>IF(Table1[[#This Row],[Check 4 Status]]="Continued", Table1[[#This Row],[Check 4 Students Spring]], 0)</f>
        <v>144</v>
      </c>
      <c r="DD351" s="58">
        <f>Table1[[#This Row],[Check 4 Per Student Savings]]*DC351</f>
        <v>18813.600000000002</v>
      </c>
      <c r="DE351" s="58">
        <f t="shared" si="212"/>
        <v>312</v>
      </c>
      <c r="DF351" s="58">
        <f t="shared" si="213"/>
        <v>40762.800000000003</v>
      </c>
      <c r="DG35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312</v>
      </c>
      <c r="DH35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40762.800000000003</v>
      </c>
      <c r="DI351" s="111">
        <f>Table1[[#This Row],[Grand Total Savings]]/Table1[[#This Row],[Total Award]]</f>
        <v>1.5799534883720932</v>
      </c>
      <c r="DJ351" s="17"/>
      <c r="DK351" s="17"/>
      <c r="DL351" s="17"/>
      <c r="DM351" s="17"/>
      <c r="DY351" s="21"/>
      <c r="DZ351" s="58"/>
      <c r="EA351" s="21"/>
      <c r="EB351" s="21"/>
      <c r="EC351" s="17"/>
      <c r="ED351" s="17"/>
      <c r="EE351" s="17"/>
      <c r="EF351" s="17"/>
    </row>
    <row r="352" spans="1:142" x14ac:dyDescent="0.25">
      <c r="A352" s="120">
        <v>476</v>
      </c>
      <c r="B352" s="121"/>
      <c r="C352" s="121" t="s">
        <v>129</v>
      </c>
      <c r="D352" s="118">
        <v>517200</v>
      </c>
      <c r="E352" s="117"/>
      <c r="F352" s="117"/>
      <c r="G352" s="202" t="s">
        <v>1583</v>
      </c>
      <c r="H352" s="95" t="s">
        <v>5</v>
      </c>
      <c r="I352" s="226" t="s">
        <v>118</v>
      </c>
      <c r="J352" s="205" t="s">
        <v>499</v>
      </c>
      <c r="K352" s="107">
        <v>10800</v>
      </c>
      <c r="L352" s="107" t="s">
        <v>498</v>
      </c>
      <c r="M352" s="101" t="s">
        <v>500</v>
      </c>
      <c r="N352" s="101" t="s">
        <v>501</v>
      </c>
      <c r="O352" s="101" t="s">
        <v>1590</v>
      </c>
      <c r="P352" s="101" t="s">
        <v>1591</v>
      </c>
      <c r="Q352" s="101" t="s">
        <v>177</v>
      </c>
      <c r="R352" s="101"/>
      <c r="S352" s="206"/>
      <c r="T352" s="206"/>
      <c r="U352" s="206"/>
      <c r="V352" s="17" t="s">
        <v>1095</v>
      </c>
      <c r="W352" s="17" t="s">
        <v>1095</v>
      </c>
      <c r="X352" s="17" t="s">
        <v>1095</v>
      </c>
      <c r="Y352" s="122">
        <v>18447.800000000003</v>
      </c>
      <c r="Z352" s="17" t="s">
        <v>1468</v>
      </c>
      <c r="AA352" s="62">
        <v>131.77000000000001</v>
      </c>
      <c r="AB352" s="21" t="s">
        <v>1292</v>
      </c>
      <c r="AC352" s="21" t="s">
        <v>1531</v>
      </c>
      <c r="AD352" s="21" t="s">
        <v>1531</v>
      </c>
      <c r="AE352" s="17" t="s">
        <v>498</v>
      </c>
      <c r="AF352" s="58" t="s">
        <v>129</v>
      </c>
      <c r="AG352" s="58"/>
      <c r="AH352" s="58"/>
      <c r="AI352" s="111" t="s">
        <v>130</v>
      </c>
      <c r="AJ352" s="21">
        <v>0</v>
      </c>
      <c r="AK352" s="58">
        <v>0</v>
      </c>
      <c r="AL352" s="21">
        <v>0</v>
      </c>
      <c r="AM352" s="58">
        <f t="shared" si="216"/>
        <v>0</v>
      </c>
      <c r="AN352" s="21">
        <v>0</v>
      </c>
      <c r="AO352" s="21">
        <v>0</v>
      </c>
      <c r="AP352" s="21">
        <v>0</v>
      </c>
      <c r="AQ352" s="21">
        <v>0</v>
      </c>
      <c r="AR352" s="21">
        <v>0</v>
      </c>
      <c r="AS352" s="21">
        <v>0</v>
      </c>
      <c r="AT352" s="21">
        <v>0</v>
      </c>
      <c r="AU352" s="21">
        <v>0</v>
      </c>
      <c r="AV352" s="21">
        <v>0</v>
      </c>
      <c r="AW352" s="21">
        <v>0</v>
      </c>
      <c r="AX352" s="21">
        <v>0</v>
      </c>
      <c r="AY352" s="21">
        <v>0</v>
      </c>
      <c r="AZ352" s="21">
        <v>0</v>
      </c>
      <c r="BA352" s="21">
        <v>0</v>
      </c>
      <c r="BB352" s="21">
        <v>0</v>
      </c>
      <c r="BC352" s="21">
        <v>0</v>
      </c>
      <c r="BD352" s="21">
        <v>0</v>
      </c>
      <c r="BE352" s="21">
        <v>0</v>
      </c>
      <c r="BF352" s="21">
        <v>0</v>
      </c>
      <c r="BG352" s="21">
        <v>0</v>
      </c>
      <c r="BH352" s="21">
        <v>0</v>
      </c>
      <c r="BI352" s="21">
        <v>0</v>
      </c>
      <c r="BJ352" s="21">
        <v>0</v>
      </c>
      <c r="BK352" s="21">
        <v>0</v>
      </c>
      <c r="BL352" s="17" t="s">
        <v>130</v>
      </c>
      <c r="BM352" s="21">
        <v>0</v>
      </c>
      <c r="BN352" s="21">
        <v>0</v>
      </c>
      <c r="BO352" s="21">
        <v>0</v>
      </c>
      <c r="BP352" s="31">
        <f t="shared" si="217"/>
        <v>0</v>
      </c>
      <c r="BQ352" s="31">
        <f t="shared" si="217"/>
        <v>0</v>
      </c>
      <c r="BR352" s="58">
        <f>Table1[[#This Row],[Check 2 Students Total]]*Table1[[#This Row],[Summer 2018 Price Check]]</f>
        <v>0</v>
      </c>
      <c r="BS352" s="21">
        <v>0</v>
      </c>
      <c r="BT352" s="21">
        <v>0</v>
      </c>
      <c r="BU352" s="21">
        <v>0</v>
      </c>
      <c r="BV352" s="21">
        <v>0</v>
      </c>
      <c r="BW352" s="21">
        <v>0</v>
      </c>
      <c r="BX352" s="123">
        <f>Table1[[#This Row],[Summer 2018 Price Check]]*Table1[[#This Row],[Spring 2019 Students]]</f>
        <v>0</v>
      </c>
      <c r="BY352" s="31">
        <f t="shared" si="218"/>
        <v>0</v>
      </c>
      <c r="BZ352" s="58">
        <f t="shared" si="219"/>
        <v>0</v>
      </c>
      <c r="CA352" s="58" t="s">
        <v>130</v>
      </c>
      <c r="CB352" s="21" t="s">
        <v>1292</v>
      </c>
      <c r="CC352" s="21" t="s">
        <v>1531</v>
      </c>
      <c r="CD352" s="21" t="s">
        <v>1531</v>
      </c>
      <c r="CE352" s="21" t="str">
        <f t="shared" si="220"/>
        <v>140</v>
      </c>
      <c r="CF352" s="62">
        <v>131.77000000000001</v>
      </c>
      <c r="CG352" s="123">
        <f t="shared" si="221"/>
        <v>18447.800000000003</v>
      </c>
      <c r="CH352" s="17" t="s">
        <v>498</v>
      </c>
      <c r="CI352" s="124">
        <v>0</v>
      </c>
      <c r="CJ352" s="123">
        <f>Table1[[#This Row],[Check 3 Per Student Savings]]*CI352</f>
        <v>0</v>
      </c>
      <c r="CK352" s="124">
        <v>0</v>
      </c>
      <c r="CL352" s="123">
        <f>Table1[[#This Row],[Check 3 Per Student Savings]]*CK352</f>
        <v>0</v>
      </c>
      <c r="CM352" s="124">
        <v>0</v>
      </c>
      <c r="CN352" s="123">
        <f>Table1[[#This Row],[Check 3 Per Student Savings]]*CM352</f>
        <v>0</v>
      </c>
      <c r="CO352" s="124">
        <f t="shared" si="208"/>
        <v>0</v>
      </c>
      <c r="CP352" s="123">
        <f t="shared" si="209"/>
        <v>0</v>
      </c>
      <c r="CQ352" s="123" t="s">
        <v>130</v>
      </c>
      <c r="CR352" s="124" t="s">
        <v>1292</v>
      </c>
      <c r="CS352" s="124" t="s">
        <v>1531</v>
      </c>
      <c r="CT352" s="124" t="s">
        <v>1531</v>
      </c>
      <c r="CU352" s="124">
        <f t="shared" si="210"/>
        <v>140</v>
      </c>
      <c r="CV352" s="123">
        <v>131.77000000000001</v>
      </c>
      <c r="CW352" s="123">
        <f t="shared" si="211"/>
        <v>18447.800000000003</v>
      </c>
      <c r="CX352" s="17" t="s">
        <v>498</v>
      </c>
      <c r="CY352" s="124">
        <v>0</v>
      </c>
      <c r="CZ352" s="58">
        <f>Table1[[#This Row],[Check 4 Per Student Savings]]*CY352</f>
        <v>0</v>
      </c>
      <c r="DA352" s="124" t="str">
        <f>IF(Table1[[#This Row],[Check 4 Status]]="Continued", Table1[[#This Row],[Check 4 Students Fall]], 0)</f>
        <v>56</v>
      </c>
      <c r="DB352" s="123">
        <f>Table1[[#This Row],[Check 4 Per Student Savings]]*DA352</f>
        <v>7379.1200000000008</v>
      </c>
      <c r="DC352" s="21" t="str">
        <f>IF(Table1[[#This Row],[Check 4 Status]]="Continued", Table1[[#This Row],[Check 4 Students Spring]], 0)</f>
        <v>56</v>
      </c>
      <c r="DD352" s="58">
        <f>Table1[[#This Row],[Check 4 Per Student Savings]]*DC352</f>
        <v>7379.1200000000008</v>
      </c>
      <c r="DE352" s="58">
        <f t="shared" si="212"/>
        <v>112</v>
      </c>
      <c r="DF352" s="58">
        <f t="shared" si="213"/>
        <v>14758.240000000002</v>
      </c>
      <c r="DG35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112</v>
      </c>
      <c r="DH35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14758.240000000002</v>
      </c>
      <c r="DI352" s="111">
        <f>Table1[[#This Row],[Grand Total Savings]]/Table1[[#This Row],[Total Award]]</f>
        <v>1.3665037037037038</v>
      </c>
      <c r="DJ352" s="31"/>
      <c r="DL352" s="31"/>
      <c r="DM352" s="31"/>
      <c r="DN352" s="31"/>
      <c r="DO352" s="207"/>
      <c r="DP352" s="58"/>
      <c r="DQ352" s="31"/>
      <c r="DR352" s="58"/>
      <c r="DS352" s="58"/>
      <c r="EC352" s="17"/>
      <c r="ED352" s="17"/>
      <c r="EE352" s="17"/>
      <c r="EF352" s="17"/>
      <c r="EI352" s="21"/>
      <c r="EJ352" s="58"/>
      <c r="EK352" s="21"/>
      <c r="EL352" s="21"/>
    </row>
    <row r="353" spans="1:142" x14ac:dyDescent="0.25">
      <c r="A353" s="120">
        <v>477</v>
      </c>
      <c r="B353" s="121"/>
      <c r="C353" s="121" t="s">
        <v>129</v>
      </c>
      <c r="D353" s="118">
        <v>517187</v>
      </c>
      <c r="E353" s="117"/>
      <c r="F353" s="117"/>
      <c r="G353" s="202" t="s">
        <v>1583</v>
      </c>
      <c r="H353" s="95" t="s">
        <v>5</v>
      </c>
      <c r="I353" s="226" t="s">
        <v>118</v>
      </c>
      <c r="J353" s="205" t="s">
        <v>388</v>
      </c>
      <c r="K353" s="107">
        <v>10800</v>
      </c>
      <c r="L353" s="107" t="s">
        <v>498</v>
      </c>
      <c r="M353" s="101" t="s">
        <v>1592</v>
      </c>
      <c r="N353" s="101" t="s">
        <v>1593</v>
      </c>
      <c r="O353" s="101" t="s">
        <v>1594</v>
      </c>
      <c r="P353" s="101" t="s">
        <v>455</v>
      </c>
      <c r="Q353" s="101" t="s">
        <v>456</v>
      </c>
      <c r="R353" s="101"/>
      <c r="S353" s="206"/>
      <c r="T353" s="206"/>
      <c r="U353" s="206"/>
      <c r="V353" s="17" t="s">
        <v>1095</v>
      </c>
      <c r="W353" s="17" t="s">
        <v>1095</v>
      </c>
      <c r="X353" s="17" t="s">
        <v>1095</v>
      </c>
      <c r="Y353" s="122">
        <v>33320</v>
      </c>
      <c r="Z353" s="17" t="s">
        <v>1387</v>
      </c>
      <c r="AA353" s="62" t="s">
        <v>1595</v>
      </c>
      <c r="AB353" s="21" t="s">
        <v>1305</v>
      </c>
      <c r="AC353" s="21" t="s">
        <v>1328</v>
      </c>
      <c r="AD353" s="21" t="s">
        <v>1328</v>
      </c>
      <c r="AE353" s="17" t="s">
        <v>498</v>
      </c>
      <c r="AF353" s="58" t="s">
        <v>129</v>
      </c>
      <c r="AG353" s="58"/>
      <c r="AH353" s="58"/>
      <c r="AI353" s="111" t="s">
        <v>130</v>
      </c>
      <c r="AJ353" s="21">
        <v>0</v>
      </c>
      <c r="AK353" s="58">
        <v>0</v>
      </c>
      <c r="AL353" s="21">
        <v>0</v>
      </c>
      <c r="AM353" s="58">
        <f t="shared" si="216"/>
        <v>0</v>
      </c>
      <c r="AN353" s="21">
        <v>0</v>
      </c>
      <c r="AO353" s="21">
        <v>0</v>
      </c>
      <c r="AP353" s="21">
        <v>0</v>
      </c>
      <c r="AQ353" s="21">
        <v>0</v>
      </c>
      <c r="AR353" s="21">
        <v>0</v>
      </c>
      <c r="AS353" s="21">
        <v>0</v>
      </c>
      <c r="AT353" s="21">
        <v>0</v>
      </c>
      <c r="AU353" s="21">
        <v>0</v>
      </c>
      <c r="AV353" s="21">
        <v>0</v>
      </c>
      <c r="AW353" s="21">
        <v>0</v>
      </c>
      <c r="AX353" s="21">
        <v>0</v>
      </c>
      <c r="AY353" s="21">
        <v>0</v>
      </c>
      <c r="AZ353" s="21">
        <v>0</v>
      </c>
      <c r="BA353" s="21">
        <v>0</v>
      </c>
      <c r="BB353" s="21">
        <v>0</v>
      </c>
      <c r="BC353" s="21">
        <v>0</v>
      </c>
      <c r="BD353" s="21">
        <v>0</v>
      </c>
      <c r="BE353" s="21">
        <v>0</v>
      </c>
      <c r="BF353" s="21">
        <v>0</v>
      </c>
      <c r="BG353" s="21">
        <v>0</v>
      </c>
      <c r="BH353" s="21">
        <v>0</v>
      </c>
      <c r="BI353" s="21">
        <v>0</v>
      </c>
      <c r="BJ353" s="21">
        <v>0</v>
      </c>
      <c r="BK353" s="21">
        <v>0</v>
      </c>
      <c r="BL353" s="17" t="s">
        <v>130</v>
      </c>
      <c r="BM353" s="21">
        <v>0</v>
      </c>
      <c r="BN353" s="21">
        <v>0</v>
      </c>
      <c r="BO353" s="21">
        <v>0</v>
      </c>
      <c r="BP353" s="31">
        <f t="shared" si="217"/>
        <v>0</v>
      </c>
      <c r="BQ353" s="31">
        <f t="shared" si="217"/>
        <v>0</v>
      </c>
      <c r="BR353" s="58">
        <f>Table1[[#This Row],[Check 2 Students Total]]*Table1[[#This Row],[Summer 2018 Price Check]]</f>
        <v>0</v>
      </c>
      <c r="BS353" s="21">
        <v>0</v>
      </c>
      <c r="BT353" s="21">
        <v>0</v>
      </c>
      <c r="BU353" s="21">
        <v>0</v>
      </c>
      <c r="BV353" s="21">
        <v>0</v>
      </c>
      <c r="BW353" s="21">
        <v>0</v>
      </c>
      <c r="BX353" s="123">
        <f>Table1[[#This Row],[Summer 2018 Price Check]]*Table1[[#This Row],[Spring 2019 Students]]</f>
        <v>0</v>
      </c>
      <c r="BY353" s="31">
        <f t="shared" si="218"/>
        <v>0</v>
      </c>
      <c r="BZ353" s="58">
        <f t="shared" si="219"/>
        <v>0</v>
      </c>
      <c r="CA353" s="58" t="s">
        <v>130</v>
      </c>
      <c r="CB353" s="21" t="s">
        <v>1305</v>
      </c>
      <c r="CC353" s="21" t="s">
        <v>1328</v>
      </c>
      <c r="CD353" s="21" t="s">
        <v>1328</v>
      </c>
      <c r="CE353" s="21" t="str">
        <f t="shared" si="220"/>
        <v>280</v>
      </c>
      <c r="CF353" s="62" t="s">
        <v>1595</v>
      </c>
      <c r="CG353" s="123">
        <f t="shared" si="221"/>
        <v>33320</v>
      </c>
      <c r="CH353" s="17" t="s">
        <v>498</v>
      </c>
      <c r="CI353" s="124">
        <v>0</v>
      </c>
      <c r="CJ353" s="123">
        <f>Table1[[#This Row],[Check 3 Per Student Savings]]*CI353</f>
        <v>0</v>
      </c>
      <c r="CK353" s="124">
        <v>0</v>
      </c>
      <c r="CL353" s="123">
        <f>Table1[[#This Row],[Check 3 Per Student Savings]]*CK353</f>
        <v>0</v>
      </c>
      <c r="CM353" s="124">
        <v>0</v>
      </c>
      <c r="CN353" s="123">
        <f>Table1[[#This Row],[Check 3 Per Student Savings]]*CM353</f>
        <v>0</v>
      </c>
      <c r="CO353" s="124">
        <f t="shared" si="208"/>
        <v>0</v>
      </c>
      <c r="CP353" s="123">
        <f t="shared" si="209"/>
        <v>0</v>
      </c>
      <c r="CQ353" s="123" t="s">
        <v>130</v>
      </c>
      <c r="CR353" s="124" t="s">
        <v>1305</v>
      </c>
      <c r="CS353" s="124" t="s">
        <v>1328</v>
      </c>
      <c r="CT353" s="124" t="s">
        <v>1328</v>
      </c>
      <c r="CU353" s="124">
        <f t="shared" si="210"/>
        <v>280</v>
      </c>
      <c r="CV353" s="123" t="s">
        <v>1595</v>
      </c>
      <c r="CW353" s="123">
        <f t="shared" si="211"/>
        <v>33320</v>
      </c>
      <c r="CX353" s="17" t="s">
        <v>498</v>
      </c>
      <c r="CY353" s="124">
        <v>0</v>
      </c>
      <c r="CZ353" s="58">
        <f>Table1[[#This Row],[Check 4 Per Student Savings]]*CY353</f>
        <v>0</v>
      </c>
      <c r="DA353" s="124" t="str">
        <f>IF(Table1[[#This Row],[Check 4 Status]]="Continued", Table1[[#This Row],[Check 4 Students Fall]], 0)</f>
        <v>120</v>
      </c>
      <c r="DB353" s="123">
        <f>Table1[[#This Row],[Check 4 Per Student Savings]]*DA353</f>
        <v>14280</v>
      </c>
      <c r="DC353" s="21" t="str">
        <f>IF(Table1[[#This Row],[Check 4 Status]]="Continued", Table1[[#This Row],[Check 4 Students Spring]], 0)</f>
        <v>120</v>
      </c>
      <c r="DD353" s="58">
        <f>Table1[[#This Row],[Check 4 Per Student Savings]]*DC353</f>
        <v>14280</v>
      </c>
      <c r="DE353" s="58">
        <f t="shared" si="212"/>
        <v>240</v>
      </c>
      <c r="DF353" s="58">
        <f t="shared" si="213"/>
        <v>28560</v>
      </c>
      <c r="DG35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240</v>
      </c>
      <c r="DH35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28560</v>
      </c>
      <c r="DI353" s="111">
        <f>Table1[[#This Row],[Grand Total Savings]]/Table1[[#This Row],[Total Award]]</f>
        <v>2.6444444444444444</v>
      </c>
      <c r="DJ353" s="31"/>
      <c r="DL353" s="31"/>
      <c r="DM353" s="31"/>
      <c r="DN353" s="31"/>
      <c r="DO353" s="207"/>
      <c r="DP353" s="58"/>
      <c r="DQ353" s="31"/>
      <c r="DR353" s="58"/>
      <c r="DS353" s="58"/>
      <c r="EC353" s="17"/>
      <c r="ED353" s="17"/>
      <c r="EE353" s="17"/>
      <c r="EF353" s="17"/>
      <c r="EI353" s="21"/>
      <c r="EJ353" s="58"/>
      <c r="EK353" s="21"/>
      <c r="EL353" s="21"/>
    </row>
    <row r="354" spans="1:142" x14ac:dyDescent="0.25">
      <c r="A354" s="120">
        <v>478</v>
      </c>
      <c r="B354" s="121"/>
      <c r="C354" s="121" t="s">
        <v>129</v>
      </c>
      <c r="D354" s="118">
        <v>517368</v>
      </c>
      <c r="E354" s="117"/>
      <c r="F354" s="117"/>
      <c r="G354" s="202" t="s">
        <v>1583</v>
      </c>
      <c r="H354" s="95" t="s">
        <v>5</v>
      </c>
      <c r="I354" s="226" t="s">
        <v>118</v>
      </c>
      <c r="J354" s="205" t="s">
        <v>172</v>
      </c>
      <c r="K354" s="107">
        <v>30000</v>
      </c>
      <c r="L354" s="107" t="s">
        <v>498</v>
      </c>
      <c r="M354" s="101" t="s">
        <v>546</v>
      </c>
      <c r="N354" s="101" t="s">
        <v>547</v>
      </c>
      <c r="O354" s="101" t="s">
        <v>1596</v>
      </c>
      <c r="P354" s="101" t="s">
        <v>1597</v>
      </c>
      <c r="Q354" s="101" t="s">
        <v>543</v>
      </c>
      <c r="R354" s="101"/>
      <c r="S354" s="206"/>
      <c r="T354" s="206"/>
      <c r="U354" s="206"/>
      <c r="V354" s="17" t="s">
        <v>1095</v>
      </c>
      <c r="W354" s="17" t="s">
        <v>1095</v>
      </c>
      <c r="X354" s="17" t="s">
        <v>1095</v>
      </c>
      <c r="Y354" s="122">
        <v>287175.60000000003</v>
      </c>
      <c r="Z354" s="17" t="s">
        <v>1598</v>
      </c>
      <c r="AA354" s="62">
        <v>173.52</v>
      </c>
      <c r="AB354" s="21" t="s">
        <v>1599</v>
      </c>
      <c r="AC354" s="21" t="s">
        <v>1600</v>
      </c>
      <c r="AD354" s="21" t="s">
        <v>1600</v>
      </c>
      <c r="AE354" s="17" t="s">
        <v>498</v>
      </c>
      <c r="AF354" s="58" t="s">
        <v>129</v>
      </c>
      <c r="AG354" s="58"/>
      <c r="AH354" s="58"/>
      <c r="AI354" s="111" t="s">
        <v>130</v>
      </c>
      <c r="AJ354" s="21">
        <v>0</v>
      </c>
      <c r="AK354" s="58">
        <v>0</v>
      </c>
      <c r="AL354" s="21">
        <v>0</v>
      </c>
      <c r="AM354" s="58">
        <f t="shared" si="216"/>
        <v>0</v>
      </c>
      <c r="AN354" s="21">
        <v>0</v>
      </c>
      <c r="AO354" s="21">
        <v>0</v>
      </c>
      <c r="AP354" s="21">
        <v>0</v>
      </c>
      <c r="AQ354" s="21">
        <v>0</v>
      </c>
      <c r="AR354" s="21">
        <v>0</v>
      </c>
      <c r="AS354" s="21">
        <v>0</v>
      </c>
      <c r="AT354" s="21">
        <v>0</v>
      </c>
      <c r="AU354" s="21">
        <v>0</v>
      </c>
      <c r="AV354" s="21">
        <v>0</v>
      </c>
      <c r="AW354" s="21">
        <v>0</v>
      </c>
      <c r="AX354" s="21">
        <v>0</v>
      </c>
      <c r="AY354" s="21">
        <v>0</v>
      </c>
      <c r="AZ354" s="21">
        <v>0</v>
      </c>
      <c r="BA354" s="21">
        <v>0</v>
      </c>
      <c r="BB354" s="21">
        <v>0</v>
      </c>
      <c r="BC354" s="21">
        <v>0</v>
      </c>
      <c r="BD354" s="21">
        <v>0</v>
      </c>
      <c r="BE354" s="21">
        <v>0</v>
      </c>
      <c r="BF354" s="21">
        <v>0</v>
      </c>
      <c r="BG354" s="21">
        <v>0</v>
      </c>
      <c r="BH354" s="21">
        <v>0</v>
      </c>
      <c r="BI354" s="21">
        <v>0</v>
      </c>
      <c r="BJ354" s="21">
        <v>0</v>
      </c>
      <c r="BK354" s="21">
        <v>0</v>
      </c>
      <c r="BL354" s="17" t="s">
        <v>130</v>
      </c>
      <c r="BM354" s="21">
        <v>0</v>
      </c>
      <c r="BN354" s="21">
        <v>0</v>
      </c>
      <c r="BO354" s="21">
        <v>0</v>
      </c>
      <c r="BP354" s="31">
        <f t="shared" si="217"/>
        <v>0</v>
      </c>
      <c r="BQ354" s="31">
        <f t="shared" si="217"/>
        <v>0</v>
      </c>
      <c r="BR354" s="58">
        <f>Table1[[#This Row],[Check 2 Students Total]]*Table1[[#This Row],[Summer 2018 Price Check]]</f>
        <v>0</v>
      </c>
      <c r="BS354" s="21">
        <v>0</v>
      </c>
      <c r="BT354" s="21">
        <v>0</v>
      </c>
      <c r="BU354" s="21">
        <v>0</v>
      </c>
      <c r="BV354" s="21">
        <v>0</v>
      </c>
      <c r="BW354" s="21">
        <v>0</v>
      </c>
      <c r="BX354" s="123">
        <f>Table1[[#This Row],[Summer 2018 Price Check]]*Table1[[#This Row],[Spring 2019 Students]]</f>
        <v>0</v>
      </c>
      <c r="BY354" s="31">
        <f t="shared" si="218"/>
        <v>0</v>
      </c>
      <c r="BZ354" s="58">
        <f t="shared" si="219"/>
        <v>0</v>
      </c>
      <c r="CA354" s="58" t="s">
        <v>130</v>
      </c>
      <c r="CB354" s="21" t="s">
        <v>1599</v>
      </c>
      <c r="CC354" s="21" t="s">
        <v>1600</v>
      </c>
      <c r="CD354" s="21" t="s">
        <v>1600</v>
      </c>
      <c r="CE354" s="21" t="str">
        <f t="shared" si="220"/>
        <v>1655</v>
      </c>
      <c r="CF354" s="62">
        <v>173.52</v>
      </c>
      <c r="CG354" s="123">
        <f t="shared" si="221"/>
        <v>287175.60000000003</v>
      </c>
      <c r="CH354" s="17" t="s">
        <v>498</v>
      </c>
      <c r="CI354" s="124">
        <v>0</v>
      </c>
      <c r="CJ354" s="123">
        <f>Table1[[#This Row],[Check 3 Per Student Savings]]*CI354</f>
        <v>0</v>
      </c>
      <c r="CK354" s="124">
        <v>0</v>
      </c>
      <c r="CL354" s="123">
        <f>Table1[[#This Row],[Check 3 Per Student Savings]]*CK354</f>
        <v>0</v>
      </c>
      <c r="CM354" s="124">
        <v>0</v>
      </c>
      <c r="CN354" s="123">
        <f>Table1[[#This Row],[Check 3 Per Student Savings]]*CM354</f>
        <v>0</v>
      </c>
      <c r="CO354" s="124">
        <f t="shared" si="208"/>
        <v>0</v>
      </c>
      <c r="CP354" s="123">
        <f t="shared" si="209"/>
        <v>0</v>
      </c>
      <c r="CQ354" s="123" t="s">
        <v>130</v>
      </c>
      <c r="CR354" s="124" t="s">
        <v>1599</v>
      </c>
      <c r="CS354" s="124" t="s">
        <v>1600</v>
      </c>
      <c r="CT354" s="124" t="s">
        <v>1600</v>
      </c>
      <c r="CU354" s="124">
        <f t="shared" si="210"/>
        <v>1655</v>
      </c>
      <c r="CV354" s="123">
        <v>173.52</v>
      </c>
      <c r="CW354" s="123">
        <f t="shared" si="211"/>
        <v>287175.60000000003</v>
      </c>
      <c r="CX354" s="17" t="s">
        <v>498</v>
      </c>
      <c r="CY354" s="124">
        <v>0</v>
      </c>
      <c r="CZ354" s="58">
        <f>Table1[[#This Row],[Check 4 Per Student Savings]]*CY354</f>
        <v>0</v>
      </c>
      <c r="DA354" s="124" t="str">
        <f>IF(Table1[[#This Row],[Check 4 Status]]="Continued", Table1[[#This Row],[Check 4 Students Fall]], 0)</f>
        <v>720</v>
      </c>
      <c r="DB354" s="123">
        <f>Table1[[#This Row],[Check 4 Per Student Savings]]*DA354</f>
        <v>124934.40000000001</v>
      </c>
      <c r="DC354" s="21" t="str">
        <f>IF(Table1[[#This Row],[Check 4 Status]]="Continued", Table1[[#This Row],[Check 4 Students Spring]], 0)</f>
        <v>720</v>
      </c>
      <c r="DD354" s="58">
        <f>Table1[[#This Row],[Check 4 Per Student Savings]]*DC354</f>
        <v>124934.40000000001</v>
      </c>
      <c r="DE354" s="58">
        <f t="shared" si="212"/>
        <v>1440</v>
      </c>
      <c r="DF354" s="58">
        <f t="shared" si="213"/>
        <v>249868.80000000002</v>
      </c>
      <c r="DG35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1440</v>
      </c>
      <c r="DH35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249868.80000000002</v>
      </c>
      <c r="DI354" s="111">
        <f>Table1[[#This Row],[Grand Total Savings]]/Table1[[#This Row],[Total Award]]</f>
        <v>8.3289600000000004</v>
      </c>
      <c r="DJ354" s="31"/>
      <c r="DL354" s="31"/>
      <c r="DM354" s="31"/>
      <c r="DN354" s="31"/>
      <c r="DO354" s="207"/>
      <c r="DP354" s="58"/>
      <c r="DQ354" s="31"/>
      <c r="DR354" s="58"/>
      <c r="DS354" s="58"/>
      <c r="EC354" s="17"/>
      <c r="ED354" s="17"/>
      <c r="EE354" s="17"/>
      <c r="EF354" s="17"/>
      <c r="EI354" s="21"/>
      <c r="EJ354" s="58"/>
      <c r="EK354" s="21"/>
      <c r="EL354" s="21"/>
    </row>
    <row r="355" spans="1:142" x14ac:dyDescent="0.25">
      <c r="A355" s="120">
        <v>480</v>
      </c>
      <c r="B355" s="121"/>
      <c r="C355" s="121" t="s">
        <v>129</v>
      </c>
      <c r="D355" s="118">
        <v>517252</v>
      </c>
      <c r="E355" s="117"/>
      <c r="F355" s="117"/>
      <c r="G355" s="202" t="s">
        <v>1583</v>
      </c>
      <c r="H355" s="95" t="s">
        <v>5</v>
      </c>
      <c r="I355" s="226" t="s">
        <v>118</v>
      </c>
      <c r="J355" s="205" t="s">
        <v>132</v>
      </c>
      <c r="K355" s="107">
        <v>10800</v>
      </c>
      <c r="L355" s="107" t="s">
        <v>498</v>
      </c>
      <c r="M355" s="101" t="s">
        <v>1601</v>
      </c>
      <c r="N355" s="101" t="s">
        <v>1602</v>
      </c>
      <c r="O355" s="101" t="s">
        <v>1603</v>
      </c>
      <c r="P355" s="101" t="s">
        <v>1604</v>
      </c>
      <c r="Q355" s="101" t="s">
        <v>530</v>
      </c>
      <c r="R355" s="101"/>
      <c r="S355" s="206"/>
      <c r="T355" s="206"/>
      <c r="U355" s="206"/>
      <c r="V355" s="17" t="s">
        <v>1095</v>
      </c>
      <c r="W355" s="17" t="s">
        <v>1095</v>
      </c>
      <c r="X355" s="17" t="s">
        <v>1095</v>
      </c>
      <c r="Y355" s="122">
        <v>43316.39</v>
      </c>
      <c r="Z355" s="17">
        <v>200</v>
      </c>
      <c r="AA355" s="62">
        <v>119.99</v>
      </c>
      <c r="AB355" s="21" t="s">
        <v>1311</v>
      </c>
      <c r="AC355" s="21" t="s">
        <v>1605</v>
      </c>
      <c r="AD355" s="21" t="s">
        <v>1606</v>
      </c>
      <c r="AE355" s="17" t="s">
        <v>1287</v>
      </c>
      <c r="AF355" s="58" t="s">
        <v>129</v>
      </c>
      <c r="AG355" s="58"/>
      <c r="AH355" s="58"/>
      <c r="AI355" s="111" t="s">
        <v>130</v>
      </c>
      <c r="AJ355" s="21">
        <v>0</v>
      </c>
      <c r="AK355" s="58">
        <v>0</v>
      </c>
      <c r="AL355" s="21">
        <v>0</v>
      </c>
      <c r="AM355" s="58">
        <f t="shared" si="216"/>
        <v>0</v>
      </c>
      <c r="AN355" s="21">
        <v>0</v>
      </c>
      <c r="AO355" s="21">
        <v>0</v>
      </c>
      <c r="AP355" s="21">
        <v>0</v>
      </c>
      <c r="AQ355" s="21">
        <v>0</v>
      </c>
      <c r="AR355" s="21">
        <v>0</v>
      </c>
      <c r="AS355" s="21">
        <v>0</v>
      </c>
      <c r="AT355" s="21">
        <v>0</v>
      </c>
      <c r="AU355" s="21">
        <v>0</v>
      </c>
      <c r="AV355" s="21">
        <v>0</v>
      </c>
      <c r="AW355" s="21">
        <v>0</v>
      </c>
      <c r="AX355" s="21">
        <v>0</v>
      </c>
      <c r="AY355" s="21">
        <v>0</v>
      </c>
      <c r="AZ355" s="21">
        <v>0</v>
      </c>
      <c r="BA355" s="21">
        <v>0</v>
      </c>
      <c r="BB355" s="21">
        <v>0</v>
      </c>
      <c r="BC355" s="21">
        <v>0</v>
      </c>
      <c r="BD355" s="21">
        <v>0</v>
      </c>
      <c r="BE355" s="21">
        <v>0</v>
      </c>
      <c r="BF355" s="21">
        <v>0</v>
      </c>
      <c r="BG355" s="21">
        <v>0</v>
      </c>
      <c r="BH355" s="21">
        <v>0</v>
      </c>
      <c r="BI355" s="21">
        <v>0</v>
      </c>
      <c r="BJ355" s="21">
        <v>0</v>
      </c>
      <c r="BK355" s="21">
        <v>0</v>
      </c>
      <c r="BL355" s="17" t="s">
        <v>130</v>
      </c>
      <c r="BM355" s="21">
        <v>0</v>
      </c>
      <c r="BN355" s="21">
        <v>0</v>
      </c>
      <c r="BO355" s="21">
        <v>0</v>
      </c>
      <c r="BP355" s="31">
        <f t="shared" si="217"/>
        <v>0</v>
      </c>
      <c r="BQ355" s="31">
        <f t="shared" si="217"/>
        <v>0</v>
      </c>
      <c r="BR355" s="58">
        <f>Table1[[#This Row],[Check 2 Students Total]]*Table1[[#This Row],[Summer 2018 Price Check]]</f>
        <v>0</v>
      </c>
      <c r="BS355" s="21">
        <v>0</v>
      </c>
      <c r="BT355" s="21">
        <v>0</v>
      </c>
      <c r="BU355" s="21">
        <v>0</v>
      </c>
      <c r="BV355" s="21">
        <v>0</v>
      </c>
      <c r="BW355" s="21">
        <v>0</v>
      </c>
      <c r="BX355" s="123">
        <f>Table1[[#This Row],[Summer 2018 Price Check]]*Table1[[#This Row],[Spring 2019 Students]]</f>
        <v>0</v>
      </c>
      <c r="BY355" s="31">
        <f t="shared" si="218"/>
        <v>0</v>
      </c>
      <c r="BZ355" s="58">
        <f t="shared" si="219"/>
        <v>0</v>
      </c>
      <c r="CA355" s="58" t="s">
        <v>130</v>
      </c>
      <c r="CB355" s="21" t="s">
        <v>1311</v>
      </c>
      <c r="CC355" s="21" t="s">
        <v>1605</v>
      </c>
      <c r="CD355" s="21" t="s">
        <v>1606</v>
      </c>
      <c r="CE355" s="21">
        <f t="shared" si="220"/>
        <v>200</v>
      </c>
      <c r="CF355" s="62">
        <v>119.99</v>
      </c>
      <c r="CG355" s="123">
        <f t="shared" si="221"/>
        <v>23998</v>
      </c>
      <c r="CH355" s="17" t="s">
        <v>1287</v>
      </c>
      <c r="CI355" s="124">
        <v>0</v>
      </c>
      <c r="CJ355" s="123">
        <f>Table1[[#This Row],[Check 3 Per Student Savings]]*CI355</f>
        <v>0</v>
      </c>
      <c r="CK355" s="124">
        <v>0</v>
      </c>
      <c r="CL355" s="123">
        <f>Table1[[#This Row],[Check 3 Per Student Savings]]*CK355</f>
        <v>0</v>
      </c>
      <c r="CM355" s="124" t="str">
        <f>IF(Table1[[#This Row],[Check 3 Status]]="Continued", Table1[[#This Row],[Check 3 Students Spring]], 0)</f>
        <v>161</v>
      </c>
      <c r="CN355" s="123">
        <f>Table1[[#This Row],[Check 3 Per Student Savings]]*CM355</f>
        <v>19318.39</v>
      </c>
      <c r="CO355" s="124">
        <f t="shared" si="208"/>
        <v>161</v>
      </c>
      <c r="CP355" s="123">
        <f t="shared" si="209"/>
        <v>19318.39</v>
      </c>
      <c r="CQ355" s="123" t="s">
        <v>130</v>
      </c>
      <c r="CR355" s="124" t="s">
        <v>1311</v>
      </c>
      <c r="CS355" s="124" t="s">
        <v>1605</v>
      </c>
      <c r="CT355" s="124" t="s">
        <v>1606</v>
      </c>
      <c r="CU355" s="124">
        <f t="shared" si="210"/>
        <v>361</v>
      </c>
      <c r="CV355" s="123">
        <v>119.99</v>
      </c>
      <c r="CW355" s="123">
        <f t="shared" si="211"/>
        <v>43316.39</v>
      </c>
      <c r="CX355" s="17" t="s">
        <v>1287</v>
      </c>
      <c r="CY355" s="21" t="str">
        <f>IF(Table1[[#This Row],[Check 4 Status]]="Continued", Table1[[#This Row],[Check 4 Students Summer]], 0)</f>
        <v>25</v>
      </c>
      <c r="CZ355" s="58">
        <f>Table1[[#This Row],[Check 4 Per Student Savings]]*CY355</f>
        <v>2999.75</v>
      </c>
      <c r="DA355" s="124" t="str">
        <f>IF(Table1[[#This Row],[Check 4 Status]]="Continued", Table1[[#This Row],[Check 4 Students Fall]], 0)</f>
        <v>175</v>
      </c>
      <c r="DB355" s="123">
        <f>Table1[[#This Row],[Check 4 Per Student Savings]]*DA355</f>
        <v>20998.25</v>
      </c>
      <c r="DC355" s="21" t="str">
        <f>IF(Table1[[#This Row],[Check 4 Status]]="Continued", Table1[[#This Row],[Check 4 Students Spring]], 0)</f>
        <v>161</v>
      </c>
      <c r="DD355" s="58">
        <f>Table1[[#This Row],[Check 4 Per Student Savings]]*DC355</f>
        <v>19318.39</v>
      </c>
      <c r="DE355" s="58">
        <f t="shared" si="212"/>
        <v>361</v>
      </c>
      <c r="DF355" s="58">
        <f t="shared" si="213"/>
        <v>43316.39</v>
      </c>
      <c r="DG35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522</v>
      </c>
      <c r="DH35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62634.78</v>
      </c>
      <c r="DI355" s="111">
        <f>Table1[[#This Row],[Grand Total Savings]]/Table1[[#This Row],[Total Award]]</f>
        <v>5.7995166666666664</v>
      </c>
      <c r="DJ355" s="31"/>
      <c r="DL355" s="31"/>
      <c r="DM355" s="31"/>
      <c r="DN355" s="31"/>
      <c r="DO355" s="207"/>
      <c r="DP355" s="58"/>
      <c r="DQ355" s="31"/>
      <c r="DR355" s="58"/>
      <c r="DS355" s="58"/>
      <c r="EC355" s="17"/>
      <c r="ED355" s="17"/>
      <c r="EE355" s="17"/>
      <c r="EF355" s="17"/>
      <c r="EI355" s="21"/>
      <c r="EJ355" s="58"/>
      <c r="EK355" s="21"/>
      <c r="EL355" s="21"/>
    </row>
    <row r="356" spans="1:142" x14ac:dyDescent="0.25">
      <c r="A356" s="120">
        <v>481</v>
      </c>
      <c r="B356" s="121"/>
      <c r="C356" s="121" t="s">
        <v>129</v>
      </c>
      <c r="D356" s="118">
        <v>517906</v>
      </c>
      <c r="E356" s="117"/>
      <c r="F356" s="117"/>
      <c r="G356" s="202" t="s">
        <v>1583</v>
      </c>
      <c r="H356" s="95" t="s">
        <v>5</v>
      </c>
      <c r="I356" s="226" t="s">
        <v>118</v>
      </c>
      <c r="J356" s="205" t="s">
        <v>225</v>
      </c>
      <c r="K356" s="107">
        <v>25800</v>
      </c>
      <c r="L356" s="107" t="s">
        <v>498</v>
      </c>
      <c r="M356" s="101" t="s">
        <v>2087</v>
      </c>
      <c r="N356" s="101" t="s">
        <v>2088</v>
      </c>
      <c r="O356" s="101" t="s">
        <v>122</v>
      </c>
      <c r="P356" s="101" t="s">
        <v>123</v>
      </c>
      <c r="Q356" s="101" t="s">
        <v>124</v>
      </c>
      <c r="R356" s="101"/>
      <c r="S356" s="206"/>
      <c r="T356" s="206"/>
      <c r="U356" s="206"/>
      <c r="V356" s="17" t="s">
        <v>1095</v>
      </c>
      <c r="W356" s="17" t="s">
        <v>1095</v>
      </c>
      <c r="X356" s="17" t="s">
        <v>1095</v>
      </c>
      <c r="Y356" s="122">
        <v>283750.5</v>
      </c>
      <c r="Z356" s="17" t="s">
        <v>1607</v>
      </c>
      <c r="AA356" s="62">
        <v>171.97</v>
      </c>
      <c r="AB356" s="21" t="s">
        <v>1512</v>
      </c>
      <c r="AC356" s="21" t="s">
        <v>1608</v>
      </c>
      <c r="AD356" s="21" t="s">
        <v>1608</v>
      </c>
      <c r="AE356" s="17" t="s">
        <v>498</v>
      </c>
      <c r="AF356" s="58" t="s">
        <v>129</v>
      </c>
      <c r="AG356" s="58"/>
      <c r="AH356" s="58"/>
      <c r="AI356" s="111" t="s">
        <v>130</v>
      </c>
      <c r="AJ356" s="21">
        <v>0</v>
      </c>
      <c r="AK356" s="58">
        <v>0</v>
      </c>
      <c r="AL356" s="21">
        <v>0</v>
      </c>
      <c r="AM356" s="58">
        <f t="shared" si="216"/>
        <v>0</v>
      </c>
      <c r="AN356" s="21">
        <v>0</v>
      </c>
      <c r="AO356" s="21">
        <v>0</v>
      </c>
      <c r="AP356" s="21">
        <v>0</v>
      </c>
      <c r="AQ356" s="21">
        <v>0</v>
      </c>
      <c r="AR356" s="21">
        <v>0</v>
      </c>
      <c r="AS356" s="21">
        <v>0</v>
      </c>
      <c r="AT356" s="21">
        <v>0</v>
      </c>
      <c r="AU356" s="21">
        <v>0</v>
      </c>
      <c r="AV356" s="21">
        <v>0</v>
      </c>
      <c r="AW356" s="21">
        <v>0</v>
      </c>
      <c r="AX356" s="21">
        <v>0</v>
      </c>
      <c r="AY356" s="21">
        <v>0</v>
      </c>
      <c r="AZ356" s="21">
        <v>0</v>
      </c>
      <c r="BA356" s="21">
        <v>0</v>
      </c>
      <c r="BB356" s="21">
        <v>0</v>
      </c>
      <c r="BC356" s="21">
        <v>0</v>
      </c>
      <c r="BD356" s="21">
        <v>0</v>
      </c>
      <c r="BE356" s="21">
        <v>0</v>
      </c>
      <c r="BF356" s="21">
        <v>0</v>
      </c>
      <c r="BG356" s="21">
        <v>0</v>
      </c>
      <c r="BH356" s="21">
        <v>0</v>
      </c>
      <c r="BI356" s="21">
        <v>0</v>
      </c>
      <c r="BJ356" s="21">
        <v>0</v>
      </c>
      <c r="BK356" s="21">
        <v>0</v>
      </c>
      <c r="BL356" s="17" t="s">
        <v>130</v>
      </c>
      <c r="BM356" s="21">
        <v>0</v>
      </c>
      <c r="BN356" s="21">
        <v>0</v>
      </c>
      <c r="BO356" s="21">
        <v>0</v>
      </c>
      <c r="BP356" s="31">
        <f t="shared" si="217"/>
        <v>0</v>
      </c>
      <c r="BQ356" s="31">
        <f t="shared" si="217"/>
        <v>0</v>
      </c>
      <c r="BR356" s="58">
        <f>Table1[[#This Row],[Check 2 Students Total]]*Table1[[#This Row],[Summer 2018 Price Check]]</f>
        <v>0</v>
      </c>
      <c r="BS356" s="21">
        <v>0</v>
      </c>
      <c r="BT356" s="21">
        <v>0</v>
      </c>
      <c r="BU356" s="21">
        <v>0</v>
      </c>
      <c r="BV356" s="21">
        <v>0</v>
      </c>
      <c r="BW356" s="21">
        <v>0</v>
      </c>
      <c r="BX356" s="123">
        <f>Table1[[#This Row],[Summer 2018 Price Check]]*Table1[[#This Row],[Spring 2019 Students]]</f>
        <v>0</v>
      </c>
      <c r="BY356" s="31">
        <f t="shared" si="218"/>
        <v>0</v>
      </c>
      <c r="BZ356" s="58">
        <f t="shared" si="219"/>
        <v>0</v>
      </c>
      <c r="CA356" s="58" t="s">
        <v>130</v>
      </c>
      <c r="CB356" s="21" t="s">
        <v>1512</v>
      </c>
      <c r="CC356" s="21" t="s">
        <v>1608</v>
      </c>
      <c r="CD356" s="21" t="s">
        <v>1608</v>
      </c>
      <c r="CE356" s="21" t="str">
        <f t="shared" si="220"/>
        <v>1650</v>
      </c>
      <c r="CF356" s="62">
        <v>171.97</v>
      </c>
      <c r="CG356" s="123">
        <f t="shared" si="221"/>
        <v>283750.5</v>
      </c>
      <c r="CH356" s="17" t="s">
        <v>498</v>
      </c>
      <c r="CI356" s="124">
        <v>0</v>
      </c>
      <c r="CJ356" s="123">
        <f>Table1[[#This Row],[Check 3 Per Student Savings]]*CI356</f>
        <v>0</v>
      </c>
      <c r="CK356" s="124">
        <v>0</v>
      </c>
      <c r="CL356" s="123">
        <f>Table1[[#This Row],[Check 3 Per Student Savings]]*CK356</f>
        <v>0</v>
      </c>
      <c r="CM356" s="124">
        <v>0</v>
      </c>
      <c r="CN356" s="123">
        <f>Table1[[#This Row],[Check 3 Per Student Savings]]*CM356</f>
        <v>0</v>
      </c>
      <c r="CO356" s="124">
        <f t="shared" si="208"/>
        <v>0</v>
      </c>
      <c r="CP356" s="123">
        <f t="shared" si="209"/>
        <v>0</v>
      </c>
      <c r="CQ356" s="123" t="s">
        <v>130</v>
      </c>
      <c r="CR356" s="124" t="s">
        <v>1512</v>
      </c>
      <c r="CS356" s="124" t="s">
        <v>1608</v>
      </c>
      <c r="CT356" s="124" t="s">
        <v>1608</v>
      </c>
      <c r="CU356" s="124">
        <f t="shared" si="210"/>
        <v>1650</v>
      </c>
      <c r="CV356" s="123">
        <v>171.97</v>
      </c>
      <c r="CW356" s="123">
        <f t="shared" si="211"/>
        <v>283750.5</v>
      </c>
      <c r="CX356" s="17" t="s">
        <v>498</v>
      </c>
      <c r="CY356" s="124">
        <v>0</v>
      </c>
      <c r="CZ356" s="58">
        <f>Table1[[#This Row],[Check 4 Per Student Savings]]*CY356</f>
        <v>0</v>
      </c>
      <c r="DA356" s="124" t="str">
        <f>IF(Table1[[#This Row],[Check 4 Status]]="Continued", Table1[[#This Row],[Check 4 Students Fall]], 0)</f>
        <v>750</v>
      </c>
      <c r="DB356" s="123">
        <f>Table1[[#This Row],[Check 4 Per Student Savings]]*DA356</f>
        <v>128977.5</v>
      </c>
      <c r="DC356" s="21" t="str">
        <f>IF(Table1[[#This Row],[Check 4 Status]]="Continued", Table1[[#This Row],[Check 4 Students Spring]], 0)</f>
        <v>750</v>
      </c>
      <c r="DD356" s="58">
        <f>Table1[[#This Row],[Check 4 Per Student Savings]]*DC356</f>
        <v>128977.5</v>
      </c>
      <c r="DE356" s="58">
        <f t="shared" si="212"/>
        <v>1500</v>
      </c>
      <c r="DF356" s="58">
        <f t="shared" si="213"/>
        <v>257955</v>
      </c>
      <c r="DG35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1500</v>
      </c>
      <c r="DH35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257955</v>
      </c>
      <c r="DI356" s="111">
        <f>Table1[[#This Row],[Grand Total Savings]]/Table1[[#This Row],[Total Award]]</f>
        <v>9.9982558139534881</v>
      </c>
      <c r="DJ356" s="31"/>
      <c r="DL356" s="31"/>
      <c r="DM356" s="31"/>
      <c r="DN356" s="31"/>
      <c r="DO356" s="207"/>
      <c r="DP356" s="58"/>
      <c r="DQ356" s="31"/>
      <c r="DR356" s="58"/>
      <c r="DS356" s="58"/>
      <c r="EC356" s="17"/>
      <c r="ED356" s="17"/>
      <c r="EE356" s="17"/>
      <c r="EF356" s="17"/>
      <c r="EI356" s="21"/>
      <c r="EJ356" s="58"/>
      <c r="EK356" s="21"/>
      <c r="EL356" s="21"/>
    </row>
    <row r="357" spans="1:142" x14ac:dyDescent="0.25">
      <c r="A357" s="120">
        <v>482</v>
      </c>
      <c r="B357" s="121"/>
      <c r="C357" s="121" t="s">
        <v>129</v>
      </c>
      <c r="D357" s="118">
        <v>517202</v>
      </c>
      <c r="E357" s="117"/>
      <c r="F357" s="117"/>
      <c r="G357" s="202" t="s">
        <v>1583</v>
      </c>
      <c r="H357" s="95" t="s">
        <v>5</v>
      </c>
      <c r="I357" s="226" t="s">
        <v>118</v>
      </c>
      <c r="J357" s="205" t="s">
        <v>499</v>
      </c>
      <c r="K357" s="107">
        <v>10800</v>
      </c>
      <c r="L357" s="107" t="s">
        <v>498</v>
      </c>
      <c r="M357" s="101" t="s">
        <v>1609</v>
      </c>
      <c r="N357" s="101" t="s">
        <v>1610</v>
      </c>
      <c r="O357" s="101" t="s">
        <v>1611</v>
      </c>
      <c r="P357" s="101" t="s">
        <v>1612</v>
      </c>
      <c r="Q357" s="101" t="s">
        <v>177</v>
      </c>
      <c r="R357" s="101"/>
      <c r="S357" s="206"/>
      <c r="T357" s="206"/>
      <c r="U357" s="206"/>
      <c r="V357" s="17" t="s">
        <v>1095</v>
      </c>
      <c r="W357" s="17" t="s">
        <v>1095</v>
      </c>
      <c r="X357" s="17" t="s">
        <v>1095</v>
      </c>
      <c r="Y357" s="122">
        <v>20088</v>
      </c>
      <c r="Z357" s="17" t="s">
        <v>1613</v>
      </c>
      <c r="AA357" s="62" t="s">
        <v>1614</v>
      </c>
      <c r="AB357" s="21" t="s">
        <v>1299</v>
      </c>
      <c r="AC357" s="21" t="s">
        <v>1615</v>
      </c>
      <c r="AD357" s="21" t="s">
        <v>1326</v>
      </c>
      <c r="AE357" s="17" t="s">
        <v>498</v>
      </c>
      <c r="AF357" s="58" t="s">
        <v>129</v>
      </c>
      <c r="AG357" s="58"/>
      <c r="AH357" s="58"/>
      <c r="AI357" s="111" t="s">
        <v>130</v>
      </c>
      <c r="AJ357" s="21">
        <v>0</v>
      </c>
      <c r="AK357" s="58">
        <v>0</v>
      </c>
      <c r="AL357" s="21">
        <v>0</v>
      </c>
      <c r="AM357" s="58">
        <f t="shared" si="216"/>
        <v>0</v>
      </c>
      <c r="AN357" s="21">
        <v>0</v>
      </c>
      <c r="AO357" s="21">
        <v>0</v>
      </c>
      <c r="AP357" s="21">
        <v>0</v>
      </c>
      <c r="AQ357" s="21">
        <v>0</v>
      </c>
      <c r="AR357" s="21">
        <v>0</v>
      </c>
      <c r="AS357" s="21">
        <v>0</v>
      </c>
      <c r="AT357" s="21">
        <v>0</v>
      </c>
      <c r="AU357" s="21">
        <v>0</v>
      </c>
      <c r="AV357" s="21">
        <v>0</v>
      </c>
      <c r="AW357" s="21">
        <v>0</v>
      </c>
      <c r="AX357" s="21">
        <v>0</v>
      </c>
      <c r="AY357" s="21">
        <v>0</v>
      </c>
      <c r="AZ357" s="21">
        <v>0</v>
      </c>
      <c r="BA357" s="21">
        <v>0</v>
      </c>
      <c r="BB357" s="21">
        <v>0</v>
      </c>
      <c r="BC357" s="21">
        <v>0</v>
      </c>
      <c r="BD357" s="21">
        <v>0</v>
      </c>
      <c r="BE357" s="21">
        <v>0</v>
      </c>
      <c r="BF357" s="21">
        <v>0</v>
      </c>
      <c r="BG357" s="21">
        <v>0</v>
      </c>
      <c r="BH357" s="21">
        <v>0</v>
      </c>
      <c r="BI357" s="21">
        <v>0</v>
      </c>
      <c r="BJ357" s="21">
        <v>0</v>
      </c>
      <c r="BK357" s="21">
        <v>0</v>
      </c>
      <c r="BL357" s="17" t="s">
        <v>130</v>
      </c>
      <c r="BM357" s="21">
        <v>0</v>
      </c>
      <c r="BN357" s="21">
        <v>0</v>
      </c>
      <c r="BO357" s="21">
        <v>0</v>
      </c>
      <c r="BP357" s="31">
        <f t="shared" si="217"/>
        <v>0</v>
      </c>
      <c r="BQ357" s="31">
        <f t="shared" si="217"/>
        <v>0</v>
      </c>
      <c r="BR357" s="58">
        <f>Table1[[#This Row],[Check 2 Students Total]]*Table1[[#This Row],[Summer 2018 Price Check]]</f>
        <v>0</v>
      </c>
      <c r="BS357" s="21">
        <v>0</v>
      </c>
      <c r="BT357" s="21">
        <v>0</v>
      </c>
      <c r="BU357" s="21">
        <v>0</v>
      </c>
      <c r="BV357" s="21">
        <v>0</v>
      </c>
      <c r="BW357" s="21">
        <v>0</v>
      </c>
      <c r="BX357" s="123">
        <f>Table1[[#This Row],[Summer 2018 Price Check]]*Table1[[#This Row],[Spring 2019 Students]]</f>
        <v>0</v>
      </c>
      <c r="BY357" s="31">
        <f t="shared" si="218"/>
        <v>0</v>
      </c>
      <c r="BZ357" s="58">
        <f t="shared" si="219"/>
        <v>0</v>
      </c>
      <c r="CA357" s="58" t="s">
        <v>130</v>
      </c>
      <c r="CB357" s="21" t="s">
        <v>1299</v>
      </c>
      <c r="CC357" s="21" t="s">
        <v>1615</v>
      </c>
      <c r="CD357" s="21" t="s">
        <v>1326</v>
      </c>
      <c r="CE357" s="21" t="str">
        <f t="shared" si="220"/>
        <v>62</v>
      </c>
      <c r="CF357" s="62" t="s">
        <v>1614</v>
      </c>
      <c r="CG357" s="123">
        <f t="shared" si="221"/>
        <v>20088</v>
      </c>
      <c r="CH357" s="17" t="s">
        <v>498</v>
      </c>
      <c r="CI357" s="124">
        <v>0</v>
      </c>
      <c r="CJ357" s="123">
        <f>Table1[[#This Row],[Check 3 Per Student Savings]]*CI357</f>
        <v>0</v>
      </c>
      <c r="CK357" s="124">
        <v>0</v>
      </c>
      <c r="CL357" s="123">
        <f>Table1[[#This Row],[Check 3 Per Student Savings]]*CK357</f>
        <v>0</v>
      </c>
      <c r="CM357" s="124">
        <v>0</v>
      </c>
      <c r="CN357" s="123">
        <f>Table1[[#This Row],[Check 3 Per Student Savings]]*CM357</f>
        <v>0</v>
      </c>
      <c r="CO357" s="124">
        <f t="shared" si="208"/>
        <v>0</v>
      </c>
      <c r="CP357" s="123">
        <f t="shared" si="209"/>
        <v>0</v>
      </c>
      <c r="CQ357" s="123" t="s">
        <v>130</v>
      </c>
      <c r="CR357" s="124" t="s">
        <v>1299</v>
      </c>
      <c r="CS357" s="124" t="s">
        <v>1615</v>
      </c>
      <c r="CT357" s="124" t="s">
        <v>1326</v>
      </c>
      <c r="CU357" s="124">
        <f t="shared" si="210"/>
        <v>62</v>
      </c>
      <c r="CV357" s="123" t="s">
        <v>1614</v>
      </c>
      <c r="CW357" s="123">
        <f t="shared" si="211"/>
        <v>20088</v>
      </c>
      <c r="CX357" s="17" t="s">
        <v>498</v>
      </c>
      <c r="CY357" s="124">
        <v>0</v>
      </c>
      <c r="CZ357" s="58">
        <f>Table1[[#This Row],[Check 4 Per Student Savings]]*CY357</f>
        <v>0</v>
      </c>
      <c r="DA357" s="124" t="str">
        <f>IF(Table1[[#This Row],[Check 4 Status]]="Continued", Table1[[#This Row],[Check 4 Students Fall]], 0)</f>
        <v>38</v>
      </c>
      <c r="DB357" s="123">
        <f>Table1[[#This Row],[Check 4 Per Student Savings]]*DA357</f>
        <v>12312</v>
      </c>
      <c r="DC357" s="21" t="str">
        <f>IF(Table1[[#This Row],[Check 4 Status]]="Continued", Table1[[#This Row],[Check 4 Students Spring]], 0)</f>
        <v>24</v>
      </c>
      <c r="DD357" s="58">
        <f>Table1[[#This Row],[Check 4 Per Student Savings]]*DC357</f>
        <v>7776</v>
      </c>
      <c r="DE357" s="58">
        <f t="shared" si="212"/>
        <v>62</v>
      </c>
      <c r="DF357" s="58">
        <f t="shared" si="213"/>
        <v>20088</v>
      </c>
      <c r="DG35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62</v>
      </c>
      <c r="DH35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20088</v>
      </c>
      <c r="DI357" s="111">
        <f>Table1[[#This Row],[Grand Total Savings]]/Table1[[#This Row],[Total Award]]</f>
        <v>1.86</v>
      </c>
      <c r="DJ357" s="31"/>
      <c r="DL357" s="31"/>
      <c r="DM357" s="31"/>
      <c r="DN357" s="31"/>
      <c r="DO357" s="207"/>
      <c r="DP357" s="58"/>
      <c r="DQ357" s="31"/>
      <c r="DR357" s="58"/>
      <c r="DS357" s="58"/>
      <c r="EC357" s="17"/>
      <c r="ED357" s="17"/>
      <c r="EE357" s="17"/>
      <c r="EF357" s="17"/>
      <c r="EI357" s="21"/>
      <c r="EJ357" s="58"/>
      <c r="EK357" s="21"/>
      <c r="EL357" s="21"/>
    </row>
    <row r="358" spans="1:142" x14ac:dyDescent="0.25">
      <c r="A358" s="120">
        <v>484</v>
      </c>
      <c r="B358" s="121"/>
      <c r="C358" s="121" t="s">
        <v>129</v>
      </c>
      <c r="D358" s="118">
        <v>517253</v>
      </c>
      <c r="E358" s="117"/>
      <c r="F358" s="117"/>
      <c r="G358" s="202" t="s">
        <v>1583</v>
      </c>
      <c r="H358" s="95" t="s">
        <v>5</v>
      </c>
      <c r="I358" s="226" t="s">
        <v>118</v>
      </c>
      <c r="J358" s="205" t="s">
        <v>132</v>
      </c>
      <c r="K358" s="107">
        <v>30000</v>
      </c>
      <c r="L358" s="107" t="s">
        <v>498</v>
      </c>
      <c r="M358" s="101" t="s">
        <v>1239</v>
      </c>
      <c r="N358" s="101" t="s">
        <v>1240</v>
      </c>
      <c r="O358" s="101" t="s">
        <v>1616</v>
      </c>
      <c r="P358" s="101" t="s">
        <v>1617</v>
      </c>
      <c r="Q358" s="101" t="s">
        <v>177</v>
      </c>
      <c r="R358" s="101"/>
      <c r="S358" s="206"/>
      <c r="T358" s="206"/>
      <c r="U358" s="206"/>
      <c r="V358" s="17" t="s">
        <v>1095</v>
      </c>
      <c r="W358" s="17" t="s">
        <v>1095</v>
      </c>
      <c r="X358" s="17" t="s">
        <v>1095</v>
      </c>
      <c r="Y358" s="122">
        <v>43554.090000000004</v>
      </c>
      <c r="Z358" s="17" t="s">
        <v>1618</v>
      </c>
      <c r="AA358" s="62">
        <v>141.87</v>
      </c>
      <c r="AB358" s="21" t="s">
        <v>1613</v>
      </c>
      <c r="AC358" s="21" t="s">
        <v>1619</v>
      </c>
      <c r="AD358" s="21" t="s">
        <v>1512</v>
      </c>
      <c r="AE358" s="17" t="s">
        <v>498</v>
      </c>
      <c r="AF358" s="58" t="s">
        <v>129</v>
      </c>
      <c r="AG358" s="58"/>
      <c r="AH358" s="58"/>
      <c r="AI358" s="111" t="s">
        <v>130</v>
      </c>
      <c r="AJ358" s="21">
        <v>0</v>
      </c>
      <c r="AK358" s="58">
        <v>0</v>
      </c>
      <c r="AL358" s="21">
        <v>0</v>
      </c>
      <c r="AM358" s="58">
        <f t="shared" si="216"/>
        <v>0</v>
      </c>
      <c r="AN358" s="21">
        <v>0</v>
      </c>
      <c r="AO358" s="21">
        <v>0</v>
      </c>
      <c r="AP358" s="21">
        <v>0</v>
      </c>
      <c r="AQ358" s="21">
        <v>0</v>
      </c>
      <c r="AR358" s="21">
        <v>0</v>
      </c>
      <c r="AS358" s="21">
        <v>0</v>
      </c>
      <c r="AT358" s="21">
        <v>0</v>
      </c>
      <c r="AU358" s="21">
        <v>0</v>
      </c>
      <c r="AV358" s="21">
        <v>0</v>
      </c>
      <c r="AW358" s="21">
        <v>0</v>
      </c>
      <c r="AX358" s="21">
        <v>0</v>
      </c>
      <c r="AY358" s="21">
        <v>0</v>
      </c>
      <c r="AZ358" s="21">
        <v>0</v>
      </c>
      <c r="BA358" s="21">
        <v>0</v>
      </c>
      <c r="BB358" s="21">
        <v>0</v>
      </c>
      <c r="BC358" s="21">
        <v>0</v>
      </c>
      <c r="BD358" s="21">
        <v>0</v>
      </c>
      <c r="BE358" s="21">
        <v>0</v>
      </c>
      <c r="BF358" s="21">
        <v>0</v>
      </c>
      <c r="BG358" s="21">
        <v>0</v>
      </c>
      <c r="BH358" s="21">
        <v>0</v>
      </c>
      <c r="BI358" s="21">
        <v>0</v>
      </c>
      <c r="BJ358" s="21">
        <v>0</v>
      </c>
      <c r="BK358" s="21">
        <v>0</v>
      </c>
      <c r="BL358" s="17" t="s">
        <v>130</v>
      </c>
      <c r="BM358" s="21">
        <v>0</v>
      </c>
      <c r="BN358" s="21">
        <v>0</v>
      </c>
      <c r="BO358" s="21">
        <v>0</v>
      </c>
      <c r="BP358" s="31">
        <f t="shared" si="217"/>
        <v>0</v>
      </c>
      <c r="BQ358" s="31">
        <f t="shared" si="217"/>
        <v>0</v>
      </c>
      <c r="BR358" s="58">
        <f>Table1[[#This Row],[Check 2 Students Total]]*Table1[[#This Row],[Summer 2018 Price Check]]</f>
        <v>0</v>
      </c>
      <c r="BS358" s="21">
        <v>0</v>
      </c>
      <c r="BT358" s="21">
        <v>0</v>
      </c>
      <c r="BU358" s="21">
        <v>0</v>
      </c>
      <c r="BV358" s="21">
        <v>0</v>
      </c>
      <c r="BW358" s="21">
        <v>0</v>
      </c>
      <c r="BX358" s="123">
        <f>Table1[[#This Row],[Summer 2018 Price Check]]*Table1[[#This Row],[Spring 2019 Students]]</f>
        <v>0</v>
      </c>
      <c r="BY358" s="31">
        <f t="shared" si="218"/>
        <v>0</v>
      </c>
      <c r="BZ358" s="58">
        <f t="shared" si="219"/>
        <v>0</v>
      </c>
      <c r="CA358" s="58" t="s">
        <v>130</v>
      </c>
      <c r="CB358" s="21" t="s">
        <v>1613</v>
      </c>
      <c r="CC358" s="21" t="s">
        <v>1619</v>
      </c>
      <c r="CD358" s="21" t="s">
        <v>1512</v>
      </c>
      <c r="CE358" s="21" t="str">
        <f t="shared" si="220"/>
        <v>307</v>
      </c>
      <c r="CF358" s="62">
        <v>141.87</v>
      </c>
      <c r="CG358" s="123">
        <f t="shared" si="221"/>
        <v>43554.090000000004</v>
      </c>
      <c r="CH358" s="17" t="s">
        <v>498</v>
      </c>
      <c r="CI358" s="124">
        <v>0</v>
      </c>
      <c r="CJ358" s="123">
        <f>Table1[[#This Row],[Check 3 Per Student Savings]]*CI358</f>
        <v>0</v>
      </c>
      <c r="CK358" s="124">
        <v>0</v>
      </c>
      <c r="CL358" s="123">
        <f>Table1[[#This Row],[Check 3 Per Student Savings]]*CK358</f>
        <v>0</v>
      </c>
      <c r="CM358" s="124">
        <v>0</v>
      </c>
      <c r="CN358" s="123">
        <f>Table1[[#This Row],[Check 3 Per Student Savings]]*CM358</f>
        <v>0</v>
      </c>
      <c r="CO358" s="124">
        <f t="shared" si="208"/>
        <v>0</v>
      </c>
      <c r="CP358" s="123">
        <f t="shared" si="209"/>
        <v>0</v>
      </c>
      <c r="CQ358" s="123" t="s">
        <v>130</v>
      </c>
      <c r="CR358" s="124" t="s">
        <v>1613</v>
      </c>
      <c r="CS358" s="124" t="s">
        <v>1619</v>
      </c>
      <c r="CT358" s="124" t="s">
        <v>1512</v>
      </c>
      <c r="CU358" s="124">
        <f t="shared" si="210"/>
        <v>307</v>
      </c>
      <c r="CV358" s="123">
        <v>141.87</v>
      </c>
      <c r="CW358" s="123">
        <f t="shared" si="211"/>
        <v>43554.090000000004</v>
      </c>
      <c r="CX358" s="17" t="s">
        <v>498</v>
      </c>
      <c r="CY358" s="124">
        <v>0</v>
      </c>
      <c r="CZ358" s="58">
        <f>Table1[[#This Row],[Check 4 Per Student Savings]]*CY358</f>
        <v>0</v>
      </c>
      <c r="DA358" s="124" t="str">
        <f>IF(Table1[[#This Row],[Check 4 Status]]="Continued", Table1[[#This Row],[Check 4 Students Fall]], 0)</f>
        <v>95</v>
      </c>
      <c r="DB358" s="123">
        <f>Table1[[#This Row],[Check 4 Per Student Savings]]*DA358</f>
        <v>13477.65</v>
      </c>
      <c r="DC358" s="21" t="str">
        <f>IF(Table1[[#This Row],[Check 4 Status]]="Continued", Table1[[#This Row],[Check 4 Students Spring]], 0)</f>
        <v>150</v>
      </c>
      <c r="DD358" s="58">
        <f>Table1[[#This Row],[Check 4 Per Student Savings]]*DC358</f>
        <v>21280.5</v>
      </c>
      <c r="DE358" s="58">
        <f t="shared" si="212"/>
        <v>245</v>
      </c>
      <c r="DF358" s="58">
        <f t="shared" si="213"/>
        <v>34758.15</v>
      </c>
      <c r="DG35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245</v>
      </c>
      <c r="DH35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34758.15</v>
      </c>
      <c r="DI358" s="111">
        <f>Table1[[#This Row],[Grand Total Savings]]/Table1[[#This Row],[Total Award]]</f>
        <v>1.1586050000000001</v>
      </c>
      <c r="DJ358" s="31"/>
      <c r="DL358" s="31"/>
      <c r="DM358" s="31"/>
      <c r="DN358" s="31"/>
      <c r="DO358" s="207"/>
      <c r="DP358" s="58"/>
      <c r="DQ358" s="31"/>
      <c r="DR358" s="58"/>
      <c r="DS358" s="58"/>
      <c r="EC358" s="17"/>
      <c r="ED358" s="17"/>
      <c r="EE358" s="17"/>
      <c r="EF358" s="17"/>
      <c r="EI358" s="21"/>
      <c r="EJ358" s="58"/>
      <c r="EK358" s="21"/>
      <c r="EL358" s="21"/>
    </row>
    <row r="359" spans="1:142" x14ac:dyDescent="0.25">
      <c r="A359" s="120">
        <v>486</v>
      </c>
      <c r="B359" s="121"/>
      <c r="C359" s="125" t="s">
        <v>125</v>
      </c>
      <c r="D359" s="118">
        <v>517254</v>
      </c>
      <c r="E359" s="117"/>
      <c r="F359" s="117"/>
      <c r="G359" s="202" t="s">
        <v>1583</v>
      </c>
      <c r="H359" s="95" t="s">
        <v>5</v>
      </c>
      <c r="I359" s="226" t="s">
        <v>118</v>
      </c>
      <c r="J359" s="205" t="s">
        <v>132</v>
      </c>
      <c r="K359" s="107">
        <v>25800</v>
      </c>
      <c r="L359" s="107" t="s">
        <v>498</v>
      </c>
      <c r="M359" s="101" t="s">
        <v>862</v>
      </c>
      <c r="N359" s="101" t="s">
        <v>863</v>
      </c>
      <c r="O359" s="101" t="s">
        <v>1620</v>
      </c>
      <c r="P359" s="101" t="s">
        <v>1621</v>
      </c>
      <c r="Q359" s="101" t="s">
        <v>467</v>
      </c>
      <c r="R359" s="101"/>
      <c r="S359" s="206"/>
      <c r="T359" s="206"/>
      <c r="U359" s="206"/>
      <c r="V359" s="17" t="s">
        <v>1095</v>
      </c>
      <c r="W359" s="17" t="s">
        <v>1095</v>
      </c>
      <c r="X359" s="17" t="s">
        <v>1095</v>
      </c>
      <c r="Y359" s="122">
        <v>196875</v>
      </c>
      <c r="Z359" s="17" t="s">
        <v>1622</v>
      </c>
      <c r="AA359" s="62" t="s">
        <v>1623</v>
      </c>
      <c r="AB359" s="21" t="s">
        <v>1624</v>
      </c>
      <c r="AC359" s="21" t="s">
        <v>1625</v>
      </c>
      <c r="AD359" s="21" t="s">
        <v>1625</v>
      </c>
      <c r="AE359" s="17" t="s">
        <v>498</v>
      </c>
      <c r="AF359" s="58" t="s">
        <v>129</v>
      </c>
      <c r="AG359" s="58"/>
      <c r="AH359" s="58"/>
      <c r="AI359" s="111" t="s">
        <v>130</v>
      </c>
      <c r="AJ359" s="21">
        <v>0</v>
      </c>
      <c r="AK359" s="58">
        <v>0</v>
      </c>
      <c r="AL359" s="21">
        <v>0</v>
      </c>
      <c r="AM359" s="58">
        <f t="shared" si="216"/>
        <v>0</v>
      </c>
      <c r="AN359" s="21">
        <v>0</v>
      </c>
      <c r="AO359" s="21">
        <v>0</v>
      </c>
      <c r="AP359" s="21">
        <v>0</v>
      </c>
      <c r="AQ359" s="21">
        <v>0</v>
      </c>
      <c r="AR359" s="21">
        <v>0</v>
      </c>
      <c r="AS359" s="21">
        <v>0</v>
      </c>
      <c r="AT359" s="21">
        <v>0</v>
      </c>
      <c r="AU359" s="21">
        <v>0</v>
      </c>
      <c r="AV359" s="21">
        <v>0</v>
      </c>
      <c r="AW359" s="21">
        <v>0</v>
      </c>
      <c r="AX359" s="21">
        <v>0</v>
      </c>
      <c r="AY359" s="21">
        <v>0</v>
      </c>
      <c r="AZ359" s="21">
        <v>0</v>
      </c>
      <c r="BA359" s="21">
        <v>0</v>
      </c>
      <c r="BB359" s="21">
        <v>0</v>
      </c>
      <c r="BC359" s="21">
        <v>0</v>
      </c>
      <c r="BD359" s="21">
        <v>0</v>
      </c>
      <c r="BE359" s="21">
        <v>0</v>
      </c>
      <c r="BF359" s="21">
        <v>0</v>
      </c>
      <c r="BG359" s="21">
        <v>0</v>
      </c>
      <c r="BH359" s="21">
        <v>0</v>
      </c>
      <c r="BI359" s="21">
        <v>0</v>
      </c>
      <c r="BJ359" s="21">
        <v>0</v>
      </c>
      <c r="BK359" s="21">
        <v>0</v>
      </c>
      <c r="BL359" s="17" t="s">
        <v>130</v>
      </c>
      <c r="BM359" s="21">
        <v>0</v>
      </c>
      <c r="BN359" s="21">
        <v>0</v>
      </c>
      <c r="BO359" s="21">
        <v>0</v>
      </c>
      <c r="BP359" s="31">
        <f t="shared" si="217"/>
        <v>0</v>
      </c>
      <c r="BQ359" s="31">
        <f t="shared" si="217"/>
        <v>0</v>
      </c>
      <c r="BR359" s="58">
        <f>Table1[[#This Row],[Check 2 Students Total]]*Table1[[#This Row],[Summer 2018 Price Check]]</f>
        <v>0</v>
      </c>
      <c r="BS359" s="21">
        <v>0</v>
      </c>
      <c r="BT359" s="21">
        <v>0</v>
      </c>
      <c r="BU359" s="21">
        <v>0</v>
      </c>
      <c r="BV359" s="21">
        <v>0</v>
      </c>
      <c r="BW359" s="21">
        <v>0</v>
      </c>
      <c r="BX359" s="123">
        <f>Table1[[#This Row],[Summer 2018 Price Check]]*Table1[[#This Row],[Spring 2019 Students]]</f>
        <v>0</v>
      </c>
      <c r="BY359" s="31">
        <f t="shared" si="218"/>
        <v>0</v>
      </c>
      <c r="BZ359" s="58">
        <f t="shared" si="219"/>
        <v>0</v>
      </c>
      <c r="CA359" s="58" t="s">
        <v>130</v>
      </c>
      <c r="CB359" s="21" t="s">
        <v>1624</v>
      </c>
      <c r="CC359" s="21" t="s">
        <v>1625</v>
      </c>
      <c r="CD359" s="21" t="s">
        <v>1625</v>
      </c>
      <c r="CE359" s="21" t="str">
        <f t="shared" si="220"/>
        <v>1500</v>
      </c>
      <c r="CF359" s="62" t="s">
        <v>1623</v>
      </c>
      <c r="CG359" s="123">
        <f t="shared" si="221"/>
        <v>196875</v>
      </c>
      <c r="CH359" s="17" t="s">
        <v>498</v>
      </c>
      <c r="CI359" s="124">
        <v>0</v>
      </c>
      <c r="CJ359" s="123">
        <f>Table1[[#This Row],[Check 3 Per Student Savings]]*CI359</f>
        <v>0</v>
      </c>
      <c r="CK359" s="124">
        <v>0</v>
      </c>
      <c r="CL359" s="123">
        <f>Table1[[#This Row],[Check 3 Per Student Savings]]*CK359</f>
        <v>0</v>
      </c>
      <c r="CM359" s="124">
        <v>0</v>
      </c>
      <c r="CN359" s="123">
        <f>Table1[[#This Row],[Check 3 Per Student Savings]]*CM359</f>
        <v>0</v>
      </c>
      <c r="CO359" s="124">
        <f t="shared" si="208"/>
        <v>0</v>
      </c>
      <c r="CP359" s="123">
        <f t="shared" si="209"/>
        <v>0</v>
      </c>
      <c r="CQ359" s="123" t="s">
        <v>130</v>
      </c>
      <c r="CR359" s="124" t="s">
        <v>1624</v>
      </c>
      <c r="CS359" s="124" t="s">
        <v>1625</v>
      </c>
      <c r="CT359" s="124" t="s">
        <v>1625</v>
      </c>
      <c r="CU359" s="124">
        <f t="shared" si="210"/>
        <v>1500</v>
      </c>
      <c r="CV359" s="123" t="s">
        <v>1623</v>
      </c>
      <c r="CW359" s="123">
        <f t="shared" si="211"/>
        <v>196875</v>
      </c>
      <c r="CX359" s="17" t="s">
        <v>498</v>
      </c>
      <c r="CY359" s="124">
        <v>0</v>
      </c>
      <c r="CZ359" s="58">
        <f>Table1[[#This Row],[Check 4 Per Student Savings]]*CY359</f>
        <v>0</v>
      </c>
      <c r="DA359" s="124" t="str">
        <f>IF(Table1[[#This Row],[Check 4 Status]]="Continued", Table1[[#This Row],[Check 4 Students Fall]], 0)</f>
        <v>625</v>
      </c>
      <c r="DB359" s="123">
        <f>Table1[[#This Row],[Check 4 Per Student Savings]]*DA359</f>
        <v>82031.25</v>
      </c>
      <c r="DC359" s="21" t="str">
        <f>IF(Table1[[#This Row],[Check 4 Status]]="Continued", Table1[[#This Row],[Check 4 Students Spring]], 0)</f>
        <v>625</v>
      </c>
      <c r="DD359" s="58">
        <f>Table1[[#This Row],[Check 4 Per Student Savings]]*DC359</f>
        <v>82031.25</v>
      </c>
      <c r="DE359" s="58">
        <f t="shared" si="212"/>
        <v>1250</v>
      </c>
      <c r="DF359" s="58">
        <f t="shared" si="213"/>
        <v>164062.5</v>
      </c>
      <c r="DG35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1250</v>
      </c>
      <c r="DH35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164062.5</v>
      </c>
      <c r="DI359" s="111">
        <f>Table1[[#This Row],[Grand Total Savings]]/Table1[[#This Row],[Total Award]]</f>
        <v>6.3590116279069768</v>
      </c>
      <c r="DJ359" s="31"/>
      <c r="DL359" s="31"/>
      <c r="DM359" s="31"/>
      <c r="DN359" s="31"/>
      <c r="DO359" s="207"/>
      <c r="DP359" s="58"/>
      <c r="DQ359" s="31"/>
      <c r="DR359" s="58"/>
      <c r="DS359" s="58"/>
      <c r="EC359" s="17"/>
      <c r="ED359" s="17"/>
      <c r="EE359" s="17"/>
      <c r="EF359" s="17"/>
      <c r="EI359" s="21"/>
      <c r="EJ359" s="58"/>
      <c r="EK359" s="21"/>
      <c r="EL359" s="21"/>
    </row>
    <row r="360" spans="1:142" x14ac:dyDescent="0.25">
      <c r="A360" s="120">
        <v>489</v>
      </c>
      <c r="B360" s="121"/>
      <c r="C360" s="121" t="s">
        <v>129</v>
      </c>
      <c r="D360" s="118">
        <v>517260</v>
      </c>
      <c r="E360" s="117"/>
      <c r="F360" s="117"/>
      <c r="G360" s="202" t="s">
        <v>1583</v>
      </c>
      <c r="H360" s="95" t="s">
        <v>5</v>
      </c>
      <c r="I360" s="226" t="s">
        <v>118</v>
      </c>
      <c r="J360" s="205" t="s">
        <v>132</v>
      </c>
      <c r="K360" s="107">
        <v>30000</v>
      </c>
      <c r="L360" s="107" t="s">
        <v>498</v>
      </c>
      <c r="M360" s="101" t="s">
        <v>990</v>
      </c>
      <c r="N360" s="101" t="s">
        <v>991</v>
      </c>
      <c r="O360" s="101" t="s">
        <v>1626</v>
      </c>
      <c r="P360" s="101" t="s">
        <v>1627</v>
      </c>
      <c r="Q360" s="101" t="s">
        <v>177</v>
      </c>
      <c r="R360" s="101"/>
      <c r="S360" s="206"/>
      <c r="T360" s="206"/>
      <c r="U360" s="206"/>
      <c r="V360" s="17" t="s">
        <v>1095</v>
      </c>
      <c r="W360" s="17" t="s">
        <v>1095</v>
      </c>
      <c r="X360" s="17" t="s">
        <v>1095</v>
      </c>
      <c r="Y360" s="122">
        <v>75254.200000000012</v>
      </c>
      <c r="Z360" s="17" t="s">
        <v>1628</v>
      </c>
      <c r="AA360" s="62">
        <v>153.58000000000001</v>
      </c>
      <c r="AB360" s="21" t="s">
        <v>1471</v>
      </c>
      <c r="AC360" s="21" t="s">
        <v>1364</v>
      </c>
      <c r="AD360" s="21" t="s">
        <v>1364</v>
      </c>
      <c r="AE360" s="17" t="s">
        <v>498</v>
      </c>
      <c r="AF360" s="58" t="s">
        <v>129</v>
      </c>
      <c r="AG360" s="58"/>
      <c r="AH360" s="58"/>
      <c r="AI360" s="111" t="s">
        <v>130</v>
      </c>
      <c r="AJ360" s="21">
        <v>0</v>
      </c>
      <c r="AK360" s="58">
        <v>0</v>
      </c>
      <c r="AL360" s="21">
        <v>0</v>
      </c>
      <c r="AM360" s="58">
        <f t="shared" si="216"/>
        <v>0</v>
      </c>
      <c r="AN360" s="21">
        <v>0</v>
      </c>
      <c r="AO360" s="21">
        <v>0</v>
      </c>
      <c r="AP360" s="21">
        <v>0</v>
      </c>
      <c r="AQ360" s="21">
        <v>0</v>
      </c>
      <c r="AR360" s="21">
        <v>0</v>
      </c>
      <c r="AS360" s="21">
        <v>0</v>
      </c>
      <c r="AT360" s="21">
        <v>0</v>
      </c>
      <c r="AU360" s="21">
        <v>0</v>
      </c>
      <c r="AV360" s="21">
        <v>0</v>
      </c>
      <c r="AW360" s="21">
        <v>0</v>
      </c>
      <c r="AX360" s="21">
        <v>0</v>
      </c>
      <c r="AY360" s="21">
        <v>0</v>
      </c>
      <c r="AZ360" s="21">
        <v>0</v>
      </c>
      <c r="BA360" s="21">
        <v>0</v>
      </c>
      <c r="BB360" s="21">
        <v>0</v>
      </c>
      <c r="BC360" s="21">
        <v>0</v>
      </c>
      <c r="BD360" s="21">
        <v>0</v>
      </c>
      <c r="BE360" s="21">
        <v>0</v>
      </c>
      <c r="BF360" s="21">
        <v>0</v>
      </c>
      <c r="BG360" s="21">
        <v>0</v>
      </c>
      <c r="BH360" s="21">
        <v>0</v>
      </c>
      <c r="BI360" s="21">
        <v>0</v>
      </c>
      <c r="BJ360" s="21">
        <v>0</v>
      </c>
      <c r="BK360" s="21">
        <v>0</v>
      </c>
      <c r="BL360" s="17" t="s">
        <v>130</v>
      </c>
      <c r="BM360" s="21">
        <v>0</v>
      </c>
      <c r="BN360" s="21">
        <v>0</v>
      </c>
      <c r="BO360" s="21">
        <v>0</v>
      </c>
      <c r="BP360" s="31">
        <f t="shared" si="217"/>
        <v>0</v>
      </c>
      <c r="BQ360" s="31">
        <f t="shared" si="217"/>
        <v>0</v>
      </c>
      <c r="BR360" s="58">
        <f>Table1[[#This Row],[Check 2 Students Total]]*Table1[[#This Row],[Summer 2018 Price Check]]</f>
        <v>0</v>
      </c>
      <c r="BS360" s="21">
        <v>0</v>
      </c>
      <c r="BT360" s="21">
        <v>0</v>
      </c>
      <c r="BU360" s="21">
        <v>0</v>
      </c>
      <c r="BV360" s="21">
        <v>0</v>
      </c>
      <c r="BW360" s="21">
        <v>0</v>
      </c>
      <c r="BX360" s="123">
        <f>Table1[[#This Row],[Summer 2018 Price Check]]*Table1[[#This Row],[Spring 2019 Students]]</f>
        <v>0</v>
      </c>
      <c r="BY360" s="31">
        <f t="shared" si="218"/>
        <v>0</v>
      </c>
      <c r="BZ360" s="58">
        <f t="shared" si="219"/>
        <v>0</v>
      </c>
      <c r="CA360" s="58" t="s">
        <v>130</v>
      </c>
      <c r="CB360" s="21" t="s">
        <v>1471</v>
      </c>
      <c r="CC360" s="21" t="s">
        <v>1364</v>
      </c>
      <c r="CD360" s="21" t="s">
        <v>1364</v>
      </c>
      <c r="CE360" s="21" t="str">
        <f t="shared" si="220"/>
        <v>490</v>
      </c>
      <c r="CF360" s="62">
        <v>153.58000000000001</v>
      </c>
      <c r="CG360" s="123">
        <f t="shared" si="221"/>
        <v>75254.200000000012</v>
      </c>
      <c r="CH360" s="17" t="s">
        <v>498</v>
      </c>
      <c r="CI360" s="124">
        <v>0</v>
      </c>
      <c r="CJ360" s="123">
        <f>Table1[[#This Row],[Check 3 Per Student Savings]]*CI360</f>
        <v>0</v>
      </c>
      <c r="CK360" s="124">
        <v>0</v>
      </c>
      <c r="CL360" s="123">
        <f>Table1[[#This Row],[Check 3 Per Student Savings]]*CK360</f>
        <v>0</v>
      </c>
      <c r="CM360" s="124">
        <v>0</v>
      </c>
      <c r="CN360" s="123">
        <f>Table1[[#This Row],[Check 3 Per Student Savings]]*CM360</f>
        <v>0</v>
      </c>
      <c r="CO360" s="124">
        <f t="shared" si="208"/>
        <v>0</v>
      </c>
      <c r="CP360" s="123">
        <f t="shared" si="209"/>
        <v>0</v>
      </c>
      <c r="CQ360" s="123" t="s">
        <v>130</v>
      </c>
      <c r="CR360" s="124" t="s">
        <v>1471</v>
      </c>
      <c r="CS360" s="124" t="s">
        <v>1364</v>
      </c>
      <c r="CT360" s="124" t="s">
        <v>1364</v>
      </c>
      <c r="CU360" s="124">
        <f t="shared" si="210"/>
        <v>490</v>
      </c>
      <c r="CV360" s="123">
        <v>153.58000000000001</v>
      </c>
      <c r="CW360" s="123">
        <f t="shared" si="211"/>
        <v>75254.200000000012</v>
      </c>
      <c r="CX360" s="17" t="s">
        <v>498</v>
      </c>
      <c r="CY360" s="124">
        <v>0</v>
      </c>
      <c r="CZ360" s="58">
        <f>Table1[[#This Row],[Check 4 Per Student Savings]]*CY360</f>
        <v>0</v>
      </c>
      <c r="DA360" s="124" t="str">
        <f>IF(Table1[[#This Row],[Check 4 Status]]="Continued", Table1[[#This Row],[Check 4 Students Fall]], 0)</f>
        <v>200</v>
      </c>
      <c r="DB360" s="123">
        <f>Table1[[#This Row],[Check 4 Per Student Savings]]*DA360</f>
        <v>30716.000000000004</v>
      </c>
      <c r="DC360" s="21" t="str">
        <f>IF(Table1[[#This Row],[Check 4 Status]]="Continued", Table1[[#This Row],[Check 4 Students Spring]], 0)</f>
        <v>200</v>
      </c>
      <c r="DD360" s="58">
        <f>Table1[[#This Row],[Check 4 Per Student Savings]]*DC360</f>
        <v>30716.000000000004</v>
      </c>
      <c r="DE360" s="58">
        <f t="shared" si="212"/>
        <v>400</v>
      </c>
      <c r="DF360" s="58">
        <f t="shared" si="213"/>
        <v>61432.000000000007</v>
      </c>
      <c r="DG36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400</v>
      </c>
      <c r="DH36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61432.000000000007</v>
      </c>
      <c r="DI360" s="111">
        <f>Table1[[#This Row],[Grand Total Savings]]/Table1[[#This Row],[Total Award]]</f>
        <v>2.0477333333333334</v>
      </c>
      <c r="DJ360" s="31"/>
      <c r="DL360" s="31"/>
      <c r="DM360" s="31"/>
      <c r="DN360" s="31"/>
      <c r="DO360" s="207"/>
      <c r="DP360" s="58"/>
      <c r="DQ360" s="31"/>
      <c r="DR360" s="58"/>
      <c r="DS360" s="58"/>
      <c r="EC360" s="17"/>
      <c r="ED360" s="17"/>
      <c r="EE360" s="17"/>
      <c r="EF360" s="17"/>
      <c r="EI360" s="21"/>
      <c r="EJ360" s="58"/>
      <c r="EK360" s="21"/>
      <c r="EL360" s="21"/>
    </row>
    <row r="361" spans="1:142" x14ac:dyDescent="0.25">
      <c r="A361" s="120">
        <v>490</v>
      </c>
      <c r="B361" s="121"/>
      <c r="C361" s="125" t="s">
        <v>125</v>
      </c>
      <c r="D361" s="118">
        <v>517548</v>
      </c>
      <c r="E361" s="117"/>
      <c r="F361" s="117"/>
      <c r="G361" s="202" t="s">
        <v>1583</v>
      </c>
      <c r="H361" s="95" t="s">
        <v>5</v>
      </c>
      <c r="I361" s="226" t="s">
        <v>118</v>
      </c>
      <c r="J361" s="205" t="s">
        <v>585</v>
      </c>
      <c r="K361" s="107">
        <v>15800</v>
      </c>
      <c r="L361" s="107" t="s">
        <v>498</v>
      </c>
      <c r="M361" s="101" t="s">
        <v>1629</v>
      </c>
      <c r="N361" s="101" t="s">
        <v>1630</v>
      </c>
      <c r="O361" s="101" t="s">
        <v>1631</v>
      </c>
      <c r="P361" s="101" t="s">
        <v>1632</v>
      </c>
      <c r="Q361" s="101" t="s">
        <v>530</v>
      </c>
      <c r="R361" s="101"/>
      <c r="S361" s="206"/>
      <c r="T361" s="206"/>
      <c r="U361" s="206"/>
      <c r="V361" s="17" t="s">
        <v>1095</v>
      </c>
      <c r="W361" s="17" t="s">
        <v>1095</v>
      </c>
      <c r="X361" s="17" t="s">
        <v>1095</v>
      </c>
      <c r="Y361" s="122">
        <v>132707.25</v>
      </c>
      <c r="Z361" s="17" t="s">
        <v>1633</v>
      </c>
      <c r="AA361" s="62" t="s">
        <v>1634</v>
      </c>
      <c r="AB361" s="21" t="s">
        <v>1635</v>
      </c>
      <c r="AC361" s="21" t="s">
        <v>1636</v>
      </c>
      <c r="AD361" s="21" t="s">
        <v>1637</v>
      </c>
      <c r="AE361" s="17" t="s">
        <v>498</v>
      </c>
      <c r="AF361" s="58" t="s">
        <v>129</v>
      </c>
      <c r="AG361" s="58"/>
      <c r="AH361" s="58"/>
      <c r="AI361" s="111" t="s">
        <v>130</v>
      </c>
      <c r="AJ361" s="21">
        <v>0</v>
      </c>
      <c r="AK361" s="58">
        <v>0</v>
      </c>
      <c r="AL361" s="21">
        <v>0</v>
      </c>
      <c r="AM361" s="58">
        <f t="shared" si="216"/>
        <v>0</v>
      </c>
      <c r="AN361" s="21">
        <v>0</v>
      </c>
      <c r="AO361" s="21">
        <v>0</v>
      </c>
      <c r="AP361" s="21">
        <v>0</v>
      </c>
      <c r="AQ361" s="21">
        <v>0</v>
      </c>
      <c r="AR361" s="21">
        <v>0</v>
      </c>
      <c r="AS361" s="21">
        <v>0</v>
      </c>
      <c r="AT361" s="21">
        <v>0</v>
      </c>
      <c r="AU361" s="21">
        <v>0</v>
      </c>
      <c r="AV361" s="21">
        <v>0</v>
      </c>
      <c r="AW361" s="21">
        <v>0</v>
      </c>
      <c r="AX361" s="21">
        <v>0</v>
      </c>
      <c r="AY361" s="21">
        <v>0</v>
      </c>
      <c r="AZ361" s="21">
        <v>0</v>
      </c>
      <c r="BA361" s="21">
        <v>0</v>
      </c>
      <c r="BB361" s="21">
        <v>0</v>
      </c>
      <c r="BC361" s="21">
        <v>0</v>
      </c>
      <c r="BD361" s="21">
        <v>0</v>
      </c>
      <c r="BE361" s="21">
        <v>0</v>
      </c>
      <c r="BF361" s="21">
        <v>0</v>
      </c>
      <c r="BG361" s="21">
        <v>0</v>
      </c>
      <c r="BH361" s="21">
        <v>0</v>
      </c>
      <c r="BI361" s="21">
        <v>0</v>
      </c>
      <c r="BJ361" s="21">
        <v>0</v>
      </c>
      <c r="BK361" s="21">
        <v>0</v>
      </c>
      <c r="BL361" s="17" t="s">
        <v>130</v>
      </c>
      <c r="BM361" s="21">
        <v>0</v>
      </c>
      <c r="BN361" s="21">
        <v>0</v>
      </c>
      <c r="BO361" s="21">
        <v>0</v>
      </c>
      <c r="BP361" s="31">
        <f t="shared" si="217"/>
        <v>0</v>
      </c>
      <c r="BQ361" s="31">
        <f t="shared" si="217"/>
        <v>0</v>
      </c>
      <c r="BR361" s="58">
        <f>Table1[[#This Row],[Check 2 Students Total]]*Table1[[#This Row],[Summer 2018 Price Check]]</f>
        <v>0</v>
      </c>
      <c r="BS361" s="21">
        <v>0</v>
      </c>
      <c r="BT361" s="21">
        <v>0</v>
      </c>
      <c r="BU361" s="21">
        <v>0</v>
      </c>
      <c r="BV361" s="21">
        <v>0</v>
      </c>
      <c r="BW361" s="21">
        <v>0</v>
      </c>
      <c r="BX361" s="123">
        <f>Table1[[#This Row],[Summer 2018 Price Check]]*Table1[[#This Row],[Spring 2019 Students]]</f>
        <v>0</v>
      </c>
      <c r="BY361" s="31">
        <f t="shared" si="218"/>
        <v>0</v>
      </c>
      <c r="BZ361" s="58">
        <f t="shared" si="219"/>
        <v>0</v>
      </c>
      <c r="CA361" s="58" t="s">
        <v>130</v>
      </c>
      <c r="CB361" s="21" t="s">
        <v>1635</v>
      </c>
      <c r="CC361" s="21" t="s">
        <v>1636</v>
      </c>
      <c r="CD361" s="21" t="s">
        <v>1637</v>
      </c>
      <c r="CE361" s="21" t="str">
        <f t="shared" si="220"/>
        <v>845</v>
      </c>
      <c r="CF361" s="62" t="s">
        <v>1634</v>
      </c>
      <c r="CG361" s="123">
        <f t="shared" si="221"/>
        <v>132707.25</v>
      </c>
      <c r="CH361" s="17" t="s">
        <v>498</v>
      </c>
      <c r="CI361" s="124">
        <v>0</v>
      </c>
      <c r="CJ361" s="123">
        <f>Table1[[#This Row],[Check 3 Per Student Savings]]*CI361</f>
        <v>0</v>
      </c>
      <c r="CK361" s="124">
        <v>0</v>
      </c>
      <c r="CL361" s="123">
        <f>Table1[[#This Row],[Check 3 Per Student Savings]]*CK361</f>
        <v>0</v>
      </c>
      <c r="CM361" s="124">
        <v>0</v>
      </c>
      <c r="CN361" s="123">
        <f>Table1[[#This Row],[Check 3 Per Student Savings]]*CM361</f>
        <v>0</v>
      </c>
      <c r="CO361" s="124">
        <f t="shared" si="208"/>
        <v>0</v>
      </c>
      <c r="CP361" s="123">
        <f t="shared" si="209"/>
        <v>0</v>
      </c>
      <c r="CQ361" s="123" t="s">
        <v>130</v>
      </c>
      <c r="CR361" s="124" t="s">
        <v>1635</v>
      </c>
      <c r="CS361" s="124" t="s">
        <v>1636</v>
      </c>
      <c r="CT361" s="124" t="s">
        <v>1637</v>
      </c>
      <c r="CU361" s="124">
        <f t="shared" si="210"/>
        <v>845</v>
      </c>
      <c r="CV361" s="123" t="s">
        <v>1634</v>
      </c>
      <c r="CW361" s="123">
        <f t="shared" si="211"/>
        <v>132707.25</v>
      </c>
      <c r="CX361" s="17" t="s">
        <v>498</v>
      </c>
      <c r="CY361" s="124">
        <v>0</v>
      </c>
      <c r="CZ361" s="58">
        <f>Table1[[#This Row],[Check 4 Per Student Savings]]*CY361</f>
        <v>0</v>
      </c>
      <c r="DA361" s="124" t="str">
        <f>IF(Table1[[#This Row],[Check 4 Status]]="Continued", Table1[[#This Row],[Check 4 Students Fall]], 0)</f>
        <v>355</v>
      </c>
      <c r="DB361" s="123">
        <f>Table1[[#This Row],[Check 4 Per Student Savings]]*DA361</f>
        <v>55752.750000000007</v>
      </c>
      <c r="DC361" s="21" t="str">
        <f>IF(Table1[[#This Row],[Check 4 Status]]="Continued", Table1[[#This Row],[Check 4 Students Spring]], 0)</f>
        <v>435</v>
      </c>
      <c r="DD361" s="58">
        <f>Table1[[#This Row],[Check 4 Per Student Savings]]*DC361</f>
        <v>68316.75</v>
      </c>
      <c r="DE361" s="58">
        <f t="shared" si="212"/>
        <v>790</v>
      </c>
      <c r="DF361" s="58">
        <f t="shared" si="213"/>
        <v>124069.5</v>
      </c>
      <c r="DG36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790</v>
      </c>
      <c r="DH36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124069.5</v>
      </c>
      <c r="DI361" s="111">
        <f>Table1[[#This Row],[Grand Total Savings]]/Table1[[#This Row],[Total Award]]</f>
        <v>7.8525</v>
      </c>
      <c r="DJ361" s="31"/>
      <c r="DL361" s="31"/>
      <c r="DM361" s="31"/>
      <c r="DN361" s="31"/>
      <c r="DO361" s="207"/>
      <c r="DP361" s="58"/>
      <c r="DQ361" s="31"/>
      <c r="DR361" s="58"/>
      <c r="DS361" s="58"/>
      <c r="EC361" s="17"/>
      <c r="ED361" s="17"/>
      <c r="EE361" s="17"/>
      <c r="EF361" s="17"/>
      <c r="EI361" s="21"/>
      <c r="EJ361" s="58"/>
      <c r="EK361" s="21"/>
      <c r="EL361" s="21"/>
    </row>
    <row r="362" spans="1:142" x14ac:dyDescent="0.25">
      <c r="A362" s="120">
        <v>492</v>
      </c>
      <c r="B362" s="121"/>
      <c r="C362" s="121" t="s">
        <v>129</v>
      </c>
      <c r="D362" s="118">
        <v>517298</v>
      </c>
      <c r="E362" s="117"/>
      <c r="F362" s="117"/>
      <c r="G362" s="202" t="s">
        <v>1583</v>
      </c>
      <c r="H362" s="95" t="s">
        <v>5</v>
      </c>
      <c r="I362" s="226" t="s">
        <v>118</v>
      </c>
      <c r="J362" s="205" t="s">
        <v>276</v>
      </c>
      <c r="K362" s="107">
        <v>10800</v>
      </c>
      <c r="L362" s="107" t="s">
        <v>498</v>
      </c>
      <c r="M362" s="101" t="s">
        <v>889</v>
      </c>
      <c r="N362" s="101" t="s">
        <v>890</v>
      </c>
      <c r="O362" s="101" t="s">
        <v>1638</v>
      </c>
      <c r="P362" s="101" t="s">
        <v>1639</v>
      </c>
      <c r="Q362" s="101" t="s">
        <v>206</v>
      </c>
      <c r="R362" s="101"/>
      <c r="S362" s="206"/>
      <c r="T362" s="206"/>
      <c r="U362" s="206"/>
      <c r="V362" s="17" t="s">
        <v>1095</v>
      </c>
      <c r="W362" s="17" t="s">
        <v>1095</v>
      </c>
      <c r="X362" s="17" t="s">
        <v>1095</v>
      </c>
      <c r="Y362" s="122">
        <v>69819.75</v>
      </c>
      <c r="Z362" s="17" t="s">
        <v>1640</v>
      </c>
      <c r="AA362" s="62" t="s">
        <v>1641</v>
      </c>
      <c r="AB362" s="21" t="s">
        <v>1480</v>
      </c>
      <c r="AC362" s="21" t="s">
        <v>1480</v>
      </c>
      <c r="AD362" s="21" t="s">
        <v>1480</v>
      </c>
      <c r="AE362" s="17" t="s">
        <v>498</v>
      </c>
      <c r="AF362" s="58" t="s">
        <v>129</v>
      </c>
      <c r="AG362" s="58"/>
      <c r="AH362" s="58"/>
      <c r="AI362" s="111" t="s">
        <v>130</v>
      </c>
      <c r="AJ362" s="21">
        <v>0</v>
      </c>
      <c r="AK362" s="58">
        <v>0</v>
      </c>
      <c r="AL362" s="21">
        <v>0</v>
      </c>
      <c r="AM362" s="58">
        <f t="shared" si="216"/>
        <v>0</v>
      </c>
      <c r="AN362" s="21">
        <v>0</v>
      </c>
      <c r="AO362" s="21">
        <v>0</v>
      </c>
      <c r="AP362" s="21">
        <v>0</v>
      </c>
      <c r="AQ362" s="21">
        <v>0</v>
      </c>
      <c r="AR362" s="21">
        <v>0</v>
      </c>
      <c r="AS362" s="21">
        <v>0</v>
      </c>
      <c r="AT362" s="21">
        <v>0</v>
      </c>
      <c r="AU362" s="21">
        <v>0</v>
      </c>
      <c r="AV362" s="21">
        <v>0</v>
      </c>
      <c r="AW362" s="21">
        <v>0</v>
      </c>
      <c r="AX362" s="21">
        <v>0</v>
      </c>
      <c r="AY362" s="21">
        <v>0</v>
      </c>
      <c r="AZ362" s="21">
        <v>0</v>
      </c>
      <c r="BA362" s="21">
        <v>0</v>
      </c>
      <c r="BB362" s="21">
        <v>0</v>
      </c>
      <c r="BC362" s="21">
        <v>0</v>
      </c>
      <c r="BD362" s="21">
        <v>0</v>
      </c>
      <c r="BE362" s="21">
        <v>0</v>
      </c>
      <c r="BF362" s="21">
        <v>0</v>
      </c>
      <c r="BG362" s="21">
        <v>0</v>
      </c>
      <c r="BH362" s="21">
        <v>0</v>
      </c>
      <c r="BI362" s="21">
        <v>0</v>
      </c>
      <c r="BJ362" s="21">
        <v>0</v>
      </c>
      <c r="BK362" s="21">
        <v>0</v>
      </c>
      <c r="BL362" s="17" t="s">
        <v>130</v>
      </c>
      <c r="BM362" s="21">
        <v>0</v>
      </c>
      <c r="BN362" s="21">
        <v>0</v>
      </c>
      <c r="BO362" s="21">
        <v>0</v>
      </c>
      <c r="BP362" s="31">
        <f t="shared" si="217"/>
        <v>0</v>
      </c>
      <c r="BQ362" s="31">
        <f t="shared" si="217"/>
        <v>0</v>
      </c>
      <c r="BR362" s="58">
        <f>Table1[[#This Row],[Check 2 Students Total]]*Table1[[#This Row],[Summer 2018 Price Check]]</f>
        <v>0</v>
      </c>
      <c r="BS362" s="21">
        <v>0</v>
      </c>
      <c r="BT362" s="21">
        <v>0</v>
      </c>
      <c r="BU362" s="21">
        <v>0</v>
      </c>
      <c r="BV362" s="21">
        <v>0</v>
      </c>
      <c r="BW362" s="21">
        <v>0</v>
      </c>
      <c r="BX362" s="123">
        <f>Table1[[#This Row],[Summer 2018 Price Check]]*Table1[[#This Row],[Spring 2019 Students]]</f>
        <v>0</v>
      </c>
      <c r="BY362" s="31">
        <f t="shared" si="218"/>
        <v>0</v>
      </c>
      <c r="BZ362" s="58">
        <f t="shared" si="219"/>
        <v>0</v>
      </c>
      <c r="CA362" s="58" t="s">
        <v>130</v>
      </c>
      <c r="CB362" s="21" t="s">
        <v>1480</v>
      </c>
      <c r="CC362" s="21" t="s">
        <v>1480</v>
      </c>
      <c r="CD362" s="21" t="s">
        <v>1480</v>
      </c>
      <c r="CE362" s="21" t="str">
        <f t="shared" si="220"/>
        <v>315</v>
      </c>
      <c r="CF362" s="62" t="s">
        <v>1641</v>
      </c>
      <c r="CG362" s="123">
        <f t="shared" si="221"/>
        <v>69819.75</v>
      </c>
      <c r="CH362" s="17" t="s">
        <v>498</v>
      </c>
      <c r="CI362" s="124">
        <v>0</v>
      </c>
      <c r="CJ362" s="123">
        <f>Table1[[#This Row],[Check 3 Per Student Savings]]*CI362</f>
        <v>0</v>
      </c>
      <c r="CK362" s="124">
        <v>0</v>
      </c>
      <c r="CL362" s="123">
        <f>Table1[[#This Row],[Check 3 Per Student Savings]]*CK362</f>
        <v>0</v>
      </c>
      <c r="CM362" s="124">
        <v>0</v>
      </c>
      <c r="CN362" s="123">
        <f>Table1[[#This Row],[Check 3 Per Student Savings]]*CM362</f>
        <v>0</v>
      </c>
      <c r="CO362" s="124">
        <f t="shared" si="208"/>
        <v>0</v>
      </c>
      <c r="CP362" s="123">
        <f t="shared" si="209"/>
        <v>0</v>
      </c>
      <c r="CQ362" s="123" t="s">
        <v>130</v>
      </c>
      <c r="CR362" s="124" t="s">
        <v>1480</v>
      </c>
      <c r="CS362" s="124" t="s">
        <v>1480</v>
      </c>
      <c r="CT362" s="124" t="s">
        <v>1480</v>
      </c>
      <c r="CU362" s="124">
        <f t="shared" si="210"/>
        <v>315</v>
      </c>
      <c r="CV362" s="123" t="s">
        <v>1641</v>
      </c>
      <c r="CW362" s="123">
        <f t="shared" si="211"/>
        <v>69819.75</v>
      </c>
      <c r="CX362" s="17" t="s">
        <v>498</v>
      </c>
      <c r="CY362" s="124">
        <v>0</v>
      </c>
      <c r="CZ362" s="58">
        <f>Table1[[#This Row],[Check 4 Per Student Savings]]*CY362</f>
        <v>0</v>
      </c>
      <c r="DA362" s="124" t="str">
        <f>IF(Table1[[#This Row],[Check 4 Status]]="Continued", Table1[[#This Row],[Check 4 Students Fall]], 0)</f>
        <v>105</v>
      </c>
      <c r="DB362" s="123">
        <f>Table1[[#This Row],[Check 4 Per Student Savings]]*DA362</f>
        <v>23273.25</v>
      </c>
      <c r="DC362" s="21" t="str">
        <f>IF(Table1[[#This Row],[Check 4 Status]]="Continued", Table1[[#This Row],[Check 4 Students Spring]], 0)</f>
        <v>105</v>
      </c>
      <c r="DD362" s="58">
        <f>Table1[[#This Row],[Check 4 Per Student Savings]]*DC362</f>
        <v>23273.25</v>
      </c>
      <c r="DE362" s="58">
        <f t="shared" si="212"/>
        <v>210</v>
      </c>
      <c r="DF362" s="58">
        <f t="shared" si="213"/>
        <v>46546.5</v>
      </c>
      <c r="DG36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210</v>
      </c>
      <c r="DH36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46546.5</v>
      </c>
      <c r="DI362" s="111">
        <f>Table1[[#This Row],[Grand Total Savings]]/Table1[[#This Row],[Total Award]]</f>
        <v>4.3098611111111111</v>
      </c>
      <c r="DJ362" s="31"/>
      <c r="DL362" s="31"/>
      <c r="DM362" s="31"/>
      <c r="DN362" s="31"/>
      <c r="DO362" s="207"/>
      <c r="DP362" s="58"/>
      <c r="DQ362" s="31"/>
      <c r="DR362" s="58"/>
      <c r="DS362" s="58"/>
      <c r="EC362" s="17"/>
      <c r="ED362" s="17"/>
      <c r="EE362" s="17"/>
      <c r="EF362" s="17"/>
      <c r="EI362" s="21"/>
      <c r="EJ362" s="58"/>
      <c r="EK362" s="21"/>
      <c r="EL362" s="21"/>
    </row>
    <row r="363" spans="1:142" x14ac:dyDescent="0.25">
      <c r="A363" s="120">
        <v>494</v>
      </c>
      <c r="B363" s="121"/>
      <c r="C363" s="121" t="s">
        <v>129</v>
      </c>
      <c r="D363" s="118">
        <v>517338</v>
      </c>
      <c r="E363" s="117"/>
      <c r="F363" s="117"/>
      <c r="G363" s="202" t="s">
        <v>1583</v>
      </c>
      <c r="H363" s="95" t="s">
        <v>5</v>
      </c>
      <c r="I363" s="226" t="s">
        <v>118</v>
      </c>
      <c r="J363" s="205" t="s">
        <v>179</v>
      </c>
      <c r="K363" s="107">
        <v>10800</v>
      </c>
      <c r="L363" s="107" t="s">
        <v>498</v>
      </c>
      <c r="M363" s="101" t="s">
        <v>1642</v>
      </c>
      <c r="N363" s="101" t="s">
        <v>1643</v>
      </c>
      <c r="O363" s="101" t="s">
        <v>1644</v>
      </c>
      <c r="P363" s="101" t="s">
        <v>1645</v>
      </c>
      <c r="Q363" s="101" t="s">
        <v>272</v>
      </c>
      <c r="R363" s="101"/>
      <c r="S363" s="206"/>
      <c r="T363" s="206"/>
      <c r="U363" s="206"/>
      <c r="V363" s="17" t="s">
        <v>1095</v>
      </c>
      <c r="W363" s="17" t="s">
        <v>1095</v>
      </c>
      <c r="X363" s="17" t="s">
        <v>1095</v>
      </c>
      <c r="Y363" s="122">
        <v>28794</v>
      </c>
      <c r="Z363" s="17" t="s">
        <v>1328</v>
      </c>
      <c r="AA363" s="62" t="s">
        <v>1646</v>
      </c>
      <c r="AB363" s="21" t="s">
        <v>1647</v>
      </c>
      <c r="AC363" s="21" t="s">
        <v>1338</v>
      </c>
      <c r="AD363" s="21" t="s">
        <v>1338</v>
      </c>
      <c r="AE363" s="17" t="s">
        <v>498</v>
      </c>
      <c r="AF363" s="58" t="s">
        <v>129</v>
      </c>
      <c r="AG363" s="58"/>
      <c r="AH363" s="58"/>
      <c r="AI363" s="111" t="s">
        <v>130</v>
      </c>
      <c r="AJ363" s="21">
        <v>0</v>
      </c>
      <c r="AK363" s="58">
        <v>0</v>
      </c>
      <c r="AL363" s="21">
        <v>0</v>
      </c>
      <c r="AM363" s="58">
        <f t="shared" si="216"/>
        <v>0</v>
      </c>
      <c r="AN363" s="21">
        <v>0</v>
      </c>
      <c r="AO363" s="21">
        <v>0</v>
      </c>
      <c r="AP363" s="21">
        <v>0</v>
      </c>
      <c r="AQ363" s="21">
        <v>0</v>
      </c>
      <c r="AR363" s="21">
        <v>0</v>
      </c>
      <c r="AS363" s="21">
        <v>0</v>
      </c>
      <c r="AT363" s="21">
        <v>0</v>
      </c>
      <c r="AU363" s="21">
        <v>0</v>
      </c>
      <c r="AV363" s="21">
        <v>0</v>
      </c>
      <c r="AW363" s="21">
        <v>0</v>
      </c>
      <c r="AX363" s="21">
        <v>0</v>
      </c>
      <c r="AY363" s="21">
        <v>0</v>
      </c>
      <c r="AZ363" s="21">
        <v>0</v>
      </c>
      <c r="BA363" s="21">
        <v>0</v>
      </c>
      <c r="BB363" s="21">
        <v>0</v>
      </c>
      <c r="BC363" s="21">
        <v>0</v>
      </c>
      <c r="BD363" s="21">
        <v>0</v>
      </c>
      <c r="BE363" s="21">
        <v>0</v>
      </c>
      <c r="BF363" s="21">
        <v>0</v>
      </c>
      <c r="BG363" s="21">
        <v>0</v>
      </c>
      <c r="BH363" s="21">
        <v>0</v>
      </c>
      <c r="BI363" s="21">
        <v>0</v>
      </c>
      <c r="BJ363" s="21">
        <v>0</v>
      </c>
      <c r="BK363" s="21">
        <v>0</v>
      </c>
      <c r="BL363" s="17" t="s">
        <v>130</v>
      </c>
      <c r="BM363" s="21">
        <v>0</v>
      </c>
      <c r="BN363" s="21">
        <v>0</v>
      </c>
      <c r="BO363" s="21">
        <v>0</v>
      </c>
      <c r="BP363" s="31">
        <f t="shared" si="217"/>
        <v>0</v>
      </c>
      <c r="BQ363" s="31">
        <f t="shared" si="217"/>
        <v>0</v>
      </c>
      <c r="BR363" s="58">
        <f>Table1[[#This Row],[Check 2 Students Total]]*Table1[[#This Row],[Summer 2018 Price Check]]</f>
        <v>0</v>
      </c>
      <c r="BS363" s="21">
        <v>0</v>
      </c>
      <c r="BT363" s="21">
        <v>0</v>
      </c>
      <c r="BU363" s="21">
        <v>0</v>
      </c>
      <c r="BV363" s="21">
        <v>0</v>
      </c>
      <c r="BW363" s="21">
        <v>0</v>
      </c>
      <c r="BX363" s="123">
        <f>Table1[[#This Row],[Summer 2018 Price Check]]*Table1[[#This Row],[Spring 2019 Students]]</f>
        <v>0</v>
      </c>
      <c r="BY363" s="31">
        <f t="shared" si="218"/>
        <v>0</v>
      </c>
      <c r="BZ363" s="58">
        <f t="shared" si="219"/>
        <v>0</v>
      </c>
      <c r="CA363" s="58" t="s">
        <v>130</v>
      </c>
      <c r="CB363" s="21" t="s">
        <v>1647</v>
      </c>
      <c r="CC363" s="21" t="s">
        <v>1338</v>
      </c>
      <c r="CD363" s="21" t="s">
        <v>1338</v>
      </c>
      <c r="CE363" s="21" t="str">
        <f t="shared" si="220"/>
        <v>120</v>
      </c>
      <c r="CF363" s="62" t="s">
        <v>1646</v>
      </c>
      <c r="CG363" s="123">
        <f t="shared" si="221"/>
        <v>28794</v>
      </c>
      <c r="CH363" s="17" t="s">
        <v>498</v>
      </c>
      <c r="CI363" s="124">
        <v>0</v>
      </c>
      <c r="CJ363" s="123">
        <f>Table1[[#This Row],[Check 3 Per Student Savings]]*CI363</f>
        <v>0</v>
      </c>
      <c r="CK363" s="124">
        <v>0</v>
      </c>
      <c r="CL363" s="123">
        <f>Table1[[#This Row],[Check 3 Per Student Savings]]*CK363</f>
        <v>0</v>
      </c>
      <c r="CM363" s="124">
        <v>0</v>
      </c>
      <c r="CN363" s="123">
        <f>Table1[[#This Row],[Check 3 Per Student Savings]]*CM363</f>
        <v>0</v>
      </c>
      <c r="CO363" s="124">
        <f t="shared" si="208"/>
        <v>0</v>
      </c>
      <c r="CP363" s="123">
        <f t="shared" si="209"/>
        <v>0</v>
      </c>
      <c r="CQ363" s="123" t="s">
        <v>130</v>
      </c>
      <c r="CR363" s="124" t="s">
        <v>1647</v>
      </c>
      <c r="CS363" s="124" t="s">
        <v>1338</v>
      </c>
      <c r="CT363" s="124" t="s">
        <v>1338</v>
      </c>
      <c r="CU363" s="124">
        <f t="shared" si="210"/>
        <v>120</v>
      </c>
      <c r="CV363" s="123" t="s">
        <v>1646</v>
      </c>
      <c r="CW363" s="123">
        <f t="shared" si="211"/>
        <v>28794</v>
      </c>
      <c r="CX363" s="17" t="s">
        <v>498</v>
      </c>
      <c r="CY363" s="124">
        <v>0</v>
      </c>
      <c r="CZ363" s="58">
        <f>Table1[[#This Row],[Check 4 Per Student Savings]]*CY363</f>
        <v>0</v>
      </c>
      <c r="DA363" s="124" t="str">
        <f>IF(Table1[[#This Row],[Check 4 Status]]="Continued", Table1[[#This Row],[Check 4 Students Fall]], 0)</f>
        <v>50</v>
      </c>
      <c r="DB363" s="123">
        <f>Table1[[#This Row],[Check 4 Per Student Savings]]*DA363</f>
        <v>11997.5</v>
      </c>
      <c r="DC363" s="21" t="str">
        <f>IF(Table1[[#This Row],[Check 4 Status]]="Continued", Table1[[#This Row],[Check 4 Students Spring]], 0)</f>
        <v>50</v>
      </c>
      <c r="DD363" s="58">
        <f>Table1[[#This Row],[Check 4 Per Student Savings]]*DC363</f>
        <v>11997.5</v>
      </c>
      <c r="DE363" s="58">
        <f t="shared" si="212"/>
        <v>100</v>
      </c>
      <c r="DF363" s="58">
        <f t="shared" si="213"/>
        <v>23995</v>
      </c>
      <c r="DG36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100</v>
      </c>
      <c r="DH36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23995</v>
      </c>
      <c r="DI363" s="111">
        <f>Table1[[#This Row],[Grand Total Savings]]/Table1[[#This Row],[Total Award]]</f>
        <v>2.2217592592592594</v>
      </c>
      <c r="DJ363" s="31"/>
      <c r="DL363" s="31"/>
      <c r="DM363" s="31"/>
      <c r="DN363" s="31"/>
      <c r="DO363" s="207"/>
      <c r="DP363" s="58"/>
      <c r="DQ363" s="31"/>
      <c r="DR363" s="58"/>
      <c r="DS363" s="58"/>
      <c r="EC363" s="17"/>
      <c r="ED363" s="17"/>
      <c r="EE363" s="17"/>
      <c r="EF363" s="17"/>
      <c r="EI363" s="21"/>
      <c r="EJ363" s="58"/>
      <c r="EK363" s="21"/>
      <c r="EL363" s="21"/>
    </row>
    <row r="364" spans="1:142" x14ac:dyDescent="0.25">
      <c r="A364" s="120">
        <v>495</v>
      </c>
      <c r="B364" s="121"/>
      <c r="C364" s="121" t="s">
        <v>129</v>
      </c>
      <c r="D364" s="118">
        <v>517339</v>
      </c>
      <c r="E364" s="117"/>
      <c r="F364" s="117"/>
      <c r="G364" s="202" t="s">
        <v>1583</v>
      </c>
      <c r="H364" s="95" t="s">
        <v>5</v>
      </c>
      <c r="I364" s="226" t="s">
        <v>118</v>
      </c>
      <c r="J364" s="205" t="s">
        <v>179</v>
      </c>
      <c r="K364" s="107">
        <v>8800</v>
      </c>
      <c r="L364" s="107" t="s">
        <v>1443</v>
      </c>
      <c r="M364" s="101" t="s">
        <v>1648</v>
      </c>
      <c r="N364" s="101" t="s">
        <v>1649</v>
      </c>
      <c r="O364" s="101" t="s">
        <v>1650</v>
      </c>
      <c r="P364" s="101" t="s">
        <v>1651</v>
      </c>
      <c r="Q364" s="101" t="s">
        <v>272</v>
      </c>
      <c r="R364" s="101"/>
      <c r="S364" s="206"/>
      <c r="T364" s="206"/>
      <c r="U364" s="206"/>
      <c r="V364" s="17" t="s">
        <v>1095</v>
      </c>
      <c r="W364" s="17" t="s">
        <v>1095</v>
      </c>
      <c r="X364" s="17" t="s">
        <v>1095</v>
      </c>
      <c r="Y364" s="122">
        <v>23040</v>
      </c>
      <c r="Z364" s="17" t="s">
        <v>1652</v>
      </c>
      <c r="AA364" s="62" t="s">
        <v>1350</v>
      </c>
      <c r="AB364" s="21" t="s">
        <v>1497</v>
      </c>
      <c r="AC364" s="21" t="s">
        <v>1344</v>
      </c>
      <c r="AD364" s="21" t="s">
        <v>1338</v>
      </c>
      <c r="AE364" s="17" t="s">
        <v>1443</v>
      </c>
      <c r="AF364" s="58" t="s">
        <v>129</v>
      </c>
      <c r="AG364" s="58"/>
      <c r="AH364" s="58"/>
      <c r="AI364" s="111" t="s">
        <v>130</v>
      </c>
      <c r="AJ364" s="21">
        <v>0</v>
      </c>
      <c r="AK364" s="58">
        <v>0</v>
      </c>
      <c r="AL364" s="21">
        <v>0</v>
      </c>
      <c r="AM364" s="58">
        <f t="shared" si="216"/>
        <v>0</v>
      </c>
      <c r="AN364" s="21">
        <v>0</v>
      </c>
      <c r="AO364" s="21">
        <v>0</v>
      </c>
      <c r="AP364" s="21">
        <v>0</v>
      </c>
      <c r="AQ364" s="21">
        <v>0</v>
      </c>
      <c r="AR364" s="21">
        <v>0</v>
      </c>
      <c r="AS364" s="21">
        <v>0</v>
      </c>
      <c r="AT364" s="21">
        <v>0</v>
      </c>
      <c r="AU364" s="21">
        <v>0</v>
      </c>
      <c r="AV364" s="21">
        <v>0</v>
      </c>
      <c r="AW364" s="21">
        <v>0</v>
      </c>
      <c r="AX364" s="21">
        <v>0</v>
      </c>
      <c r="AY364" s="21">
        <v>0</v>
      </c>
      <c r="AZ364" s="21">
        <v>0</v>
      </c>
      <c r="BA364" s="21">
        <v>0</v>
      </c>
      <c r="BB364" s="21">
        <v>0</v>
      </c>
      <c r="BC364" s="21">
        <v>0</v>
      </c>
      <c r="BD364" s="21">
        <v>0</v>
      </c>
      <c r="BE364" s="21">
        <v>0</v>
      </c>
      <c r="BF364" s="21">
        <v>0</v>
      </c>
      <c r="BG364" s="21">
        <v>0</v>
      </c>
      <c r="BH364" s="21">
        <v>0</v>
      </c>
      <c r="BI364" s="21">
        <v>0</v>
      </c>
      <c r="BJ364" s="21">
        <v>0</v>
      </c>
      <c r="BK364" s="21">
        <v>0</v>
      </c>
      <c r="BL364" s="17" t="s">
        <v>130</v>
      </c>
      <c r="BM364" s="21">
        <v>0</v>
      </c>
      <c r="BN364" s="21">
        <v>0</v>
      </c>
      <c r="BO364" s="21">
        <v>0</v>
      </c>
      <c r="BP364" s="31">
        <f t="shared" si="217"/>
        <v>0</v>
      </c>
      <c r="BQ364" s="31">
        <f t="shared" si="217"/>
        <v>0</v>
      </c>
      <c r="BR364" s="58">
        <f>Table1[[#This Row],[Check 2 Students Total]]*Table1[[#This Row],[Summer 2018 Price Check]]</f>
        <v>0</v>
      </c>
      <c r="BS364" s="21">
        <v>0</v>
      </c>
      <c r="BT364" s="21">
        <v>0</v>
      </c>
      <c r="BU364" s="21">
        <v>0</v>
      </c>
      <c r="BV364" s="21">
        <v>0</v>
      </c>
      <c r="BW364" s="21">
        <v>0</v>
      </c>
      <c r="BX364" s="123">
        <f>Table1[[#This Row],[Summer 2018 Price Check]]*Table1[[#This Row],[Spring 2019 Students]]</f>
        <v>0</v>
      </c>
      <c r="BY364" s="31">
        <f t="shared" si="218"/>
        <v>0</v>
      </c>
      <c r="BZ364" s="58">
        <f t="shared" si="219"/>
        <v>0</v>
      </c>
      <c r="CA364" s="58" t="s">
        <v>130</v>
      </c>
      <c r="CB364" s="21" t="s">
        <v>1497</v>
      </c>
      <c r="CC364" s="21" t="s">
        <v>1344</v>
      </c>
      <c r="CD364" s="21" t="s">
        <v>1338</v>
      </c>
      <c r="CE364" s="21" t="str">
        <f t="shared" si="220"/>
        <v>180</v>
      </c>
      <c r="CF364" s="62" t="s">
        <v>1350</v>
      </c>
      <c r="CG364" s="123">
        <f t="shared" si="221"/>
        <v>23040</v>
      </c>
      <c r="CH364" s="17" t="s">
        <v>1443</v>
      </c>
      <c r="CI364" s="124">
        <v>0</v>
      </c>
      <c r="CJ364" s="123">
        <f>Table1[[#This Row],[Check 3 Per Student Savings]]*CI364</f>
        <v>0</v>
      </c>
      <c r="CK364" s="124">
        <v>0</v>
      </c>
      <c r="CL364" s="123">
        <f>Table1[[#This Row],[Check 3 Per Student Savings]]*CK364</f>
        <v>0</v>
      </c>
      <c r="CM364" s="124">
        <v>0</v>
      </c>
      <c r="CN364" s="123">
        <f>Table1[[#This Row],[Check 3 Per Student Savings]]*CM364</f>
        <v>0</v>
      </c>
      <c r="CO364" s="124">
        <f t="shared" si="208"/>
        <v>0</v>
      </c>
      <c r="CP364" s="123">
        <f t="shared" si="209"/>
        <v>0</v>
      </c>
      <c r="CQ364" s="123" t="s">
        <v>130</v>
      </c>
      <c r="CR364" s="124" t="s">
        <v>1497</v>
      </c>
      <c r="CS364" s="124" t="s">
        <v>1344</v>
      </c>
      <c r="CT364" s="124" t="s">
        <v>1338</v>
      </c>
      <c r="CU364" s="124">
        <f t="shared" si="210"/>
        <v>180</v>
      </c>
      <c r="CV364" s="123" t="s">
        <v>1350</v>
      </c>
      <c r="CW364" s="123">
        <f t="shared" si="211"/>
        <v>23040</v>
      </c>
      <c r="CX364" s="17" t="s">
        <v>1443</v>
      </c>
      <c r="CY364" s="21" t="str">
        <f>IF(Table1[[#This Row],[Check 4 Status]]="Continued", Table1[[#This Row],[Check 4 Students Summer]], 0)</f>
        <v>30</v>
      </c>
      <c r="CZ364" s="58">
        <f>Table1[[#This Row],[Check 4 Per Student Savings]]*CY364</f>
        <v>3840</v>
      </c>
      <c r="DA364" s="124" t="str">
        <f>IF(Table1[[#This Row],[Check 4 Status]]="Continued", Table1[[#This Row],[Check 4 Students Fall]], 0)</f>
        <v>100</v>
      </c>
      <c r="DB364" s="123">
        <f>Table1[[#This Row],[Check 4 Per Student Savings]]*DA364</f>
        <v>12800</v>
      </c>
      <c r="DC364" s="21" t="str">
        <f>IF(Table1[[#This Row],[Check 4 Status]]="Continued", Table1[[#This Row],[Check 4 Students Spring]], 0)</f>
        <v>50</v>
      </c>
      <c r="DD364" s="58">
        <f>Table1[[#This Row],[Check 4 Per Student Savings]]*DC364</f>
        <v>6400</v>
      </c>
      <c r="DE364" s="58">
        <f t="shared" si="212"/>
        <v>180</v>
      </c>
      <c r="DF364" s="58">
        <f t="shared" si="213"/>
        <v>23040</v>
      </c>
      <c r="DG36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180</v>
      </c>
      <c r="DH36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23040</v>
      </c>
      <c r="DI364" s="111">
        <f>Table1[[#This Row],[Grand Total Savings]]/Table1[[#This Row],[Total Award]]</f>
        <v>2.6181818181818182</v>
      </c>
      <c r="DJ364" s="31"/>
      <c r="DL364" s="31"/>
      <c r="DM364" s="31"/>
      <c r="DN364" s="31"/>
      <c r="DO364" s="207"/>
      <c r="DP364" s="58"/>
      <c r="DQ364" s="31"/>
      <c r="DR364" s="58"/>
      <c r="DS364" s="58"/>
      <c r="EC364" s="17"/>
      <c r="ED364" s="17"/>
      <c r="EE364" s="17"/>
      <c r="EF364" s="17"/>
      <c r="EI364" s="21"/>
      <c r="EJ364" s="58"/>
      <c r="EK364" s="21"/>
      <c r="EL364" s="21"/>
    </row>
    <row r="365" spans="1:142" x14ac:dyDescent="0.25">
      <c r="A365" s="120">
        <v>497</v>
      </c>
      <c r="B365" s="121"/>
      <c r="C365" s="121" t="s">
        <v>129</v>
      </c>
      <c r="D365" s="118">
        <v>517261</v>
      </c>
      <c r="E365" s="117"/>
      <c r="F365" s="117"/>
      <c r="G365" s="202" t="s">
        <v>1583</v>
      </c>
      <c r="H365" s="95" t="s">
        <v>5</v>
      </c>
      <c r="I365" s="226" t="s">
        <v>118</v>
      </c>
      <c r="J365" s="205" t="s">
        <v>132</v>
      </c>
      <c r="K365" s="107">
        <v>10800</v>
      </c>
      <c r="L365" s="107" t="s">
        <v>498</v>
      </c>
      <c r="M365" s="101" t="s">
        <v>519</v>
      </c>
      <c r="N365" s="101" t="s">
        <v>520</v>
      </c>
      <c r="O365" s="101" t="s">
        <v>1653</v>
      </c>
      <c r="P365" s="101" t="s">
        <v>1654</v>
      </c>
      <c r="Q365" s="101" t="s">
        <v>456</v>
      </c>
      <c r="R365" s="101"/>
      <c r="S365" s="206"/>
      <c r="T365" s="206"/>
      <c r="U365" s="206"/>
      <c r="V365" s="17" t="s">
        <v>1095</v>
      </c>
      <c r="W365" s="17" t="s">
        <v>1095</v>
      </c>
      <c r="X365" s="17" t="s">
        <v>1095</v>
      </c>
      <c r="Y365" s="122">
        <v>24750</v>
      </c>
      <c r="Z365" s="17" t="s">
        <v>1655</v>
      </c>
      <c r="AA365" s="62" t="s">
        <v>1656</v>
      </c>
      <c r="AB365" s="21" t="s">
        <v>1497</v>
      </c>
      <c r="AC365" s="21" t="s">
        <v>1305</v>
      </c>
      <c r="AD365" s="21" t="s">
        <v>1305</v>
      </c>
      <c r="AE365" s="17" t="s">
        <v>498</v>
      </c>
      <c r="AF365" s="58" t="s">
        <v>129</v>
      </c>
      <c r="AG365" s="58"/>
      <c r="AH365" s="58"/>
      <c r="AI365" s="111" t="s">
        <v>130</v>
      </c>
      <c r="AJ365" s="21">
        <v>0</v>
      </c>
      <c r="AK365" s="58">
        <v>0</v>
      </c>
      <c r="AL365" s="21">
        <v>0</v>
      </c>
      <c r="AM365" s="58">
        <f t="shared" si="216"/>
        <v>0</v>
      </c>
      <c r="AN365" s="21">
        <v>0</v>
      </c>
      <c r="AO365" s="21">
        <v>0</v>
      </c>
      <c r="AP365" s="21">
        <v>0</v>
      </c>
      <c r="AQ365" s="21">
        <v>0</v>
      </c>
      <c r="AR365" s="21">
        <v>0</v>
      </c>
      <c r="AS365" s="21">
        <v>0</v>
      </c>
      <c r="AT365" s="21">
        <v>0</v>
      </c>
      <c r="AU365" s="21">
        <v>0</v>
      </c>
      <c r="AV365" s="21">
        <v>0</v>
      </c>
      <c r="AW365" s="21">
        <v>0</v>
      </c>
      <c r="AX365" s="21">
        <v>0</v>
      </c>
      <c r="AY365" s="21">
        <v>0</v>
      </c>
      <c r="AZ365" s="21">
        <v>0</v>
      </c>
      <c r="BA365" s="21">
        <v>0</v>
      </c>
      <c r="BB365" s="21">
        <v>0</v>
      </c>
      <c r="BC365" s="21">
        <v>0</v>
      </c>
      <c r="BD365" s="21">
        <v>0</v>
      </c>
      <c r="BE365" s="21">
        <v>0</v>
      </c>
      <c r="BF365" s="21">
        <v>0</v>
      </c>
      <c r="BG365" s="21">
        <v>0</v>
      </c>
      <c r="BH365" s="21">
        <v>0</v>
      </c>
      <c r="BI365" s="21">
        <v>0</v>
      </c>
      <c r="BJ365" s="21">
        <v>0</v>
      </c>
      <c r="BK365" s="21">
        <v>0</v>
      </c>
      <c r="BL365" s="17" t="s">
        <v>130</v>
      </c>
      <c r="BM365" s="21">
        <v>0</v>
      </c>
      <c r="BN365" s="21">
        <v>0</v>
      </c>
      <c r="BO365" s="21">
        <v>0</v>
      </c>
      <c r="BP365" s="31">
        <f t="shared" si="217"/>
        <v>0</v>
      </c>
      <c r="BQ365" s="31">
        <f t="shared" si="217"/>
        <v>0</v>
      </c>
      <c r="BR365" s="58">
        <f>Table1[[#This Row],[Check 2 Students Total]]*Table1[[#This Row],[Summer 2018 Price Check]]</f>
        <v>0</v>
      </c>
      <c r="BS365" s="21">
        <v>0</v>
      </c>
      <c r="BT365" s="21">
        <v>0</v>
      </c>
      <c r="BU365" s="21">
        <v>0</v>
      </c>
      <c r="BV365" s="21">
        <v>0</v>
      </c>
      <c r="BW365" s="21">
        <v>0</v>
      </c>
      <c r="BX365" s="123">
        <f>Table1[[#This Row],[Summer 2018 Price Check]]*Table1[[#This Row],[Spring 2019 Students]]</f>
        <v>0</v>
      </c>
      <c r="BY365" s="31">
        <f t="shared" si="218"/>
        <v>0</v>
      </c>
      <c r="BZ365" s="58">
        <f t="shared" si="219"/>
        <v>0</v>
      </c>
      <c r="CA365" s="58" t="s">
        <v>130</v>
      </c>
      <c r="CB365" s="21" t="s">
        <v>1497</v>
      </c>
      <c r="CC365" s="21" t="s">
        <v>1305</v>
      </c>
      <c r="CD365" s="21" t="s">
        <v>1305</v>
      </c>
      <c r="CE365" s="21" t="str">
        <f t="shared" si="220"/>
        <v>110</v>
      </c>
      <c r="CF365" s="62" t="s">
        <v>1656</v>
      </c>
      <c r="CG365" s="123">
        <f t="shared" si="221"/>
        <v>24750</v>
      </c>
      <c r="CH365" s="17" t="s">
        <v>498</v>
      </c>
      <c r="CI365" s="124">
        <v>0</v>
      </c>
      <c r="CJ365" s="123">
        <f>Table1[[#This Row],[Check 3 Per Student Savings]]*CI365</f>
        <v>0</v>
      </c>
      <c r="CK365" s="124">
        <v>0</v>
      </c>
      <c r="CL365" s="123">
        <f>Table1[[#This Row],[Check 3 Per Student Savings]]*CK365</f>
        <v>0</v>
      </c>
      <c r="CM365" s="124">
        <v>0</v>
      </c>
      <c r="CN365" s="123">
        <f>Table1[[#This Row],[Check 3 Per Student Savings]]*CM365</f>
        <v>0</v>
      </c>
      <c r="CO365" s="124">
        <f t="shared" si="208"/>
        <v>0</v>
      </c>
      <c r="CP365" s="123">
        <f t="shared" si="209"/>
        <v>0</v>
      </c>
      <c r="CQ365" s="123" t="s">
        <v>130</v>
      </c>
      <c r="CR365" s="124" t="s">
        <v>1497</v>
      </c>
      <c r="CS365" s="124" t="s">
        <v>1305</v>
      </c>
      <c r="CT365" s="124" t="s">
        <v>1305</v>
      </c>
      <c r="CU365" s="124">
        <f t="shared" si="210"/>
        <v>110</v>
      </c>
      <c r="CV365" s="123" t="s">
        <v>1656</v>
      </c>
      <c r="CW365" s="123">
        <f t="shared" si="211"/>
        <v>24750</v>
      </c>
      <c r="CX365" s="17" t="s">
        <v>498</v>
      </c>
      <c r="CY365" s="124">
        <v>0</v>
      </c>
      <c r="CZ365" s="58">
        <f>Table1[[#This Row],[Check 4 Per Student Savings]]*CY365</f>
        <v>0</v>
      </c>
      <c r="DA365" s="124" t="str">
        <f>IF(Table1[[#This Row],[Check 4 Status]]="Continued", Table1[[#This Row],[Check 4 Students Fall]], 0)</f>
        <v>40</v>
      </c>
      <c r="DB365" s="123">
        <f>Table1[[#This Row],[Check 4 Per Student Savings]]*DA365</f>
        <v>9000</v>
      </c>
      <c r="DC365" s="21" t="str">
        <f>IF(Table1[[#This Row],[Check 4 Status]]="Continued", Table1[[#This Row],[Check 4 Students Spring]], 0)</f>
        <v>40</v>
      </c>
      <c r="DD365" s="58">
        <f>Table1[[#This Row],[Check 4 Per Student Savings]]*DC365</f>
        <v>9000</v>
      </c>
      <c r="DE365" s="58">
        <f t="shared" si="212"/>
        <v>80</v>
      </c>
      <c r="DF365" s="58">
        <f t="shared" si="213"/>
        <v>18000</v>
      </c>
      <c r="DG36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80</v>
      </c>
      <c r="DH36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18000</v>
      </c>
      <c r="DI365" s="111">
        <f>Table1[[#This Row],[Grand Total Savings]]/Table1[[#This Row],[Total Award]]</f>
        <v>1.6666666666666667</v>
      </c>
      <c r="DJ365" s="31"/>
      <c r="DL365" s="31"/>
      <c r="DM365" s="31"/>
      <c r="DN365" s="31"/>
      <c r="DO365" s="207"/>
      <c r="DP365" s="58"/>
      <c r="DQ365" s="31"/>
      <c r="DR365" s="58"/>
      <c r="DS365" s="58"/>
      <c r="EC365" s="17"/>
      <c r="ED365" s="17"/>
      <c r="EE365" s="17"/>
      <c r="EF365" s="17"/>
      <c r="EI365" s="21"/>
      <c r="EJ365" s="58"/>
      <c r="EK365" s="21"/>
      <c r="EL365" s="21"/>
    </row>
    <row r="366" spans="1:142" x14ac:dyDescent="0.25">
      <c r="A366" s="120">
        <v>499</v>
      </c>
      <c r="B366" s="121"/>
      <c r="C366" s="121" t="s">
        <v>129</v>
      </c>
      <c r="D366" s="118"/>
      <c r="E366" s="117"/>
      <c r="F366" s="117"/>
      <c r="G366" s="202" t="s">
        <v>1583</v>
      </c>
      <c r="H366" s="95" t="s">
        <v>5</v>
      </c>
      <c r="I366" s="226" t="s">
        <v>118</v>
      </c>
      <c r="J366" s="205" t="s">
        <v>574</v>
      </c>
      <c r="K366" s="107">
        <v>8600</v>
      </c>
      <c r="L366" s="107" t="s">
        <v>1443</v>
      </c>
      <c r="M366" s="101" t="s">
        <v>1657</v>
      </c>
      <c r="N366" s="101" t="s">
        <v>1658</v>
      </c>
      <c r="O366" s="101" t="s">
        <v>309</v>
      </c>
      <c r="P366" s="101" t="s">
        <v>310</v>
      </c>
      <c r="Q366" s="101" t="s">
        <v>148</v>
      </c>
      <c r="R366" s="101"/>
      <c r="S366" s="206"/>
      <c r="T366" s="206"/>
      <c r="U366" s="206"/>
      <c r="V366" s="17" t="s">
        <v>1095</v>
      </c>
      <c r="W366" s="17" t="s">
        <v>1095</v>
      </c>
      <c r="X366" s="17" t="s">
        <v>1095</v>
      </c>
      <c r="Y366" s="122">
        <v>165000</v>
      </c>
      <c r="Z366" s="17">
        <v>900</v>
      </c>
      <c r="AA366" s="62">
        <v>200</v>
      </c>
      <c r="AB366" s="21">
        <v>25</v>
      </c>
      <c r="AC366" s="21">
        <v>600</v>
      </c>
      <c r="AD366" s="21">
        <v>200</v>
      </c>
      <c r="AE366" s="17" t="s">
        <v>1287</v>
      </c>
      <c r="AF366" s="58" t="s">
        <v>129</v>
      </c>
      <c r="AG366" s="58"/>
      <c r="AH366" s="58"/>
      <c r="AI366" s="111" t="s">
        <v>130</v>
      </c>
      <c r="AJ366" s="21">
        <v>0</v>
      </c>
      <c r="AK366" s="58">
        <v>0</v>
      </c>
      <c r="AL366" s="21">
        <v>0</v>
      </c>
      <c r="AM366" s="58">
        <f t="shared" si="216"/>
        <v>0</v>
      </c>
      <c r="AN366" s="21">
        <v>0</v>
      </c>
      <c r="AO366" s="21">
        <v>0</v>
      </c>
      <c r="AP366" s="21">
        <v>0</v>
      </c>
      <c r="AQ366" s="21">
        <v>0</v>
      </c>
      <c r="AR366" s="21">
        <v>0</v>
      </c>
      <c r="AS366" s="21">
        <v>0</v>
      </c>
      <c r="AT366" s="21">
        <v>0</v>
      </c>
      <c r="AU366" s="21">
        <v>0</v>
      </c>
      <c r="AV366" s="21">
        <v>0</v>
      </c>
      <c r="AW366" s="21">
        <v>0</v>
      </c>
      <c r="AX366" s="21">
        <v>0</v>
      </c>
      <c r="AY366" s="21">
        <v>0</v>
      </c>
      <c r="AZ366" s="21">
        <v>0</v>
      </c>
      <c r="BA366" s="21">
        <v>0</v>
      </c>
      <c r="BB366" s="21">
        <v>0</v>
      </c>
      <c r="BC366" s="21">
        <v>0</v>
      </c>
      <c r="BD366" s="21">
        <v>0</v>
      </c>
      <c r="BE366" s="21">
        <v>0</v>
      </c>
      <c r="BF366" s="21">
        <v>0</v>
      </c>
      <c r="BG366" s="21">
        <v>0</v>
      </c>
      <c r="BH366" s="21">
        <v>0</v>
      </c>
      <c r="BI366" s="21">
        <v>0</v>
      </c>
      <c r="BJ366" s="21">
        <v>0</v>
      </c>
      <c r="BK366" s="21">
        <v>0</v>
      </c>
      <c r="BL366" s="17" t="s">
        <v>130</v>
      </c>
      <c r="BM366" s="21">
        <v>0</v>
      </c>
      <c r="BN366" s="21">
        <v>0</v>
      </c>
      <c r="BO366" s="21">
        <v>0</v>
      </c>
      <c r="BP366" s="31">
        <f t="shared" si="217"/>
        <v>0</v>
      </c>
      <c r="BQ366" s="31">
        <f t="shared" si="217"/>
        <v>0</v>
      </c>
      <c r="BR366" s="58">
        <f>Table1[[#This Row],[Check 2 Students Total]]*Table1[[#This Row],[Summer 2018 Price Check]]</f>
        <v>0</v>
      </c>
      <c r="BS366" s="21">
        <v>0</v>
      </c>
      <c r="BT366" s="21">
        <v>0</v>
      </c>
      <c r="BU366" s="21">
        <v>0</v>
      </c>
      <c r="BV366" s="21">
        <v>0</v>
      </c>
      <c r="BW366" s="21">
        <v>0</v>
      </c>
      <c r="BX366" s="123">
        <f>Table1[[#This Row],[Summer 2018 Price Check]]*Table1[[#This Row],[Spring 2019 Students]]</f>
        <v>0</v>
      </c>
      <c r="BY366" s="31">
        <f t="shared" si="218"/>
        <v>0</v>
      </c>
      <c r="BZ366" s="58">
        <f t="shared" si="219"/>
        <v>0</v>
      </c>
      <c r="CA366" s="58" t="s">
        <v>130</v>
      </c>
      <c r="CB366" s="21">
        <v>25</v>
      </c>
      <c r="CC366" s="21">
        <v>600</v>
      </c>
      <c r="CD366" s="21">
        <v>200</v>
      </c>
      <c r="CE366" s="21">
        <f t="shared" si="220"/>
        <v>900</v>
      </c>
      <c r="CF366" s="62">
        <v>200</v>
      </c>
      <c r="CG366" s="123">
        <f t="shared" si="221"/>
        <v>180000</v>
      </c>
      <c r="CH366" s="17" t="s">
        <v>1287</v>
      </c>
      <c r="CI366" s="124">
        <v>0</v>
      </c>
      <c r="CJ366" s="123">
        <f>Table1[[#This Row],[Check 3 Per Student Savings]]*CI366</f>
        <v>0</v>
      </c>
      <c r="CK366" s="124">
        <v>0</v>
      </c>
      <c r="CL366" s="123">
        <f>Table1[[#This Row],[Check 3 Per Student Savings]]*CK366</f>
        <v>0</v>
      </c>
      <c r="CM366" s="124">
        <f>IF(Table1[[#This Row],[Check 3 Status]]="Continued", Table1[[#This Row],[Check 3 Students Spring]], 0)</f>
        <v>200</v>
      </c>
      <c r="CN366" s="123">
        <f>Table1[[#This Row],[Check 3 Per Student Savings]]*CM366</f>
        <v>40000</v>
      </c>
      <c r="CO366" s="124">
        <f t="shared" si="208"/>
        <v>200</v>
      </c>
      <c r="CP366" s="123">
        <f t="shared" si="209"/>
        <v>40000</v>
      </c>
      <c r="CQ366" s="123" t="s">
        <v>130</v>
      </c>
      <c r="CR366" s="124">
        <v>25</v>
      </c>
      <c r="CS366" s="124">
        <v>600</v>
      </c>
      <c r="CT366" s="124">
        <v>200</v>
      </c>
      <c r="CU366" s="124">
        <f t="shared" si="210"/>
        <v>825</v>
      </c>
      <c r="CV366" s="123">
        <v>200</v>
      </c>
      <c r="CW366" s="123">
        <f t="shared" si="211"/>
        <v>165000</v>
      </c>
      <c r="CX366" s="17" t="s">
        <v>1287</v>
      </c>
      <c r="CY366" s="21">
        <f>IF(Table1[[#This Row],[Check 4 Status]]="Continued", Table1[[#This Row],[Check 4 Students Summer]], 0)</f>
        <v>25</v>
      </c>
      <c r="CZ366" s="58">
        <f>Table1[[#This Row],[Check 4 Per Student Savings]]*CY366</f>
        <v>5000</v>
      </c>
      <c r="DA366" s="124">
        <f>IF(Table1[[#This Row],[Check 4 Status]]="Continued", Table1[[#This Row],[Check 4 Students Fall]], 0)</f>
        <v>600</v>
      </c>
      <c r="DB366" s="123">
        <f>Table1[[#This Row],[Check 4 Per Student Savings]]*DA366</f>
        <v>120000</v>
      </c>
      <c r="DC366" s="21">
        <f>IF(Table1[[#This Row],[Check 4 Status]]="Continued", Table1[[#This Row],[Check 4 Students Spring]], 0)</f>
        <v>200</v>
      </c>
      <c r="DD366" s="58">
        <f>Table1[[#This Row],[Check 4 Per Student Savings]]*DC366</f>
        <v>40000</v>
      </c>
      <c r="DE366" s="58">
        <f t="shared" si="212"/>
        <v>825</v>
      </c>
      <c r="DF366" s="58">
        <f t="shared" si="213"/>
        <v>165000</v>
      </c>
      <c r="DG36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1025</v>
      </c>
      <c r="DH36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205000</v>
      </c>
      <c r="DI366" s="111">
        <f>Table1[[#This Row],[Grand Total Savings]]/Table1[[#This Row],[Total Award]]</f>
        <v>23.837209302325583</v>
      </c>
      <c r="DJ366" s="31"/>
      <c r="DL366" s="31"/>
      <c r="DM366" s="31"/>
      <c r="DN366" s="31"/>
      <c r="DO366" s="207"/>
      <c r="DP366" s="58"/>
      <c r="DQ366" s="31"/>
      <c r="DR366" s="58"/>
      <c r="DS366" s="58"/>
      <c r="EC366" s="17"/>
      <c r="ED366" s="17"/>
      <c r="EE366" s="17"/>
      <c r="EF366" s="17"/>
      <c r="EI366" s="21"/>
      <c r="EJ366" s="58"/>
      <c r="EK366" s="21"/>
      <c r="EL366" s="21"/>
    </row>
    <row r="367" spans="1:142" x14ac:dyDescent="0.25">
      <c r="A367" s="126">
        <v>501</v>
      </c>
      <c r="B367" s="121"/>
      <c r="C367" s="121" t="s">
        <v>129</v>
      </c>
      <c r="D367" s="118">
        <v>517262</v>
      </c>
      <c r="E367" s="117"/>
      <c r="F367" s="117"/>
      <c r="G367" s="202" t="s">
        <v>1583</v>
      </c>
      <c r="H367" s="95" t="s">
        <v>5</v>
      </c>
      <c r="I367" s="226" t="s">
        <v>118</v>
      </c>
      <c r="J367" s="208" t="s">
        <v>132</v>
      </c>
      <c r="K367" s="107">
        <v>10800</v>
      </c>
      <c r="L367" s="107" t="s">
        <v>498</v>
      </c>
      <c r="M367" s="101" t="s">
        <v>1659</v>
      </c>
      <c r="N367" s="101" t="s">
        <v>1660</v>
      </c>
      <c r="O367" s="101" t="s">
        <v>1661</v>
      </c>
      <c r="P367" s="101" t="s">
        <v>1662</v>
      </c>
      <c r="Q367" s="101" t="s">
        <v>177</v>
      </c>
      <c r="R367" s="101"/>
      <c r="S367" s="206"/>
      <c r="T367" s="206"/>
      <c r="U367" s="206"/>
      <c r="V367" s="17" t="s">
        <v>1095</v>
      </c>
      <c r="W367" s="17" t="s">
        <v>1095</v>
      </c>
      <c r="X367" s="17" t="s">
        <v>1095</v>
      </c>
      <c r="Y367" s="127">
        <v>45195.8</v>
      </c>
      <c r="Z367" s="17" t="s">
        <v>1471</v>
      </c>
      <c r="AA367" s="63" t="s">
        <v>1663</v>
      </c>
      <c r="AB367" s="21">
        <v>20</v>
      </c>
      <c r="AC367" s="21" t="s">
        <v>1664</v>
      </c>
      <c r="AD367" s="21" t="s">
        <v>1665</v>
      </c>
      <c r="AE367" s="17" t="s">
        <v>498</v>
      </c>
      <c r="AF367" s="58" t="s">
        <v>129</v>
      </c>
      <c r="AG367" s="58"/>
      <c r="AH367" s="58"/>
      <c r="AI367" s="111" t="s">
        <v>130</v>
      </c>
      <c r="AJ367" s="21">
        <v>0</v>
      </c>
      <c r="AK367" s="58">
        <v>0</v>
      </c>
      <c r="AL367" s="21">
        <v>0</v>
      </c>
      <c r="AM367" s="58">
        <f t="shared" si="216"/>
        <v>0</v>
      </c>
      <c r="AN367" s="21">
        <v>0</v>
      </c>
      <c r="AO367" s="21">
        <v>0</v>
      </c>
      <c r="AP367" s="21">
        <v>0</v>
      </c>
      <c r="AQ367" s="21">
        <v>0</v>
      </c>
      <c r="AR367" s="21">
        <v>0</v>
      </c>
      <c r="AS367" s="21">
        <v>0</v>
      </c>
      <c r="AT367" s="21">
        <v>0</v>
      </c>
      <c r="AU367" s="21">
        <v>0</v>
      </c>
      <c r="AV367" s="21">
        <v>0</v>
      </c>
      <c r="AW367" s="21">
        <v>0</v>
      </c>
      <c r="AX367" s="21">
        <v>0</v>
      </c>
      <c r="AY367" s="21">
        <v>0</v>
      </c>
      <c r="AZ367" s="21">
        <v>0</v>
      </c>
      <c r="BA367" s="21">
        <v>0</v>
      </c>
      <c r="BB367" s="21">
        <v>0</v>
      </c>
      <c r="BC367" s="21">
        <v>0</v>
      </c>
      <c r="BD367" s="21">
        <v>0</v>
      </c>
      <c r="BE367" s="21">
        <v>0</v>
      </c>
      <c r="BF367" s="21">
        <v>0</v>
      </c>
      <c r="BG367" s="21">
        <v>0</v>
      </c>
      <c r="BH367" s="21">
        <v>0</v>
      </c>
      <c r="BI367" s="21">
        <v>0</v>
      </c>
      <c r="BJ367" s="21">
        <v>0</v>
      </c>
      <c r="BK367" s="21">
        <v>0</v>
      </c>
      <c r="BL367" s="17" t="s">
        <v>130</v>
      </c>
      <c r="BM367" s="21">
        <v>0</v>
      </c>
      <c r="BN367" s="21">
        <v>0</v>
      </c>
      <c r="BO367" s="21">
        <v>0</v>
      </c>
      <c r="BP367" s="31">
        <f t="shared" si="217"/>
        <v>0</v>
      </c>
      <c r="BQ367" s="31">
        <f t="shared" si="217"/>
        <v>0</v>
      </c>
      <c r="BR367" s="58">
        <f>Table1[[#This Row],[Check 2 Students Total]]*Table1[[#This Row],[Summer 2018 Price Check]]</f>
        <v>0</v>
      </c>
      <c r="BS367" s="21">
        <v>0</v>
      </c>
      <c r="BT367" s="21">
        <v>0</v>
      </c>
      <c r="BU367" s="21">
        <v>0</v>
      </c>
      <c r="BV367" s="21">
        <v>0</v>
      </c>
      <c r="BW367" s="21">
        <v>0</v>
      </c>
      <c r="BX367" s="123">
        <f>Table1[[#This Row],[Summer 2018 Price Check]]*Table1[[#This Row],[Spring 2019 Students]]</f>
        <v>0</v>
      </c>
      <c r="BY367" s="31">
        <f t="shared" si="218"/>
        <v>0</v>
      </c>
      <c r="BZ367" s="58">
        <f t="shared" si="219"/>
        <v>0</v>
      </c>
      <c r="CA367" s="58" t="s">
        <v>130</v>
      </c>
      <c r="CB367" s="21">
        <v>20</v>
      </c>
      <c r="CC367" s="21" t="s">
        <v>1664</v>
      </c>
      <c r="CD367" s="21" t="s">
        <v>1665</v>
      </c>
      <c r="CE367" s="21" t="str">
        <f t="shared" si="220"/>
        <v>90</v>
      </c>
      <c r="CF367" s="63" t="s">
        <v>1663</v>
      </c>
      <c r="CG367" s="123">
        <f t="shared" si="221"/>
        <v>31289.4</v>
      </c>
      <c r="CH367" s="17" t="s">
        <v>498</v>
      </c>
      <c r="CI367" s="124">
        <v>0</v>
      </c>
      <c r="CJ367" s="123">
        <f>Table1[[#This Row],[Check 3 Per Student Savings]]*CI367</f>
        <v>0</v>
      </c>
      <c r="CK367" s="124">
        <v>0</v>
      </c>
      <c r="CL367" s="123">
        <f>Table1[[#This Row],[Check 3 Per Student Savings]]*CK367</f>
        <v>0</v>
      </c>
      <c r="CM367" s="124">
        <v>0</v>
      </c>
      <c r="CN367" s="123">
        <f>Table1[[#This Row],[Check 3 Per Student Savings]]*CM367</f>
        <v>0</v>
      </c>
      <c r="CO367" s="124">
        <f t="shared" si="208"/>
        <v>0</v>
      </c>
      <c r="CP367" s="123">
        <f t="shared" si="209"/>
        <v>0</v>
      </c>
      <c r="CQ367" s="123" t="s">
        <v>130</v>
      </c>
      <c r="CR367" s="124">
        <v>20</v>
      </c>
      <c r="CS367" s="124" t="s">
        <v>1664</v>
      </c>
      <c r="CT367" s="124" t="s">
        <v>1665</v>
      </c>
      <c r="CU367" s="124">
        <f t="shared" si="210"/>
        <v>130</v>
      </c>
      <c r="CV367" s="123" t="s">
        <v>1663</v>
      </c>
      <c r="CW367" s="123">
        <f t="shared" si="211"/>
        <v>45195.8</v>
      </c>
      <c r="CX367" s="17" t="s">
        <v>498</v>
      </c>
      <c r="CY367" s="124">
        <v>0</v>
      </c>
      <c r="CZ367" s="58">
        <f>Table1[[#This Row],[Check 4 Per Student Savings]]*CY367</f>
        <v>0</v>
      </c>
      <c r="DA367" s="124" t="str">
        <f>IF(Table1[[#This Row],[Check 4 Status]]="Continued", Table1[[#This Row],[Check 4 Students Fall]], 0)</f>
        <v>65</v>
      </c>
      <c r="DB367" s="123">
        <f>Table1[[#This Row],[Check 4 Per Student Savings]]*DA367</f>
        <v>22597.9</v>
      </c>
      <c r="DC367" s="21" t="str">
        <f>IF(Table1[[#This Row],[Check 4 Status]]="Continued", Table1[[#This Row],[Check 4 Students Spring]], 0)</f>
        <v>45</v>
      </c>
      <c r="DD367" s="58">
        <f>Table1[[#This Row],[Check 4 Per Student Savings]]*DC367</f>
        <v>15644.7</v>
      </c>
      <c r="DE367" s="58">
        <f t="shared" si="212"/>
        <v>110</v>
      </c>
      <c r="DF367" s="58">
        <f t="shared" si="213"/>
        <v>38242.600000000006</v>
      </c>
      <c r="DG36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110</v>
      </c>
      <c r="DH36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38242.600000000006</v>
      </c>
      <c r="DI367" s="111">
        <f>Table1[[#This Row],[Grand Total Savings]]/Table1[[#This Row],[Total Award]]</f>
        <v>3.5409814814814822</v>
      </c>
      <c r="DJ367" s="31"/>
      <c r="DL367" s="31"/>
      <c r="DM367" s="31"/>
      <c r="DN367" s="31"/>
      <c r="DO367" s="207"/>
      <c r="DP367" s="58"/>
      <c r="DQ367" s="31"/>
      <c r="DR367" s="58"/>
      <c r="DS367" s="58"/>
      <c r="EC367" s="17"/>
      <c r="ED367" s="17"/>
      <c r="EE367" s="17"/>
      <c r="EF367" s="17"/>
      <c r="EI367" s="21"/>
      <c r="EJ367" s="58"/>
      <c r="EK367" s="21"/>
      <c r="EL367" s="21"/>
    </row>
    <row r="368" spans="1:142" x14ac:dyDescent="0.25">
      <c r="A368" s="120" t="s">
        <v>1666</v>
      </c>
      <c r="B368" s="121"/>
      <c r="C368" s="121"/>
      <c r="D368" s="118">
        <v>517448</v>
      </c>
      <c r="E368" s="117"/>
      <c r="F368" s="117"/>
      <c r="G368" s="202" t="s">
        <v>1583</v>
      </c>
      <c r="H368" s="95" t="s">
        <v>5</v>
      </c>
      <c r="I368" s="17" t="s">
        <v>962</v>
      </c>
      <c r="J368" s="17" t="s">
        <v>282</v>
      </c>
      <c r="K368" s="107">
        <v>4800</v>
      </c>
      <c r="L368" s="107" t="s">
        <v>1443</v>
      </c>
      <c r="M368" s="101" t="s">
        <v>1150</v>
      </c>
      <c r="N368" s="101" t="s">
        <v>1151</v>
      </c>
      <c r="O368" s="101" t="s">
        <v>1667</v>
      </c>
      <c r="P368" s="101" t="s">
        <v>1668</v>
      </c>
      <c r="Q368" s="101" t="s">
        <v>192</v>
      </c>
      <c r="R368" s="101"/>
      <c r="S368" s="206"/>
      <c r="T368" s="206"/>
      <c r="U368" s="206"/>
      <c r="V368" s="17" t="s">
        <v>1095</v>
      </c>
      <c r="W368" s="17" t="s">
        <v>1095</v>
      </c>
      <c r="X368" s="17" t="s">
        <v>1095</v>
      </c>
      <c r="Y368" s="21">
        <v>0</v>
      </c>
      <c r="Z368" s="21">
        <v>0</v>
      </c>
      <c r="AA368" s="21">
        <v>0</v>
      </c>
      <c r="AB368" s="21">
        <v>0</v>
      </c>
      <c r="AC368" s="21">
        <v>0</v>
      </c>
      <c r="AD368" s="21">
        <v>0</v>
      </c>
      <c r="AE368" s="17" t="s">
        <v>1443</v>
      </c>
      <c r="AF368" s="58" t="s">
        <v>129</v>
      </c>
      <c r="AG368" s="58"/>
      <c r="AH368" s="58"/>
      <c r="AI368" s="111" t="s">
        <v>130</v>
      </c>
      <c r="AJ368" s="21">
        <v>0</v>
      </c>
      <c r="AK368" s="58">
        <v>0</v>
      </c>
      <c r="AL368" s="21">
        <v>0</v>
      </c>
      <c r="AM368" s="58">
        <f t="shared" si="216"/>
        <v>0</v>
      </c>
      <c r="AN368" s="21">
        <v>0</v>
      </c>
      <c r="AO368" s="21">
        <v>0</v>
      </c>
      <c r="AP368" s="21">
        <v>0</v>
      </c>
      <c r="AQ368" s="21">
        <v>0</v>
      </c>
      <c r="AR368" s="21">
        <v>0</v>
      </c>
      <c r="AS368" s="21">
        <v>0</v>
      </c>
      <c r="AT368" s="21">
        <v>0</v>
      </c>
      <c r="AU368" s="21">
        <v>0</v>
      </c>
      <c r="AV368" s="21">
        <v>0</v>
      </c>
      <c r="AW368" s="21">
        <v>0</v>
      </c>
      <c r="AX368" s="21">
        <v>0</v>
      </c>
      <c r="AY368" s="21">
        <v>0</v>
      </c>
      <c r="AZ368" s="21">
        <v>0</v>
      </c>
      <c r="BA368" s="21">
        <v>0</v>
      </c>
      <c r="BB368" s="21">
        <v>0</v>
      </c>
      <c r="BC368" s="21">
        <v>0</v>
      </c>
      <c r="BD368" s="21">
        <v>0</v>
      </c>
      <c r="BE368" s="21">
        <v>0</v>
      </c>
      <c r="BF368" s="21">
        <v>0</v>
      </c>
      <c r="BG368" s="21">
        <v>0</v>
      </c>
      <c r="BH368" s="21">
        <v>0</v>
      </c>
      <c r="BI368" s="21">
        <v>0</v>
      </c>
      <c r="BJ368" s="21">
        <v>0</v>
      </c>
      <c r="BK368" s="21">
        <v>0</v>
      </c>
      <c r="BL368" s="17" t="s">
        <v>130</v>
      </c>
      <c r="BM368" s="21">
        <v>0</v>
      </c>
      <c r="BN368" s="21">
        <v>0</v>
      </c>
      <c r="BO368" s="21">
        <v>0</v>
      </c>
      <c r="BP368" s="31">
        <f t="shared" si="217"/>
        <v>0</v>
      </c>
      <c r="BQ368" s="31">
        <f t="shared" si="217"/>
        <v>0</v>
      </c>
      <c r="BR368" s="58">
        <f>Table1[[#This Row],[Check 2 Students Total]]*Table1[[#This Row],[Summer 2018 Price Check]]</f>
        <v>0</v>
      </c>
      <c r="BS368" s="21">
        <v>0</v>
      </c>
      <c r="BT368" s="21">
        <v>0</v>
      </c>
      <c r="BU368" s="21">
        <v>0</v>
      </c>
      <c r="BV368" s="21">
        <v>0</v>
      </c>
      <c r="BW368" s="21">
        <v>0</v>
      </c>
      <c r="BX368" s="123">
        <f>Table1[[#This Row],[Summer 2018 Price Check]]*Table1[[#This Row],[Spring 2019 Students]]</f>
        <v>0</v>
      </c>
      <c r="BY368" s="31">
        <f t="shared" si="218"/>
        <v>0</v>
      </c>
      <c r="BZ368" s="58">
        <f t="shared" si="219"/>
        <v>0</v>
      </c>
      <c r="CA368" s="58" t="s">
        <v>964</v>
      </c>
      <c r="CB368" s="21">
        <v>0</v>
      </c>
      <c r="CC368" s="21">
        <v>0</v>
      </c>
      <c r="CD368" s="21">
        <v>0</v>
      </c>
      <c r="CE368" s="21">
        <v>0</v>
      </c>
      <c r="CF368" s="21">
        <v>0</v>
      </c>
      <c r="CG368" s="123">
        <f t="shared" si="221"/>
        <v>0</v>
      </c>
      <c r="CH368" s="17" t="s">
        <v>1443</v>
      </c>
      <c r="CI368" s="124">
        <f>IF(Table1[[#This Row],[Check 3 Status]]="Continued", Table1[[#This Row],[Check 3 Students Summer]], 0)</f>
        <v>0</v>
      </c>
      <c r="CJ368" s="123">
        <f>Table1[[#This Row],[Check 3 Per Student Savings]]*CI368</f>
        <v>0</v>
      </c>
      <c r="CK368" s="124">
        <f>IF(Table1[[#This Row],[Check 3 Status]]="Continued", Table1[[#This Row],[Check 3 Students Fall]], 0)</f>
        <v>0</v>
      </c>
      <c r="CL368" s="123">
        <f>Table1[[#This Row],[Check 3 Per Student Savings]]*CK368</f>
        <v>0</v>
      </c>
      <c r="CM368" s="124">
        <f>IF(Table1[[#This Row],[Check 3 Status]]="Continued", Table1[[#This Row],[Check 3 Students Spring]], 0)</f>
        <v>0</v>
      </c>
      <c r="CN368" s="123">
        <f>Table1[[#This Row],[Check 3 Per Student Savings]]*CM368</f>
        <v>0</v>
      </c>
      <c r="CO368" s="124">
        <f t="shared" si="208"/>
        <v>0</v>
      </c>
      <c r="CP368" s="123">
        <f t="shared" si="209"/>
        <v>0</v>
      </c>
      <c r="CQ368" s="123" t="s">
        <v>964</v>
      </c>
      <c r="CR368" s="124">
        <v>0</v>
      </c>
      <c r="CS368" s="124">
        <v>0</v>
      </c>
      <c r="CT368" s="124">
        <v>0</v>
      </c>
      <c r="CU368" s="124">
        <f t="shared" si="210"/>
        <v>0</v>
      </c>
      <c r="CV368" s="123">
        <v>0</v>
      </c>
      <c r="CW368" s="123">
        <f t="shared" si="211"/>
        <v>0</v>
      </c>
      <c r="CX368" s="17" t="s">
        <v>1443</v>
      </c>
      <c r="CY368" s="21">
        <f>IF(Table1[[#This Row],[Check 4 Status]]="Continued", Table1[[#This Row],[Check 4 Students Summer]], 0)</f>
        <v>0</v>
      </c>
      <c r="CZ368" s="58">
        <f>Table1[[#This Row],[Check 4 Per Student Savings]]*CY368</f>
        <v>0</v>
      </c>
      <c r="DA368" s="124">
        <f>IF(Table1[[#This Row],[Check 4 Status]]="Continued", Table1[[#This Row],[Check 4 Students Fall]], 0)</f>
        <v>0</v>
      </c>
      <c r="DB368" s="123">
        <f>Table1[[#This Row],[Check 4 Per Student Savings]]*DA368</f>
        <v>0</v>
      </c>
      <c r="DC368" s="21">
        <f>IF(Table1[[#This Row],[Check 4 Status]]="Continued", Table1[[#This Row],[Check 4 Students Spring]], 0)</f>
        <v>0</v>
      </c>
      <c r="DD368" s="58">
        <f>Table1[[#This Row],[Check 4 Per Student Savings]]*DC368</f>
        <v>0</v>
      </c>
      <c r="DE368" s="58">
        <f t="shared" si="212"/>
        <v>0</v>
      </c>
      <c r="DF368" s="58">
        <f t="shared" si="213"/>
        <v>0</v>
      </c>
      <c r="DG36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6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68" s="111">
        <f>Table1[[#This Row],[Grand Total Savings]]/Table1[[#This Row],[Total Award]]</f>
        <v>0</v>
      </c>
      <c r="DJ368" s="31"/>
      <c r="DL368" s="31"/>
      <c r="DM368" s="31"/>
      <c r="DN368" s="31"/>
      <c r="DO368" s="207"/>
      <c r="DP368" s="58"/>
      <c r="DQ368" s="31"/>
      <c r="DR368" s="58"/>
      <c r="DS368" s="58"/>
      <c r="EC368" s="17"/>
      <c r="ED368" s="17"/>
      <c r="EE368" s="17"/>
      <c r="EF368" s="17"/>
      <c r="EI368" s="21"/>
      <c r="EJ368" s="58"/>
      <c r="EK368" s="21"/>
      <c r="EL368" s="21"/>
    </row>
    <row r="369" spans="1:142" x14ac:dyDescent="0.25">
      <c r="A369" s="120" t="s">
        <v>1669</v>
      </c>
      <c r="B369" s="121"/>
      <c r="C369" s="121"/>
      <c r="D369" s="118">
        <v>517245</v>
      </c>
      <c r="E369" s="117"/>
      <c r="F369" s="117"/>
      <c r="G369" s="202" t="s">
        <v>1583</v>
      </c>
      <c r="H369" s="95" t="s">
        <v>5</v>
      </c>
      <c r="I369" s="17" t="s">
        <v>962</v>
      </c>
      <c r="J369" s="17" t="s">
        <v>132</v>
      </c>
      <c r="K369" s="107">
        <v>4800</v>
      </c>
      <c r="L369" s="107" t="s">
        <v>1443</v>
      </c>
      <c r="M369" s="101" t="s">
        <v>435</v>
      </c>
      <c r="N369" s="101" t="s">
        <v>436</v>
      </c>
      <c r="O369" s="101" t="s">
        <v>1670</v>
      </c>
      <c r="P369" s="101" t="s">
        <v>1671</v>
      </c>
      <c r="Q369" s="101" t="s">
        <v>177</v>
      </c>
      <c r="R369" s="101"/>
      <c r="S369" s="206"/>
      <c r="T369" s="206"/>
      <c r="U369" s="206"/>
      <c r="V369" s="17" t="s">
        <v>1095</v>
      </c>
      <c r="W369" s="17" t="s">
        <v>1095</v>
      </c>
      <c r="X369" s="17" t="s">
        <v>1095</v>
      </c>
      <c r="Y369" s="21">
        <v>0</v>
      </c>
      <c r="Z369" s="21">
        <v>0</v>
      </c>
      <c r="AA369" s="21">
        <v>0</v>
      </c>
      <c r="AB369" s="21">
        <v>0</v>
      </c>
      <c r="AC369" s="21">
        <v>0</v>
      </c>
      <c r="AD369" s="21">
        <v>0</v>
      </c>
      <c r="AE369" s="17" t="s">
        <v>1443</v>
      </c>
      <c r="AF369" s="58" t="s">
        <v>129</v>
      </c>
      <c r="AG369" s="58"/>
      <c r="AH369" s="58"/>
      <c r="AI369" s="111" t="s">
        <v>130</v>
      </c>
      <c r="AJ369" s="21">
        <v>0</v>
      </c>
      <c r="AK369" s="58">
        <v>0</v>
      </c>
      <c r="AL369" s="21">
        <v>0</v>
      </c>
      <c r="AM369" s="58">
        <f t="shared" si="216"/>
        <v>0</v>
      </c>
      <c r="AN369" s="21">
        <v>0</v>
      </c>
      <c r="AO369" s="21">
        <v>0</v>
      </c>
      <c r="AP369" s="21">
        <v>0</v>
      </c>
      <c r="AQ369" s="21">
        <v>0</v>
      </c>
      <c r="AR369" s="21">
        <v>0</v>
      </c>
      <c r="AS369" s="21">
        <v>0</v>
      </c>
      <c r="AT369" s="21">
        <v>0</v>
      </c>
      <c r="AU369" s="21">
        <v>0</v>
      </c>
      <c r="AV369" s="21">
        <v>0</v>
      </c>
      <c r="AW369" s="21">
        <v>0</v>
      </c>
      <c r="AX369" s="21">
        <v>0</v>
      </c>
      <c r="AY369" s="21">
        <v>0</v>
      </c>
      <c r="AZ369" s="21">
        <v>0</v>
      </c>
      <c r="BA369" s="21">
        <v>0</v>
      </c>
      <c r="BB369" s="21">
        <v>0</v>
      </c>
      <c r="BC369" s="21">
        <v>0</v>
      </c>
      <c r="BD369" s="21">
        <v>0</v>
      </c>
      <c r="BE369" s="21">
        <v>0</v>
      </c>
      <c r="BF369" s="21">
        <v>0</v>
      </c>
      <c r="BG369" s="21">
        <v>0</v>
      </c>
      <c r="BH369" s="21">
        <v>0</v>
      </c>
      <c r="BI369" s="21">
        <v>0</v>
      </c>
      <c r="BJ369" s="21">
        <v>0</v>
      </c>
      <c r="BK369" s="21">
        <v>0</v>
      </c>
      <c r="BL369" s="17" t="s">
        <v>964</v>
      </c>
      <c r="BM369" s="21">
        <v>0</v>
      </c>
      <c r="BN369" s="21">
        <v>0</v>
      </c>
      <c r="BO369" s="21">
        <v>0</v>
      </c>
      <c r="BP369" s="31">
        <f t="shared" si="217"/>
        <v>0</v>
      </c>
      <c r="BQ369" s="31">
        <f t="shared" si="217"/>
        <v>0</v>
      </c>
      <c r="BR369" s="58">
        <f>Table1[[#This Row],[Check 2 Students Total]]*Table1[[#This Row],[Summer 2018 Price Check]]</f>
        <v>0</v>
      </c>
      <c r="BS369" s="21">
        <v>0</v>
      </c>
      <c r="BT369" s="21">
        <v>0</v>
      </c>
      <c r="BU369" s="21">
        <v>0</v>
      </c>
      <c r="BV369" s="21">
        <v>0</v>
      </c>
      <c r="BW369" s="21">
        <v>0</v>
      </c>
      <c r="BX369" s="123">
        <f>Table1[[#This Row],[Summer 2018 Price Check]]*Table1[[#This Row],[Spring 2019 Students]]</f>
        <v>0</v>
      </c>
      <c r="BY369" s="31">
        <f t="shared" si="218"/>
        <v>0</v>
      </c>
      <c r="BZ369" s="58">
        <f t="shared" si="219"/>
        <v>0</v>
      </c>
      <c r="CA369" s="58" t="s">
        <v>964</v>
      </c>
      <c r="CB369" s="21">
        <v>0</v>
      </c>
      <c r="CC369" s="21">
        <v>0</v>
      </c>
      <c r="CD369" s="21">
        <v>0</v>
      </c>
      <c r="CE369" s="21">
        <v>0</v>
      </c>
      <c r="CF369" s="21">
        <v>0</v>
      </c>
      <c r="CG369" s="123">
        <f t="shared" si="221"/>
        <v>0</v>
      </c>
      <c r="CH369" s="17" t="s">
        <v>1443</v>
      </c>
      <c r="CI369" s="124">
        <f>IF(Table1[[#This Row],[Check 3 Status]]="Continued", Table1[[#This Row],[Check 3 Students Summer]], 0)</f>
        <v>0</v>
      </c>
      <c r="CJ369" s="123">
        <f>Table1[[#This Row],[Check 3 Per Student Savings]]*CI369</f>
        <v>0</v>
      </c>
      <c r="CK369" s="124">
        <f>IF(Table1[[#This Row],[Check 3 Status]]="Continued", Table1[[#This Row],[Check 3 Students Fall]], 0)</f>
        <v>0</v>
      </c>
      <c r="CL369" s="123">
        <f>Table1[[#This Row],[Check 3 Per Student Savings]]*CK369</f>
        <v>0</v>
      </c>
      <c r="CM369" s="124">
        <f>IF(Table1[[#This Row],[Check 3 Status]]="Continued", Table1[[#This Row],[Check 3 Students Spring]], 0)</f>
        <v>0</v>
      </c>
      <c r="CN369" s="123">
        <f>Table1[[#This Row],[Check 3 Per Student Savings]]*CM369</f>
        <v>0</v>
      </c>
      <c r="CO369" s="124">
        <f t="shared" si="208"/>
        <v>0</v>
      </c>
      <c r="CP369" s="123">
        <f t="shared" si="209"/>
        <v>0</v>
      </c>
      <c r="CQ369" s="123" t="s">
        <v>964</v>
      </c>
      <c r="CR369" s="124">
        <v>0</v>
      </c>
      <c r="CS369" s="124">
        <v>0</v>
      </c>
      <c r="CT369" s="124">
        <v>0</v>
      </c>
      <c r="CU369" s="124">
        <f t="shared" si="210"/>
        <v>0</v>
      </c>
      <c r="CV369" s="123">
        <v>0</v>
      </c>
      <c r="CW369" s="123">
        <f t="shared" si="211"/>
        <v>0</v>
      </c>
      <c r="CX369" s="17" t="s">
        <v>1443</v>
      </c>
      <c r="CY369" s="21">
        <f>IF(Table1[[#This Row],[Check 4 Status]]="Continued", Table1[[#This Row],[Check 4 Students Summer]], 0)</f>
        <v>0</v>
      </c>
      <c r="CZ369" s="58">
        <f>Table1[[#This Row],[Check 4 Per Student Savings]]*CY369</f>
        <v>0</v>
      </c>
      <c r="DA369" s="124">
        <f>IF(Table1[[#This Row],[Check 4 Status]]="Continued", Table1[[#This Row],[Check 4 Students Fall]], 0)</f>
        <v>0</v>
      </c>
      <c r="DB369" s="123">
        <f>Table1[[#This Row],[Check 4 Per Student Savings]]*DA369</f>
        <v>0</v>
      </c>
      <c r="DC369" s="21">
        <f>IF(Table1[[#This Row],[Check 4 Status]]="Continued", Table1[[#This Row],[Check 4 Students Spring]], 0)</f>
        <v>0</v>
      </c>
      <c r="DD369" s="58">
        <f>Table1[[#This Row],[Check 4 Per Student Savings]]*DC369</f>
        <v>0</v>
      </c>
      <c r="DE369" s="58">
        <f t="shared" si="212"/>
        <v>0</v>
      </c>
      <c r="DF369" s="58">
        <f t="shared" si="213"/>
        <v>0</v>
      </c>
      <c r="DG36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6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69" s="21">
        <v>0</v>
      </c>
      <c r="DJ369" s="31"/>
      <c r="DL369" s="31"/>
      <c r="DM369" s="31"/>
      <c r="DN369" s="31"/>
      <c r="DO369" s="207"/>
      <c r="DP369" s="58"/>
      <c r="DQ369" s="31"/>
      <c r="DR369" s="58"/>
      <c r="DS369" s="58"/>
      <c r="EC369" s="17"/>
      <c r="ED369" s="17"/>
      <c r="EE369" s="17"/>
      <c r="EF369" s="17"/>
      <c r="EI369" s="21"/>
      <c r="EJ369" s="58"/>
      <c r="EK369" s="21"/>
      <c r="EL369" s="21"/>
    </row>
    <row r="370" spans="1:142" x14ac:dyDescent="0.25">
      <c r="A370" s="120" t="s">
        <v>1672</v>
      </c>
      <c r="B370" s="121"/>
      <c r="C370" s="121"/>
      <c r="D370" s="118">
        <v>517264</v>
      </c>
      <c r="E370" s="117"/>
      <c r="F370" s="117"/>
      <c r="G370" s="202" t="s">
        <v>1583</v>
      </c>
      <c r="H370" s="95" t="s">
        <v>5</v>
      </c>
      <c r="I370" s="17" t="s">
        <v>962</v>
      </c>
      <c r="J370" s="17" t="s">
        <v>132</v>
      </c>
      <c r="K370" s="107">
        <v>4800</v>
      </c>
      <c r="L370" s="107" t="s">
        <v>1443</v>
      </c>
      <c r="M370" s="101" t="s">
        <v>1673</v>
      </c>
      <c r="N370" s="101" t="s">
        <v>1674</v>
      </c>
      <c r="O370" s="101" t="s">
        <v>1675</v>
      </c>
      <c r="P370" s="101" t="s">
        <v>1676</v>
      </c>
      <c r="Q370" s="101" t="s">
        <v>177</v>
      </c>
      <c r="R370" s="101"/>
      <c r="S370" s="206"/>
      <c r="T370" s="206"/>
      <c r="U370" s="206"/>
      <c r="V370" s="17" t="s">
        <v>1095</v>
      </c>
      <c r="W370" s="17" t="s">
        <v>1095</v>
      </c>
      <c r="X370" s="17" t="s">
        <v>1095</v>
      </c>
      <c r="Y370" s="21">
        <v>0</v>
      </c>
      <c r="Z370" s="21">
        <v>0</v>
      </c>
      <c r="AA370" s="21">
        <v>0</v>
      </c>
      <c r="AB370" s="21">
        <v>0</v>
      </c>
      <c r="AC370" s="21">
        <v>0</v>
      </c>
      <c r="AD370" s="21">
        <v>0</v>
      </c>
      <c r="AE370" s="17" t="s">
        <v>1443</v>
      </c>
      <c r="AF370" s="58" t="s">
        <v>129</v>
      </c>
      <c r="AG370" s="58"/>
      <c r="AH370" s="58"/>
      <c r="AI370" s="111" t="s">
        <v>130</v>
      </c>
      <c r="AJ370" s="21">
        <v>0</v>
      </c>
      <c r="AK370" s="58">
        <v>0</v>
      </c>
      <c r="AL370" s="21">
        <v>0</v>
      </c>
      <c r="AM370" s="58">
        <f t="shared" si="216"/>
        <v>0</v>
      </c>
      <c r="AN370" s="21">
        <v>0</v>
      </c>
      <c r="AO370" s="21">
        <v>0</v>
      </c>
      <c r="AP370" s="21">
        <v>0</v>
      </c>
      <c r="AQ370" s="21">
        <v>0</v>
      </c>
      <c r="AR370" s="21">
        <v>0</v>
      </c>
      <c r="AS370" s="21">
        <v>0</v>
      </c>
      <c r="AT370" s="21">
        <v>0</v>
      </c>
      <c r="AU370" s="21">
        <v>0</v>
      </c>
      <c r="AV370" s="21">
        <v>0</v>
      </c>
      <c r="AW370" s="21">
        <v>0</v>
      </c>
      <c r="AX370" s="21">
        <v>0</v>
      </c>
      <c r="AY370" s="21">
        <v>0</v>
      </c>
      <c r="AZ370" s="21">
        <v>0</v>
      </c>
      <c r="BA370" s="21">
        <v>0</v>
      </c>
      <c r="BB370" s="21">
        <v>0</v>
      </c>
      <c r="BC370" s="21">
        <v>0</v>
      </c>
      <c r="BD370" s="21">
        <v>0</v>
      </c>
      <c r="BE370" s="21">
        <v>0</v>
      </c>
      <c r="BF370" s="21">
        <v>0</v>
      </c>
      <c r="BG370" s="21">
        <v>0</v>
      </c>
      <c r="BH370" s="21">
        <v>0</v>
      </c>
      <c r="BI370" s="21">
        <v>0</v>
      </c>
      <c r="BJ370" s="21">
        <v>0</v>
      </c>
      <c r="BK370" s="21">
        <v>0</v>
      </c>
      <c r="BL370" s="17" t="s">
        <v>964</v>
      </c>
      <c r="BM370" s="21">
        <v>0</v>
      </c>
      <c r="BN370" s="21">
        <v>0</v>
      </c>
      <c r="BO370" s="21">
        <v>0</v>
      </c>
      <c r="BP370" s="31">
        <f t="shared" si="217"/>
        <v>0</v>
      </c>
      <c r="BQ370" s="31">
        <f t="shared" si="217"/>
        <v>0</v>
      </c>
      <c r="BR370" s="58">
        <f>Table1[[#This Row],[Check 2 Students Total]]*Table1[[#This Row],[Summer 2018 Price Check]]</f>
        <v>0</v>
      </c>
      <c r="BS370" s="21">
        <v>0</v>
      </c>
      <c r="BT370" s="21">
        <v>0</v>
      </c>
      <c r="BU370" s="21">
        <v>0</v>
      </c>
      <c r="BV370" s="21">
        <v>0</v>
      </c>
      <c r="BW370" s="21">
        <v>0</v>
      </c>
      <c r="BX370" s="123">
        <f>Table1[[#This Row],[Summer 2018 Price Check]]*Table1[[#This Row],[Spring 2019 Students]]</f>
        <v>0</v>
      </c>
      <c r="BY370" s="31">
        <f t="shared" si="218"/>
        <v>0</v>
      </c>
      <c r="BZ370" s="58">
        <f t="shared" si="219"/>
        <v>0</v>
      </c>
      <c r="CA370" s="58" t="s">
        <v>964</v>
      </c>
      <c r="CB370" s="21">
        <v>0</v>
      </c>
      <c r="CC370" s="21">
        <v>0</v>
      </c>
      <c r="CD370" s="21">
        <v>0</v>
      </c>
      <c r="CE370" s="21">
        <v>0</v>
      </c>
      <c r="CF370" s="21">
        <v>0</v>
      </c>
      <c r="CG370" s="123">
        <f t="shared" si="221"/>
        <v>0</v>
      </c>
      <c r="CH370" s="17" t="s">
        <v>1443</v>
      </c>
      <c r="CI370" s="124">
        <f>IF(Table1[[#This Row],[Check 3 Status]]="Continued", Table1[[#This Row],[Check 3 Students Summer]], 0)</f>
        <v>0</v>
      </c>
      <c r="CJ370" s="123">
        <f>Table1[[#This Row],[Check 3 Per Student Savings]]*CI370</f>
        <v>0</v>
      </c>
      <c r="CK370" s="124">
        <f>IF(Table1[[#This Row],[Check 3 Status]]="Continued", Table1[[#This Row],[Check 3 Students Fall]], 0)</f>
        <v>0</v>
      </c>
      <c r="CL370" s="123">
        <f>Table1[[#This Row],[Check 3 Per Student Savings]]*CK370</f>
        <v>0</v>
      </c>
      <c r="CM370" s="124">
        <f>IF(Table1[[#This Row],[Check 3 Status]]="Continued", Table1[[#This Row],[Check 3 Students Spring]], 0)</f>
        <v>0</v>
      </c>
      <c r="CN370" s="123">
        <f>Table1[[#This Row],[Check 3 Per Student Savings]]*CM370</f>
        <v>0</v>
      </c>
      <c r="CO370" s="124">
        <f t="shared" si="208"/>
        <v>0</v>
      </c>
      <c r="CP370" s="123">
        <f t="shared" si="209"/>
        <v>0</v>
      </c>
      <c r="CQ370" s="123" t="s">
        <v>964</v>
      </c>
      <c r="CR370" s="124">
        <v>0</v>
      </c>
      <c r="CS370" s="124">
        <v>0</v>
      </c>
      <c r="CT370" s="124">
        <v>0</v>
      </c>
      <c r="CU370" s="124">
        <f t="shared" si="210"/>
        <v>0</v>
      </c>
      <c r="CV370" s="123">
        <v>0</v>
      </c>
      <c r="CW370" s="123">
        <f t="shared" si="211"/>
        <v>0</v>
      </c>
      <c r="CX370" s="17" t="s">
        <v>1443</v>
      </c>
      <c r="CY370" s="21">
        <f>IF(Table1[[#This Row],[Check 4 Status]]="Continued", Table1[[#This Row],[Check 4 Students Summer]], 0)</f>
        <v>0</v>
      </c>
      <c r="CZ370" s="58">
        <f>Table1[[#This Row],[Check 4 Per Student Savings]]*CY370</f>
        <v>0</v>
      </c>
      <c r="DA370" s="124">
        <f>IF(Table1[[#This Row],[Check 4 Status]]="Continued", Table1[[#This Row],[Check 4 Students Fall]], 0)</f>
        <v>0</v>
      </c>
      <c r="DB370" s="123">
        <f>Table1[[#This Row],[Check 4 Per Student Savings]]*DA370</f>
        <v>0</v>
      </c>
      <c r="DC370" s="21">
        <f>IF(Table1[[#This Row],[Check 4 Status]]="Continued", Table1[[#This Row],[Check 4 Students Spring]], 0)</f>
        <v>0</v>
      </c>
      <c r="DD370" s="58">
        <f>Table1[[#This Row],[Check 4 Per Student Savings]]*DC370</f>
        <v>0</v>
      </c>
      <c r="DE370" s="58">
        <f t="shared" si="212"/>
        <v>0</v>
      </c>
      <c r="DF370" s="58">
        <f t="shared" si="213"/>
        <v>0</v>
      </c>
      <c r="DG37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7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70" s="21">
        <v>0</v>
      </c>
      <c r="DJ370" s="31"/>
      <c r="DL370" s="31"/>
      <c r="DM370" s="31"/>
      <c r="DN370" s="31"/>
      <c r="DO370" s="207"/>
      <c r="DP370" s="58"/>
      <c r="DQ370" s="31"/>
      <c r="DR370" s="58"/>
      <c r="DS370" s="58"/>
      <c r="EC370" s="17"/>
      <c r="ED370" s="17"/>
      <c r="EE370" s="17"/>
      <c r="EF370" s="17"/>
      <c r="EI370" s="21"/>
      <c r="EJ370" s="58"/>
      <c r="EK370" s="21"/>
      <c r="EL370" s="21"/>
    </row>
    <row r="371" spans="1:142" x14ac:dyDescent="0.25">
      <c r="A371" s="120" t="s">
        <v>1677</v>
      </c>
      <c r="B371" s="121"/>
      <c r="C371" s="121"/>
      <c r="D371" s="118">
        <v>517265</v>
      </c>
      <c r="E371" s="117"/>
      <c r="F371" s="117"/>
      <c r="G371" s="202" t="s">
        <v>1583</v>
      </c>
      <c r="H371" s="95" t="s">
        <v>5</v>
      </c>
      <c r="I371" s="17" t="s">
        <v>962</v>
      </c>
      <c r="J371" s="17" t="s">
        <v>132</v>
      </c>
      <c r="K371" s="107">
        <v>4800</v>
      </c>
      <c r="L371" s="107" t="s">
        <v>1443</v>
      </c>
      <c r="M371" s="101" t="s">
        <v>990</v>
      </c>
      <c r="N371" s="101" t="s">
        <v>991</v>
      </c>
      <c r="O371" s="101" t="s">
        <v>1678</v>
      </c>
      <c r="P371" s="101" t="s">
        <v>1679</v>
      </c>
      <c r="Q371" s="101" t="s">
        <v>177</v>
      </c>
      <c r="R371" s="101"/>
      <c r="S371" s="206"/>
      <c r="T371" s="206"/>
      <c r="U371" s="206"/>
      <c r="V371" s="17" t="s">
        <v>1095</v>
      </c>
      <c r="W371" s="17" t="s">
        <v>1095</v>
      </c>
      <c r="X371" s="17" t="s">
        <v>1095</v>
      </c>
      <c r="Y371" s="21">
        <v>0</v>
      </c>
      <c r="Z371" s="21">
        <v>0</v>
      </c>
      <c r="AA371" s="21">
        <v>0</v>
      </c>
      <c r="AB371" s="21">
        <v>0</v>
      </c>
      <c r="AC371" s="21">
        <v>0</v>
      </c>
      <c r="AD371" s="21">
        <v>0</v>
      </c>
      <c r="AE371" s="17" t="s">
        <v>1443</v>
      </c>
      <c r="AF371" s="58" t="s">
        <v>129</v>
      </c>
      <c r="AG371" s="58"/>
      <c r="AH371" s="58"/>
      <c r="AI371" s="111" t="s">
        <v>130</v>
      </c>
      <c r="AJ371" s="21">
        <v>0</v>
      </c>
      <c r="AK371" s="58">
        <v>0</v>
      </c>
      <c r="AL371" s="21">
        <v>0</v>
      </c>
      <c r="AM371" s="58">
        <f t="shared" si="216"/>
        <v>0</v>
      </c>
      <c r="AN371" s="21">
        <v>0</v>
      </c>
      <c r="AO371" s="21">
        <v>0</v>
      </c>
      <c r="AP371" s="21">
        <v>0</v>
      </c>
      <c r="AQ371" s="21">
        <v>0</v>
      </c>
      <c r="AR371" s="21">
        <v>0</v>
      </c>
      <c r="AS371" s="21">
        <v>0</v>
      </c>
      <c r="AT371" s="21">
        <v>0</v>
      </c>
      <c r="AU371" s="21">
        <v>0</v>
      </c>
      <c r="AV371" s="21">
        <v>0</v>
      </c>
      <c r="AW371" s="21">
        <v>0</v>
      </c>
      <c r="AX371" s="21">
        <v>0</v>
      </c>
      <c r="AY371" s="21">
        <v>0</v>
      </c>
      <c r="AZ371" s="21">
        <v>0</v>
      </c>
      <c r="BA371" s="21">
        <v>0</v>
      </c>
      <c r="BB371" s="21">
        <v>0</v>
      </c>
      <c r="BC371" s="21">
        <v>0</v>
      </c>
      <c r="BD371" s="21">
        <v>0</v>
      </c>
      <c r="BE371" s="21">
        <v>0</v>
      </c>
      <c r="BF371" s="21">
        <v>0</v>
      </c>
      <c r="BG371" s="21">
        <v>0</v>
      </c>
      <c r="BH371" s="21">
        <v>0</v>
      </c>
      <c r="BI371" s="21">
        <v>0</v>
      </c>
      <c r="BJ371" s="21">
        <v>0</v>
      </c>
      <c r="BK371" s="21">
        <v>0</v>
      </c>
      <c r="BL371" s="17" t="s">
        <v>964</v>
      </c>
      <c r="BM371" s="21">
        <v>0</v>
      </c>
      <c r="BN371" s="21">
        <v>0</v>
      </c>
      <c r="BO371" s="21">
        <v>0</v>
      </c>
      <c r="BP371" s="31">
        <f t="shared" si="217"/>
        <v>0</v>
      </c>
      <c r="BQ371" s="31">
        <f t="shared" si="217"/>
        <v>0</v>
      </c>
      <c r="BR371" s="58">
        <f>Table1[[#This Row],[Check 2 Students Total]]*Table1[[#This Row],[Summer 2018 Price Check]]</f>
        <v>0</v>
      </c>
      <c r="BS371" s="21">
        <v>0</v>
      </c>
      <c r="BT371" s="21">
        <v>0</v>
      </c>
      <c r="BU371" s="21">
        <v>0</v>
      </c>
      <c r="BV371" s="21">
        <v>0</v>
      </c>
      <c r="BW371" s="21">
        <v>0</v>
      </c>
      <c r="BX371" s="123">
        <f>Table1[[#This Row],[Summer 2018 Price Check]]*Table1[[#This Row],[Spring 2019 Students]]</f>
        <v>0</v>
      </c>
      <c r="BY371" s="31">
        <f t="shared" si="218"/>
        <v>0</v>
      </c>
      <c r="BZ371" s="58">
        <f t="shared" si="219"/>
        <v>0</v>
      </c>
      <c r="CA371" s="58" t="s">
        <v>964</v>
      </c>
      <c r="CB371" s="21">
        <v>0</v>
      </c>
      <c r="CC371" s="21">
        <v>0</v>
      </c>
      <c r="CD371" s="21">
        <v>0</v>
      </c>
      <c r="CE371" s="21">
        <v>0</v>
      </c>
      <c r="CF371" s="21">
        <v>0</v>
      </c>
      <c r="CG371" s="123">
        <f t="shared" si="221"/>
        <v>0</v>
      </c>
      <c r="CH371" s="17" t="s">
        <v>1443</v>
      </c>
      <c r="CI371" s="124">
        <f>IF(Table1[[#This Row],[Check 3 Status]]="Continued", Table1[[#This Row],[Check 3 Students Summer]], 0)</f>
        <v>0</v>
      </c>
      <c r="CJ371" s="123">
        <f>Table1[[#This Row],[Check 3 Per Student Savings]]*CI371</f>
        <v>0</v>
      </c>
      <c r="CK371" s="124">
        <f>IF(Table1[[#This Row],[Check 3 Status]]="Continued", Table1[[#This Row],[Check 3 Students Fall]], 0)</f>
        <v>0</v>
      </c>
      <c r="CL371" s="123">
        <f>Table1[[#This Row],[Check 3 Per Student Savings]]*CK371</f>
        <v>0</v>
      </c>
      <c r="CM371" s="124">
        <f>IF(Table1[[#This Row],[Check 3 Status]]="Continued", Table1[[#This Row],[Check 3 Students Spring]], 0)</f>
        <v>0</v>
      </c>
      <c r="CN371" s="123">
        <f>Table1[[#This Row],[Check 3 Per Student Savings]]*CM371</f>
        <v>0</v>
      </c>
      <c r="CO371" s="124">
        <f t="shared" si="208"/>
        <v>0</v>
      </c>
      <c r="CP371" s="123">
        <f t="shared" si="209"/>
        <v>0</v>
      </c>
      <c r="CQ371" s="123" t="s">
        <v>964</v>
      </c>
      <c r="CR371" s="124">
        <v>0</v>
      </c>
      <c r="CS371" s="124">
        <v>0</v>
      </c>
      <c r="CT371" s="124">
        <v>0</v>
      </c>
      <c r="CU371" s="124">
        <f t="shared" si="210"/>
        <v>0</v>
      </c>
      <c r="CV371" s="123">
        <v>0</v>
      </c>
      <c r="CW371" s="123">
        <f t="shared" si="211"/>
        <v>0</v>
      </c>
      <c r="CX371" s="17" t="s">
        <v>1443</v>
      </c>
      <c r="CY371" s="21">
        <f>IF(Table1[[#This Row],[Check 4 Status]]="Continued", Table1[[#This Row],[Check 4 Students Summer]], 0)</f>
        <v>0</v>
      </c>
      <c r="CZ371" s="58">
        <f>Table1[[#This Row],[Check 4 Per Student Savings]]*CY371</f>
        <v>0</v>
      </c>
      <c r="DA371" s="124">
        <f>IF(Table1[[#This Row],[Check 4 Status]]="Continued", Table1[[#This Row],[Check 4 Students Fall]], 0)</f>
        <v>0</v>
      </c>
      <c r="DB371" s="123">
        <f>Table1[[#This Row],[Check 4 Per Student Savings]]*DA371</f>
        <v>0</v>
      </c>
      <c r="DC371" s="21">
        <f>IF(Table1[[#This Row],[Check 4 Status]]="Continued", Table1[[#This Row],[Check 4 Students Spring]], 0)</f>
        <v>0</v>
      </c>
      <c r="DD371" s="58">
        <f>Table1[[#This Row],[Check 4 Per Student Savings]]*DC371</f>
        <v>0</v>
      </c>
      <c r="DE371" s="58">
        <f t="shared" si="212"/>
        <v>0</v>
      </c>
      <c r="DF371" s="58">
        <f t="shared" si="213"/>
        <v>0</v>
      </c>
      <c r="DG37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7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71" s="21">
        <v>0</v>
      </c>
      <c r="DJ371" s="31"/>
      <c r="DL371" s="31"/>
      <c r="DM371" s="31"/>
      <c r="DN371" s="31"/>
      <c r="DO371" s="207"/>
      <c r="DP371" s="58"/>
      <c r="DQ371" s="31"/>
      <c r="DR371" s="58"/>
      <c r="DS371" s="58"/>
      <c r="EC371" s="17"/>
      <c r="ED371" s="17"/>
      <c r="EE371" s="17"/>
      <c r="EF371" s="17"/>
      <c r="EI371" s="21"/>
      <c r="EJ371" s="58"/>
      <c r="EK371" s="21"/>
      <c r="EL371" s="21"/>
    </row>
    <row r="372" spans="1:142" x14ac:dyDescent="0.25">
      <c r="A372" s="120" t="s">
        <v>1680</v>
      </c>
      <c r="B372" s="121"/>
      <c r="C372" s="121"/>
      <c r="D372" s="118">
        <v>517241</v>
      </c>
      <c r="E372" s="117"/>
      <c r="F372" s="117"/>
      <c r="G372" s="202" t="s">
        <v>1583</v>
      </c>
      <c r="H372" s="95" t="s">
        <v>5</v>
      </c>
      <c r="I372" s="17" t="s">
        <v>962</v>
      </c>
      <c r="J372" s="17" t="s">
        <v>419</v>
      </c>
      <c r="K372" s="107">
        <v>4800</v>
      </c>
      <c r="L372" s="107" t="s">
        <v>1443</v>
      </c>
      <c r="M372" s="101" t="s">
        <v>1218</v>
      </c>
      <c r="N372" s="101" t="s">
        <v>915</v>
      </c>
      <c r="O372" s="101" t="s">
        <v>146</v>
      </c>
      <c r="P372" s="101" t="s">
        <v>1681</v>
      </c>
      <c r="Q372" s="101" t="s">
        <v>148</v>
      </c>
      <c r="R372" s="101"/>
      <c r="S372" s="206"/>
      <c r="T372" s="206"/>
      <c r="U372" s="206"/>
      <c r="V372" s="17" t="s">
        <v>1095</v>
      </c>
      <c r="W372" s="17" t="s">
        <v>1095</v>
      </c>
      <c r="X372" s="17" t="s">
        <v>1095</v>
      </c>
      <c r="Y372" s="21">
        <v>0</v>
      </c>
      <c r="Z372" s="21">
        <v>0</v>
      </c>
      <c r="AA372" s="21">
        <v>0</v>
      </c>
      <c r="AB372" s="21">
        <v>0</v>
      </c>
      <c r="AC372" s="21">
        <v>0</v>
      </c>
      <c r="AD372" s="21">
        <v>0</v>
      </c>
      <c r="AE372" s="17" t="s">
        <v>1443</v>
      </c>
      <c r="AF372" s="58" t="s">
        <v>129</v>
      </c>
      <c r="AG372" s="58"/>
      <c r="AH372" s="58"/>
      <c r="AI372" s="111" t="s">
        <v>130</v>
      </c>
      <c r="AJ372" s="21">
        <v>0</v>
      </c>
      <c r="AK372" s="58">
        <v>0</v>
      </c>
      <c r="AL372" s="21">
        <v>0</v>
      </c>
      <c r="AM372" s="58">
        <f t="shared" si="216"/>
        <v>0</v>
      </c>
      <c r="AN372" s="21">
        <v>0</v>
      </c>
      <c r="AO372" s="21">
        <v>0</v>
      </c>
      <c r="AP372" s="21">
        <v>0</v>
      </c>
      <c r="AQ372" s="21">
        <v>0</v>
      </c>
      <c r="AR372" s="21">
        <v>0</v>
      </c>
      <c r="AS372" s="21">
        <v>0</v>
      </c>
      <c r="AT372" s="21">
        <v>0</v>
      </c>
      <c r="AU372" s="21">
        <v>0</v>
      </c>
      <c r="AV372" s="21">
        <v>0</v>
      </c>
      <c r="AW372" s="21">
        <v>0</v>
      </c>
      <c r="AX372" s="21">
        <v>0</v>
      </c>
      <c r="AY372" s="21">
        <v>0</v>
      </c>
      <c r="AZ372" s="21">
        <v>0</v>
      </c>
      <c r="BA372" s="21">
        <v>0</v>
      </c>
      <c r="BB372" s="21">
        <v>0</v>
      </c>
      <c r="BC372" s="21">
        <v>0</v>
      </c>
      <c r="BD372" s="21">
        <v>0</v>
      </c>
      <c r="BE372" s="21">
        <v>0</v>
      </c>
      <c r="BF372" s="21">
        <v>0</v>
      </c>
      <c r="BG372" s="21">
        <v>0</v>
      </c>
      <c r="BH372" s="21">
        <v>0</v>
      </c>
      <c r="BI372" s="21">
        <v>0</v>
      </c>
      <c r="BJ372" s="21">
        <v>0</v>
      </c>
      <c r="BK372" s="21">
        <v>0</v>
      </c>
      <c r="BL372" s="17" t="s">
        <v>964</v>
      </c>
      <c r="BM372" s="21">
        <v>0</v>
      </c>
      <c r="BN372" s="21">
        <v>0</v>
      </c>
      <c r="BO372" s="21">
        <v>0</v>
      </c>
      <c r="BP372" s="31">
        <f t="shared" si="217"/>
        <v>0</v>
      </c>
      <c r="BQ372" s="31">
        <f t="shared" si="217"/>
        <v>0</v>
      </c>
      <c r="BR372" s="58">
        <f>Table1[[#This Row],[Check 2 Students Total]]*Table1[[#This Row],[Summer 2018 Price Check]]</f>
        <v>0</v>
      </c>
      <c r="BS372" s="21">
        <v>0</v>
      </c>
      <c r="BT372" s="21">
        <v>0</v>
      </c>
      <c r="BU372" s="21">
        <v>0</v>
      </c>
      <c r="BV372" s="21">
        <v>0</v>
      </c>
      <c r="BW372" s="21">
        <v>0</v>
      </c>
      <c r="BX372" s="123">
        <f>Table1[[#This Row],[Summer 2018 Price Check]]*Table1[[#This Row],[Spring 2019 Students]]</f>
        <v>0</v>
      </c>
      <c r="BY372" s="31">
        <f t="shared" si="218"/>
        <v>0</v>
      </c>
      <c r="BZ372" s="58">
        <f t="shared" si="219"/>
        <v>0</v>
      </c>
      <c r="CA372" s="58" t="s">
        <v>964</v>
      </c>
      <c r="CB372" s="21">
        <v>0</v>
      </c>
      <c r="CC372" s="21">
        <v>0</v>
      </c>
      <c r="CD372" s="21">
        <v>0</v>
      </c>
      <c r="CE372" s="21">
        <v>0</v>
      </c>
      <c r="CF372" s="21">
        <v>0</v>
      </c>
      <c r="CG372" s="123">
        <f t="shared" si="221"/>
        <v>0</v>
      </c>
      <c r="CH372" s="17" t="s">
        <v>1443</v>
      </c>
      <c r="CI372" s="124">
        <f>IF(Table1[[#This Row],[Check 3 Status]]="Continued", Table1[[#This Row],[Check 3 Students Summer]], 0)</f>
        <v>0</v>
      </c>
      <c r="CJ372" s="123">
        <f>Table1[[#This Row],[Check 3 Per Student Savings]]*CI372</f>
        <v>0</v>
      </c>
      <c r="CK372" s="124">
        <f>IF(Table1[[#This Row],[Check 3 Status]]="Continued", Table1[[#This Row],[Check 3 Students Fall]], 0)</f>
        <v>0</v>
      </c>
      <c r="CL372" s="123">
        <f>Table1[[#This Row],[Check 3 Per Student Savings]]*CK372</f>
        <v>0</v>
      </c>
      <c r="CM372" s="124">
        <f>IF(Table1[[#This Row],[Check 3 Status]]="Continued", Table1[[#This Row],[Check 3 Students Spring]], 0)</f>
        <v>0</v>
      </c>
      <c r="CN372" s="123">
        <f>Table1[[#This Row],[Check 3 Per Student Savings]]*CM372</f>
        <v>0</v>
      </c>
      <c r="CO372" s="124">
        <f t="shared" si="208"/>
        <v>0</v>
      </c>
      <c r="CP372" s="123">
        <f t="shared" si="209"/>
        <v>0</v>
      </c>
      <c r="CQ372" s="123" t="s">
        <v>964</v>
      </c>
      <c r="CR372" s="124">
        <v>0</v>
      </c>
      <c r="CS372" s="124">
        <v>0</v>
      </c>
      <c r="CT372" s="124">
        <v>0</v>
      </c>
      <c r="CU372" s="124">
        <f t="shared" si="210"/>
        <v>0</v>
      </c>
      <c r="CV372" s="123">
        <v>0</v>
      </c>
      <c r="CW372" s="123">
        <f t="shared" si="211"/>
        <v>0</v>
      </c>
      <c r="CX372" s="17" t="s">
        <v>1443</v>
      </c>
      <c r="CY372" s="21">
        <f>IF(Table1[[#This Row],[Check 4 Status]]="Continued", Table1[[#This Row],[Check 4 Students Summer]], 0)</f>
        <v>0</v>
      </c>
      <c r="CZ372" s="58">
        <f>Table1[[#This Row],[Check 4 Per Student Savings]]*CY372</f>
        <v>0</v>
      </c>
      <c r="DA372" s="124">
        <f>IF(Table1[[#This Row],[Check 4 Status]]="Continued", Table1[[#This Row],[Check 4 Students Fall]], 0)</f>
        <v>0</v>
      </c>
      <c r="DB372" s="123">
        <f>Table1[[#This Row],[Check 4 Per Student Savings]]*DA372</f>
        <v>0</v>
      </c>
      <c r="DC372" s="21">
        <f>IF(Table1[[#This Row],[Check 4 Status]]="Continued", Table1[[#This Row],[Check 4 Students Spring]], 0)</f>
        <v>0</v>
      </c>
      <c r="DD372" s="58">
        <f>Table1[[#This Row],[Check 4 Per Student Savings]]*DC372</f>
        <v>0</v>
      </c>
      <c r="DE372" s="58">
        <f t="shared" si="212"/>
        <v>0</v>
      </c>
      <c r="DF372" s="58">
        <f t="shared" si="213"/>
        <v>0</v>
      </c>
      <c r="DG37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7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72" s="21">
        <v>0</v>
      </c>
      <c r="DJ372" s="31"/>
      <c r="DL372" s="31"/>
      <c r="DM372" s="31"/>
      <c r="DN372" s="31"/>
      <c r="DO372" s="207"/>
      <c r="DP372" s="58"/>
      <c r="DQ372" s="31"/>
      <c r="DR372" s="58"/>
      <c r="DS372" s="58"/>
      <c r="EC372" s="17"/>
      <c r="ED372" s="17"/>
      <c r="EE372" s="17"/>
      <c r="EF372" s="17"/>
      <c r="EI372" s="21"/>
      <c r="EJ372" s="58"/>
      <c r="EK372" s="21"/>
      <c r="EL372" s="21"/>
    </row>
    <row r="373" spans="1:142" x14ac:dyDescent="0.25">
      <c r="A373" s="120" t="s">
        <v>1682</v>
      </c>
      <c r="B373" s="121"/>
      <c r="C373" s="121"/>
      <c r="D373" s="118">
        <v>517203</v>
      </c>
      <c r="E373" s="117"/>
      <c r="F373" s="117"/>
      <c r="G373" s="202" t="s">
        <v>1583</v>
      </c>
      <c r="H373" s="95" t="s">
        <v>5</v>
      </c>
      <c r="I373" s="17" t="s">
        <v>962</v>
      </c>
      <c r="J373" s="17" t="s">
        <v>499</v>
      </c>
      <c r="K373" s="107">
        <v>2800</v>
      </c>
      <c r="L373" s="107" t="s">
        <v>1443</v>
      </c>
      <c r="M373" s="101" t="s">
        <v>1683</v>
      </c>
      <c r="N373" s="101" t="s">
        <v>1684</v>
      </c>
      <c r="O373" s="101" t="s">
        <v>502</v>
      </c>
      <c r="P373" s="101" t="s">
        <v>503</v>
      </c>
      <c r="Q373" s="101" t="s">
        <v>177</v>
      </c>
      <c r="R373" s="101"/>
      <c r="S373" s="206"/>
      <c r="T373" s="206"/>
      <c r="U373" s="206"/>
      <c r="V373" s="17" t="s">
        <v>1095</v>
      </c>
      <c r="W373" s="17" t="s">
        <v>1095</v>
      </c>
      <c r="X373" s="17" t="s">
        <v>1095</v>
      </c>
      <c r="Y373" s="21">
        <v>0</v>
      </c>
      <c r="Z373" s="21">
        <v>0</v>
      </c>
      <c r="AA373" s="21">
        <v>0</v>
      </c>
      <c r="AB373" s="21">
        <v>0</v>
      </c>
      <c r="AC373" s="21">
        <v>0</v>
      </c>
      <c r="AD373" s="21">
        <v>0</v>
      </c>
      <c r="AE373" s="17" t="s">
        <v>1443</v>
      </c>
      <c r="AF373" s="58" t="s">
        <v>129</v>
      </c>
      <c r="AG373" s="58"/>
      <c r="AH373" s="58"/>
      <c r="AI373" s="111" t="s">
        <v>130</v>
      </c>
      <c r="AJ373" s="21">
        <v>0</v>
      </c>
      <c r="AK373" s="58">
        <v>0</v>
      </c>
      <c r="AL373" s="21">
        <v>0</v>
      </c>
      <c r="AM373" s="58">
        <f t="shared" si="216"/>
        <v>0</v>
      </c>
      <c r="AN373" s="21">
        <v>0</v>
      </c>
      <c r="AO373" s="21">
        <v>0</v>
      </c>
      <c r="AP373" s="21">
        <v>0</v>
      </c>
      <c r="AQ373" s="21">
        <v>0</v>
      </c>
      <c r="AR373" s="21">
        <v>0</v>
      </c>
      <c r="AS373" s="21">
        <v>0</v>
      </c>
      <c r="AT373" s="21">
        <v>0</v>
      </c>
      <c r="AU373" s="21">
        <v>0</v>
      </c>
      <c r="AV373" s="21">
        <v>0</v>
      </c>
      <c r="AW373" s="21">
        <v>0</v>
      </c>
      <c r="AX373" s="21">
        <v>0</v>
      </c>
      <c r="AY373" s="21">
        <v>0</v>
      </c>
      <c r="AZ373" s="21">
        <v>0</v>
      </c>
      <c r="BA373" s="21">
        <v>0</v>
      </c>
      <c r="BB373" s="21">
        <v>0</v>
      </c>
      <c r="BC373" s="21">
        <v>0</v>
      </c>
      <c r="BD373" s="21">
        <v>0</v>
      </c>
      <c r="BE373" s="21">
        <v>0</v>
      </c>
      <c r="BF373" s="21">
        <v>0</v>
      </c>
      <c r="BG373" s="21">
        <v>0</v>
      </c>
      <c r="BH373" s="21">
        <v>0</v>
      </c>
      <c r="BI373" s="21">
        <v>0</v>
      </c>
      <c r="BJ373" s="21">
        <v>0</v>
      </c>
      <c r="BK373" s="21">
        <v>0</v>
      </c>
      <c r="BL373" s="17" t="s">
        <v>964</v>
      </c>
      <c r="BM373" s="21">
        <v>0</v>
      </c>
      <c r="BN373" s="21">
        <v>0</v>
      </c>
      <c r="BO373" s="21">
        <v>0</v>
      </c>
      <c r="BP373" s="31">
        <f t="shared" si="217"/>
        <v>0</v>
      </c>
      <c r="BQ373" s="31">
        <f t="shared" si="217"/>
        <v>0</v>
      </c>
      <c r="BR373" s="58">
        <f>Table1[[#This Row],[Check 2 Students Total]]*Table1[[#This Row],[Summer 2018 Price Check]]</f>
        <v>0</v>
      </c>
      <c r="BS373" s="21">
        <v>0</v>
      </c>
      <c r="BT373" s="21">
        <v>0</v>
      </c>
      <c r="BU373" s="21">
        <v>0</v>
      </c>
      <c r="BV373" s="21">
        <v>0</v>
      </c>
      <c r="BW373" s="21">
        <v>0</v>
      </c>
      <c r="BX373" s="123">
        <f>Table1[[#This Row],[Summer 2018 Price Check]]*Table1[[#This Row],[Spring 2019 Students]]</f>
        <v>0</v>
      </c>
      <c r="BY373" s="31">
        <f t="shared" si="218"/>
        <v>0</v>
      </c>
      <c r="BZ373" s="58">
        <f t="shared" si="219"/>
        <v>0</v>
      </c>
      <c r="CA373" s="58" t="s">
        <v>964</v>
      </c>
      <c r="CB373" s="21">
        <v>0</v>
      </c>
      <c r="CC373" s="21">
        <v>0</v>
      </c>
      <c r="CD373" s="21">
        <v>0</v>
      </c>
      <c r="CE373" s="21">
        <v>0</v>
      </c>
      <c r="CF373" s="21">
        <v>0</v>
      </c>
      <c r="CG373" s="123">
        <f t="shared" si="221"/>
        <v>0</v>
      </c>
      <c r="CH373" s="17" t="s">
        <v>1443</v>
      </c>
      <c r="CI373" s="124">
        <f>IF(Table1[[#This Row],[Check 3 Status]]="Continued", Table1[[#This Row],[Check 3 Students Summer]], 0)</f>
        <v>0</v>
      </c>
      <c r="CJ373" s="123">
        <f>Table1[[#This Row],[Check 3 Per Student Savings]]*CI373</f>
        <v>0</v>
      </c>
      <c r="CK373" s="124">
        <f>IF(Table1[[#This Row],[Check 3 Status]]="Continued", Table1[[#This Row],[Check 3 Students Fall]], 0)</f>
        <v>0</v>
      </c>
      <c r="CL373" s="123">
        <f>Table1[[#This Row],[Check 3 Per Student Savings]]*CK373</f>
        <v>0</v>
      </c>
      <c r="CM373" s="124">
        <f>IF(Table1[[#This Row],[Check 3 Status]]="Continued", Table1[[#This Row],[Check 3 Students Spring]], 0)</f>
        <v>0</v>
      </c>
      <c r="CN373" s="123">
        <f>Table1[[#This Row],[Check 3 Per Student Savings]]*CM373</f>
        <v>0</v>
      </c>
      <c r="CO373" s="124">
        <f t="shared" si="208"/>
        <v>0</v>
      </c>
      <c r="CP373" s="123">
        <f t="shared" si="209"/>
        <v>0</v>
      </c>
      <c r="CQ373" s="123" t="s">
        <v>964</v>
      </c>
      <c r="CR373" s="124">
        <v>0</v>
      </c>
      <c r="CS373" s="124">
        <v>0</v>
      </c>
      <c r="CT373" s="124">
        <v>0</v>
      </c>
      <c r="CU373" s="124">
        <f t="shared" si="210"/>
        <v>0</v>
      </c>
      <c r="CV373" s="123">
        <v>0</v>
      </c>
      <c r="CW373" s="123">
        <f t="shared" si="211"/>
        <v>0</v>
      </c>
      <c r="CX373" s="17" t="s">
        <v>1443</v>
      </c>
      <c r="CY373" s="21">
        <f>IF(Table1[[#This Row],[Check 4 Status]]="Continued", Table1[[#This Row],[Check 4 Students Summer]], 0)</f>
        <v>0</v>
      </c>
      <c r="CZ373" s="58">
        <f>Table1[[#This Row],[Check 4 Per Student Savings]]*CY373</f>
        <v>0</v>
      </c>
      <c r="DA373" s="124">
        <f>IF(Table1[[#This Row],[Check 4 Status]]="Continued", Table1[[#This Row],[Check 4 Students Fall]], 0)</f>
        <v>0</v>
      </c>
      <c r="DB373" s="123">
        <f>Table1[[#This Row],[Check 4 Per Student Savings]]*DA373</f>
        <v>0</v>
      </c>
      <c r="DC373" s="21">
        <f>IF(Table1[[#This Row],[Check 4 Status]]="Continued", Table1[[#This Row],[Check 4 Students Spring]], 0)</f>
        <v>0</v>
      </c>
      <c r="DD373" s="58">
        <f>Table1[[#This Row],[Check 4 Per Student Savings]]*DC373</f>
        <v>0</v>
      </c>
      <c r="DE373" s="58">
        <f t="shared" si="212"/>
        <v>0</v>
      </c>
      <c r="DF373" s="58">
        <f t="shared" si="213"/>
        <v>0</v>
      </c>
      <c r="DG37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7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73" s="21">
        <v>0</v>
      </c>
      <c r="DJ373" s="31"/>
      <c r="DL373" s="31"/>
      <c r="DM373" s="31"/>
      <c r="DN373" s="31"/>
      <c r="DO373" s="207"/>
      <c r="DP373" s="58"/>
      <c r="DQ373" s="31"/>
      <c r="DR373" s="58"/>
      <c r="DS373" s="58"/>
      <c r="EC373" s="17"/>
      <c r="ED373" s="17"/>
      <c r="EE373" s="17"/>
      <c r="EF373" s="17"/>
      <c r="EI373" s="21"/>
      <c r="EJ373" s="58"/>
      <c r="EK373" s="21"/>
      <c r="EL373" s="21"/>
    </row>
    <row r="374" spans="1:142" x14ac:dyDescent="0.25">
      <c r="A374" s="120" t="s">
        <v>1685</v>
      </c>
      <c r="B374" s="121"/>
      <c r="C374" s="121"/>
      <c r="D374" s="118">
        <v>517299</v>
      </c>
      <c r="E374" s="117"/>
      <c r="F374" s="117"/>
      <c r="G374" s="202" t="s">
        <v>1583</v>
      </c>
      <c r="H374" s="95" t="s">
        <v>5</v>
      </c>
      <c r="I374" s="17" t="s">
        <v>962</v>
      </c>
      <c r="J374" s="17" t="s">
        <v>276</v>
      </c>
      <c r="K374" s="107">
        <v>4000</v>
      </c>
      <c r="L374" s="107" t="s">
        <v>1443</v>
      </c>
      <c r="M374" s="101" t="s">
        <v>1186</v>
      </c>
      <c r="N374" s="101" t="s">
        <v>1187</v>
      </c>
      <c r="O374" s="101" t="s">
        <v>1686</v>
      </c>
      <c r="P374" s="101" t="s">
        <v>845</v>
      </c>
      <c r="Q374" s="101" t="s">
        <v>192</v>
      </c>
      <c r="R374" s="101"/>
      <c r="S374" s="206"/>
      <c r="T374" s="206"/>
      <c r="U374" s="206"/>
      <c r="V374" s="17" t="s">
        <v>1095</v>
      </c>
      <c r="W374" s="17" t="s">
        <v>1095</v>
      </c>
      <c r="X374" s="17" t="s">
        <v>1095</v>
      </c>
      <c r="Y374" s="21">
        <v>0</v>
      </c>
      <c r="Z374" s="21">
        <v>0</v>
      </c>
      <c r="AA374" s="21">
        <v>0</v>
      </c>
      <c r="AB374" s="21">
        <v>0</v>
      </c>
      <c r="AC374" s="21">
        <v>0</v>
      </c>
      <c r="AD374" s="21">
        <v>0</v>
      </c>
      <c r="AE374" s="17" t="s">
        <v>1443</v>
      </c>
      <c r="AF374" s="58" t="s">
        <v>129</v>
      </c>
      <c r="AG374" s="58"/>
      <c r="AH374" s="58"/>
      <c r="AI374" s="111" t="s">
        <v>130</v>
      </c>
      <c r="AJ374" s="21">
        <v>0</v>
      </c>
      <c r="AK374" s="58">
        <v>0</v>
      </c>
      <c r="AL374" s="21">
        <v>0</v>
      </c>
      <c r="AM374" s="58">
        <f t="shared" si="216"/>
        <v>0</v>
      </c>
      <c r="AN374" s="21">
        <v>0</v>
      </c>
      <c r="AO374" s="21">
        <v>0</v>
      </c>
      <c r="AP374" s="21">
        <v>0</v>
      </c>
      <c r="AQ374" s="21">
        <v>0</v>
      </c>
      <c r="AR374" s="21">
        <v>0</v>
      </c>
      <c r="AS374" s="21">
        <v>0</v>
      </c>
      <c r="AT374" s="21">
        <v>0</v>
      </c>
      <c r="AU374" s="21">
        <v>0</v>
      </c>
      <c r="AV374" s="21">
        <v>0</v>
      </c>
      <c r="AW374" s="21">
        <v>0</v>
      </c>
      <c r="AX374" s="21">
        <v>0</v>
      </c>
      <c r="AY374" s="21">
        <v>0</v>
      </c>
      <c r="AZ374" s="21">
        <v>0</v>
      </c>
      <c r="BA374" s="21">
        <v>0</v>
      </c>
      <c r="BB374" s="21">
        <v>0</v>
      </c>
      <c r="BC374" s="21">
        <v>0</v>
      </c>
      <c r="BD374" s="21">
        <v>0</v>
      </c>
      <c r="BE374" s="21">
        <v>0</v>
      </c>
      <c r="BF374" s="21">
        <v>0</v>
      </c>
      <c r="BG374" s="21">
        <v>0</v>
      </c>
      <c r="BH374" s="21">
        <v>0</v>
      </c>
      <c r="BI374" s="21">
        <v>0</v>
      </c>
      <c r="BJ374" s="21">
        <v>0</v>
      </c>
      <c r="BK374" s="21">
        <v>0</v>
      </c>
      <c r="BL374" s="17" t="s">
        <v>964</v>
      </c>
      <c r="BM374" s="21">
        <v>0</v>
      </c>
      <c r="BN374" s="21">
        <v>0</v>
      </c>
      <c r="BO374" s="21">
        <v>0</v>
      </c>
      <c r="BP374" s="31">
        <f t="shared" si="217"/>
        <v>0</v>
      </c>
      <c r="BQ374" s="31">
        <f t="shared" si="217"/>
        <v>0</v>
      </c>
      <c r="BR374" s="58">
        <f>Table1[[#This Row],[Check 2 Students Total]]*Table1[[#This Row],[Summer 2018 Price Check]]</f>
        <v>0</v>
      </c>
      <c r="BS374" s="21">
        <v>0</v>
      </c>
      <c r="BT374" s="21">
        <v>0</v>
      </c>
      <c r="BU374" s="21">
        <v>0</v>
      </c>
      <c r="BV374" s="21">
        <v>0</v>
      </c>
      <c r="BW374" s="21">
        <v>0</v>
      </c>
      <c r="BX374" s="123">
        <f>Table1[[#This Row],[Summer 2018 Price Check]]*Table1[[#This Row],[Spring 2019 Students]]</f>
        <v>0</v>
      </c>
      <c r="BY374" s="31">
        <f t="shared" si="218"/>
        <v>0</v>
      </c>
      <c r="BZ374" s="58">
        <f t="shared" si="219"/>
        <v>0</v>
      </c>
      <c r="CA374" s="58" t="s">
        <v>964</v>
      </c>
      <c r="CB374" s="21">
        <v>0</v>
      </c>
      <c r="CC374" s="21">
        <v>0</v>
      </c>
      <c r="CD374" s="21">
        <v>0</v>
      </c>
      <c r="CE374" s="21">
        <v>0</v>
      </c>
      <c r="CF374" s="21">
        <v>0</v>
      </c>
      <c r="CG374" s="123">
        <f t="shared" si="221"/>
        <v>0</v>
      </c>
      <c r="CH374" s="17" t="s">
        <v>1443</v>
      </c>
      <c r="CI374" s="124">
        <f>IF(Table1[[#This Row],[Check 3 Status]]="Continued", Table1[[#This Row],[Check 3 Students Summer]], 0)</f>
        <v>0</v>
      </c>
      <c r="CJ374" s="123">
        <f>Table1[[#This Row],[Check 3 Per Student Savings]]*CI374</f>
        <v>0</v>
      </c>
      <c r="CK374" s="124">
        <f>IF(Table1[[#This Row],[Check 3 Status]]="Continued", Table1[[#This Row],[Check 3 Students Fall]], 0)</f>
        <v>0</v>
      </c>
      <c r="CL374" s="123">
        <f>Table1[[#This Row],[Check 3 Per Student Savings]]*CK374</f>
        <v>0</v>
      </c>
      <c r="CM374" s="124">
        <f>IF(Table1[[#This Row],[Check 3 Status]]="Continued", Table1[[#This Row],[Check 3 Students Spring]], 0)</f>
        <v>0</v>
      </c>
      <c r="CN374" s="123">
        <f>Table1[[#This Row],[Check 3 Per Student Savings]]*CM374</f>
        <v>0</v>
      </c>
      <c r="CO374" s="124">
        <f t="shared" si="208"/>
        <v>0</v>
      </c>
      <c r="CP374" s="123">
        <f t="shared" si="209"/>
        <v>0</v>
      </c>
      <c r="CQ374" s="123" t="s">
        <v>964</v>
      </c>
      <c r="CR374" s="124">
        <v>0</v>
      </c>
      <c r="CS374" s="124">
        <v>0</v>
      </c>
      <c r="CT374" s="124">
        <v>0</v>
      </c>
      <c r="CU374" s="124">
        <f t="shared" si="210"/>
        <v>0</v>
      </c>
      <c r="CV374" s="123">
        <v>0</v>
      </c>
      <c r="CW374" s="123">
        <f t="shared" si="211"/>
        <v>0</v>
      </c>
      <c r="CX374" s="17" t="s">
        <v>1443</v>
      </c>
      <c r="CY374" s="21">
        <f>IF(Table1[[#This Row],[Check 4 Status]]="Continued", Table1[[#This Row],[Check 4 Students Summer]], 0)</f>
        <v>0</v>
      </c>
      <c r="CZ374" s="58">
        <f>Table1[[#This Row],[Check 4 Per Student Savings]]*CY374</f>
        <v>0</v>
      </c>
      <c r="DA374" s="124">
        <f>IF(Table1[[#This Row],[Check 4 Status]]="Continued", Table1[[#This Row],[Check 4 Students Fall]], 0)</f>
        <v>0</v>
      </c>
      <c r="DB374" s="123">
        <f>Table1[[#This Row],[Check 4 Per Student Savings]]*DA374</f>
        <v>0</v>
      </c>
      <c r="DC374" s="21">
        <f>IF(Table1[[#This Row],[Check 4 Status]]="Continued", Table1[[#This Row],[Check 4 Students Spring]], 0)</f>
        <v>0</v>
      </c>
      <c r="DD374" s="58">
        <f>Table1[[#This Row],[Check 4 Per Student Savings]]*DC374</f>
        <v>0</v>
      </c>
      <c r="DE374" s="58">
        <f t="shared" si="212"/>
        <v>0</v>
      </c>
      <c r="DF374" s="58">
        <f t="shared" si="213"/>
        <v>0</v>
      </c>
      <c r="DG37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7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74" s="21">
        <v>0</v>
      </c>
      <c r="DJ374" s="31"/>
      <c r="DL374" s="31"/>
      <c r="DM374" s="31"/>
      <c r="DN374" s="31"/>
      <c r="DO374" s="207"/>
      <c r="DP374" s="58"/>
      <c r="DQ374" s="31"/>
      <c r="DR374" s="58"/>
      <c r="DS374" s="58"/>
      <c r="EC374" s="17"/>
      <c r="ED374" s="17"/>
      <c r="EE374" s="17"/>
      <c r="EF374" s="17"/>
      <c r="EI374" s="21"/>
      <c r="EJ374" s="58"/>
      <c r="EK374" s="21"/>
      <c r="EL374" s="21"/>
    </row>
    <row r="375" spans="1:142" x14ac:dyDescent="0.25">
      <c r="A375" s="120" t="s">
        <v>1687</v>
      </c>
      <c r="B375" s="121"/>
      <c r="C375" s="121"/>
      <c r="D375" s="118">
        <v>517300</v>
      </c>
      <c r="E375" s="117"/>
      <c r="F375" s="117"/>
      <c r="G375" s="202" t="s">
        <v>1583</v>
      </c>
      <c r="H375" s="95" t="s">
        <v>5</v>
      </c>
      <c r="I375" s="17" t="s">
        <v>962</v>
      </c>
      <c r="J375" s="17" t="s">
        <v>276</v>
      </c>
      <c r="K375" s="107">
        <v>4800</v>
      </c>
      <c r="L375" s="107" t="s">
        <v>498</v>
      </c>
      <c r="M375" s="101" t="s">
        <v>996</v>
      </c>
      <c r="N375" s="101" t="s">
        <v>997</v>
      </c>
      <c r="O375" s="101" t="s">
        <v>680</v>
      </c>
      <c r="P375" s="101" t="s">
        <v>1688</v>
      </c>
      <c r="Q375" s="101" t="s">
        <v>148</v>
      </c>
      <c r="R375" s="101"/>
      <c r="S375" s="206"/>
      <c r="T375" s="206"/>
      <c r="U375" s="206"/>
      <c r="V375" s="17" t="s">
        <v>1095</v>
      </c>
      <c r="W375" s="17" t="s">
        <v>1095</v>
      </c>
      <c r="X375" s="17" t="s">
        <v>1095</v>
      </c>
      <c r="Y375" s="21">
        <v>0</v>
      </c>
      <c r="Z375" s="21">
        <v>0</v>
      </c>
      <c r="AA375" s="21">
        <v>0</v>
      </c>
      <c r="AB375" s="21">
        <v>0</v>
      </c>
      <c r="AC375" s="21">
        <v>0</v>
      </c>
      <c r="AD375" s="21">
        <v>0</v>
      </c>
      <c r="AE375" s="17" t="s">
        <v>498</v>
      </c>
      <c r="AF375" s="58" t="s">
        <v>129</v>
      </c>
      <c r="AG375" s="58"/>
      <c r="AH375" s="58"/>
      <c r="AI375" s="111" t="s">
        <v>130</v>
      </c>
      <c r="AJ375" s="21">
        <v>0</v>
      </c>
      <c r="AK375" s="58">
        <v>0</v>
      </c>
      <c r="AL375" s="21">
        <v>0</v>
      </c>
      <c r="AM375" s="58">
        <f t="shared" si="216"/>
        <v>0</v>
      </c>
      <c r="AN375" s="21">
        <v>0</v>
      </c>
      <c r="AO375" s="21">
        <v>0</v>
      </c>
      <c r="AP375" s="21">
        <v>0</v>
      </c>
      <c r="AQ375" s="21">
        <v>0</v>
      </c>
      <c r="AR375" s="21">
        <v>0</v>
      </c>
      <c r="AS375" s="21">
        <v>0</v>
      </c>
      <c r="AT375" s="21">
        <v>0</v>
      </c>
      <c r="AU375" s="21">
        <v>0</v>
      </c>
      <c r="AV375" s="21">
        <v>0</v>
      </c>
      <c r="AW375" s="21">
        <v>0</v>
      </c>
      <c r="AX375" s="21">
        <v>0</v>
      </c>
      <c r="AY375" s="21">
        <v>0</v>
      </c>
      <c r="AZ375" s="21">
        <v>0</v>
      </c>
      <c r="BA375" s="21">
        <v>0</v>
      </c>
      <c r="BB375" s="21">
        <v>0</v>
      </c>
      <c r="BC375" s="21">
        <v>0</v>
      </c>
      <c r="BD375" s="21">
        <v>0</v>
      </c>
      <c r="BE375" s="21">
        <v>0</v>
      </c>
      <c r="BF375" s="21">
        <v>0</v>
      </c>
      <c r="BG375" s="21">
        <v>0</v>
      </c>
      <c r="BH375" s="21">
        <v>0</v>
      </c>
      <c r="BI375" s="21">
        <v>0</v>
      </c>
      <c r="BJ375" s="21">
        <v>0</v>
      </c>
      <c r="BK375" s="21">
        <v>0</v>
      </c>
      <c r="BL375" s="17" t="s">
        <v>964</v>
      </c>
      <c r="BM375" s="21">
        <v>0</v>
      </c>
      <c r="BN375" s="21">
        <v>0</v>
      </c>
      <c r="BO375" s="21">
        <v>0</v>
      </c>
      <c r="BP375" s="31">
        <f t="shared" si="217"/>
        <v>0</v>
      </c>
      <c r="BQ375" s="31">
        <f t="shared" si="217"/>
        <v>0</v>
      </c>
      <c r="BR375" s="58">
        <f>Table1[[#This Row],[Check 2 Students Total]]*Table1[[#This Row],[Summer 2018 Price Check]]</f>
        <v>0</v>
      </c>
      <c r="BS375" s="21">
        <v>0</v>
      </c>
      <c r="BT375" s="21">
        <v>0</v>
      </c>
      <c r="BU375" s="21">
        <v>0</v>
      </c>
      <c r="BV375" s="21">
        <v>0</v>
      </c>
      <c r="BW375" s="21">
        <v>0</v>
      </c>
      <c r="BX375" s="123">
        <f>Table1[[#This Row],[Summer 2018 Price Check]]*Table1[[#This Row],[Spring 2019 Students]]</f>
        <v>0</v>
      </c>
      <c r="BY375" s="31">
        <f t="shared" si="218"/>
        <v>0</v>
      </c>
      <c r="BZ375" s="58">
        <f t="shared" si="219"/>
        <v>0</v>
      </c>
      <c r="CA375" s="58" t="s">
        <v>964</v>
      </c>
      <c r="CB375" s="21">
        <v>0</v>
      </c>
      <c r="CC375" s="21">
        <v>0</v>
      </c>
      <c r="CD375" s="21">
        <v>0</v>
      </c>
      <c r="CE375" s="21">
        <v>0</v>
      </c>
      <c r="CF375" s="21">
        <v>0</v>
      </c>
      <c r="CG375" s="123">
        <f t="shared" si="221"/>
        <v>0</v>
      </c>
      <c r="CH375" s="17" t="s">
        <v>498</v>
      </c>
      <c r="CI375" s="124">
        <f>IF(Table1[[#This Row],[Check 3 Status]]="Continued", Table1[[#This Row],[Check 3 Students Summer]], 0)</f>
        <v>0</v>
      </c>
      <c r="CJ375" s="123">
        <f>Table1[[#This Row],[Check 3 Per Student Savings]]*CI375</f>
        <v>0</v>
      </c>
      <c r="CK375" s="124">
        <f>IF(Table1[[#This Row],[Check 3 Status]]="Continued", Table1[[#This Row],[Check 3 Students Fall]], 0)</f>
        <v>0</v>
      </c>
      <c r="CL375" s="123">
        <f>Table1[[#This Row],[Check 3 Per Student Savings]]*CK375</f>
        <v>0</v>
      </c>
      <c r="CM375" s="124">
        <f>IF(Table1[[#This Row],[Check 3 Status]]="Continued", Table1[[#This Row],[Check 3 Students Spring]], 0)</f>
        <v>0</v>
      </c>
      <c r="CN375" s="123">
        <f>Table1[[#This Row],[Check 3 Per Student Savings]]*CM375</f>
        <v>0</v>
      </c>
      <c r="CO375" s="124">
        <f t="shared" si="208"/>
        <v>0</v>
      </c>
      <c r="CP375" s="123">
        <f t="shared" si="209"/>
        <v>0</v>
      </c>
      <c r="CQ375" s="123" t="s">
        <v>964</v>
      </c>
      <c r="CR375" s="124">
        <v>0</v>
      </c>
      <c r="CS375" s="124">
        <v>0</v>
      </c>
      <c r="CT375" s="124">
        <v>0</v>
      </c>
      <c r="CU375" s="124">
        <f t="shared" si="210"/>
        <v>0</v>
      </c>
      <c r="CV375" s="123">
        <v>0</v>
      </c>
      <c r="CW375" s="123">
        <f t="shared" si="211"/>
        <v>0</v>
      </c>
      <c r="CX375" s="17" t="s">
        <v>498</v>
      </c>
      <c r="CY375" s="124">
        <v>0</v>
      </c>
      <c r="CZ375" s="58">
        <f>Table1[[#This Row],[Check 4 Per Student Savings]]*CY375</f>
        <v>0</v>
      </c>
      <c r="DA375" s="124">
        <f>IF(Table1[[#This Row],[Check 4 Status]]="Continued", Table1[[#This Row],[Check 4 Students Fall]], 0)</f>
        <v>0</v>
      </c>
      <c r="DB375" s="123">
        <f>Table1[[#This Row],[Check 4 Per Student Savings]]*DA375</f>
        <v>0</v>
      </c>
      <c r="DC375" s="21">
        <f>IF(Table1[[#This Row],[Check 4 Status]]="Continued", Table1[[#This Row],[Check 4 Students Spring]], 0)</f>
        <v>0</v>
      </c>
      <c r="DD375" s="58">
        <f>Table1[[#This Row],[Check 4 Per Student Savings]]*DC375</f>
        <v>0</v>
      </c>
      <c r="DE375" s="58">
        <f t="shared" si="212"/>
        <v>0</v>
      </c>
      <c r="DF375" s="58">
        <f t="shared" si="213"/>
        <v>0</v>
      </c>
      <c r="DG37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7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75" s="21">
        <v>0</v>
      </c>
      <c r="DJ375" s="31"/>
      <c r="DL375" s="31"/>
      <c r="DM375" s="31"/>
      <c r="DN375" s="31"/>
      <c r="DO375" s="207"/>
      <c r="DP375" s="58"/>
      <c r="DQ375" s="31"/>
      <c r="DR375" s="58"/>
      <c r="DS375" s="58"/>
      <c r="EC375" s="17"/>
      <c r="ED375" s="17"/>
      <c r="EE375" s="17"/>
      <c r="EF375" s="17"/>
      <c r="EI375" s="21"/>
      <c r="EJ375" s="58"/>
      <c r="EK375" s="21"/>
      <c r="EL375" s="21"/>
    </row>
    <row r="376" spans="1:142" x14ac:dyDescent="0.25">
      <c r="A376" s="120" t="s">
        <v>1689</v>
      </c>
      <c r="B376" s="121"/>
      <c r="C376" s="121"/>
      <c r="D376" s="118">
        <v>517196</v>
      </c>
      <c r="E376" s="117"/>
      <c r="F376" s="117"/>
      <c r="G376" s="202" t="s">
        <v>1583</v>
      </c>
      <c r="H376" s="95" t="s">
        <v>5</v>
      </c>
      <c r="I376" s="17" t="s">
        <v>962</v>
      </c>
      <c r="J376" s="17" t="s">
        <v>499</v>
      </c>
      <c r="K376" s="107">
        <v>4800</v>
      </c>
      <c r="L376" s="107" t="s">
        <v>498</v>
      </c>
      <c r="M376" s="101" t="s">
        <v>866</v>
      </c>
      <c r="N376" s="101" t="s">
        <v>867</v>
      </c>
      <c r="O376" s="101" t="s">
        <v>868</v>
      </c>
      <c r="P376" s="101" t="s">
        <v>869</v>
      </c>
      <c r="Q376" s="101" t="s">
        <v>177</v>
      </c>
      <c r="R376" s="101"/>
      <c r="S376" s="206"/>
      <c r="T376" s="206"/>
      <c r="U376" s="206"/>
      <c r="V376" s="17" t="s">
        <v>1095</v>
      </c>
      <c r="W376" s="17" t="s">
        <v>1095</v>
      </c>
      <c r="X376" s="17" t="s">
        <v>1095</v>
      </c>
      <c r="Y376" s="21">
        <v>0</v>
      </c>
      <c r="Z376" s="21">
        <v>0</v>
      </c>
      <c r="AA376" s="21">
        <v>0</v>
      </c>
      <c r="AB376" s="21">
        <v>0</v>
      </c>
      <c r="AC376" s="21">
        <v>0</v>
      </c>
      <c r="AD376" s="21">
        <v>0</v>
      </c>
      <c r="AE376" s="17" t="s">
        <v>498</v>
      </c>
      <c r="AF376" s="58" t="s">
        <v>129</v>
      </c>
      <c r="AG376" s="58"/>
      <c r="AH376" s="58"/>
      <c r="AI376" s="111" t="s">
        <v>130</v>
      </c>
      <c r="AJ376" s="21">
        <v>0</v>
      </c>
      <c r="AK376" s="58">
        <v>0</v>
      </c>
      <c r="AL376" s="21">
        <v>0</v>
      </c>
      <c r="AM376" s="58">
        <f t="shared" si="216"/>
        <v>0</v>
      </c>
      <c r="AN376" s="21">
        <v>0</v>
      </c>
      <c r="AO376" s="21">
        <v>0</v>
      </c>
      <c r="AP376" s="21">
        <v>0</v>
      </c>
      <c r="AQ376" s="21">
        <v>0</v>
      </c>
      <c r="AR376" s="21">
        <v>0</v>
      </c>
      <c r="AS376" s="21">
        <v>0</v>
      </c>
      <c r="AT376" s="21">
        <v>0</v>
      </c>
      <c r="AU376" s="21">
        <v>0</v>
      </c>
      <c r="AV376" s="21">
        <v>0</v>
      </c>
      <c r="AW376" s="21">
        <v>0</v>
      </c>
      <c r="AX376" s="21">
        <v>0</v>
      </c>
      <c r="AY376" s="21">
        <v>0</v>
      </c>
      <c r="AZ376" s="21">
        <v>0</v>
      </c>
      <c r="BA376" s="21">
        <v>0</v>
      </c>
      <c r="BB376" s="21">
        <v>0</v>
      </c>
      <c r="BC376" s="21">
        <v>0</v>
      </c>
      <c r="BD376" s="21">
        <v>0</v>
      </c>
      <c r="BE376" s="21">
        <v>0</v>
      </c>
      <c r="BF376" s="21">
        <v>0</v>
      </c>
      <c r="BG376" s="21">
        <v>0</v>
      </c>
      <c r="BH376" s="21">
        <v>0</v>
      </c>
      <c r="BI376" s="21">
        <v>0</v>
      </c>
      <c r="BJ376" s="21">
        <v>0</v>
      </c>
      <c r="BK376" s="21">
        <v>0</v>
      </c>
      <c r="BL376" s="17" t="s">
        <v>964</v>
      </c>
      <c r="BM376" s="21">
        <v>0</v>
      </c>
      <c r="BN376" s="21">
        <v>0</v>
      </c>
      <c r="BO376" s="21">
        <v>0</v>
      </c>
      <c r="BP376" s="31">
        <f t="shared" si="217"/>
        <v>0</v>
      </c>
      <c r="BQ376" s="31">
        <f t="shared" si="217"/>
        <v>0</v>
      </c>
      <c r="BR376" s="58">
        <f>Table1[[#This Row],[Check 2 Students Total]]*Table1[[#This Row],[Summer 2018 Price Check]]</f>
        <v>0</v>
      </c>
      <c r="BS376" s="21">
        <v>0</v>
      </c>
      <c r="BT376" s="21">
        <v>0</v>
      </c>
      <c r="BU376" s="21">
        <v>0</v>
      </c>
      <c r="BV376" s="21">
        <v>0</v>
      </c>
      <c r="BW376" s="21">
        <v>0</v>
      </c>
      <c r="BX376" s="123">
        <f>Table1[[#This Row],[Summer 2018 Price Check]]*Table1[[#This Row],[Spring 2019 Students]]</f>
        <v>0</v>
      </c>
      <c r="BY376" s="31">
        <f t="shared" si="218"/>
        <v>0</v>
      </c>
      <c r="BZ376" s="58">
        <f t="shared" si="219"/>
        <v>0</v>
      </c>
      <c r="CA376" s="58" t="s">
        <v>964</v>
      </c>
      <c r="CB376" s="21">
        <v>0</v>
      </c>
      <c r="CC376" s="21">
        <v>0</v>
      </c>
      <c r="CD376" s="21">
        <v>0</v>
      </c>
      <c r="CE376" s="21">
        <v>0</v>
      </c>
      <c r="CF376" s="21">
        <v>0</v>
      </c>
      <c r="CG376" s="123">
        <f t="shared" si="221"/>
        <v>0</v>
      </c>
      <c r="CH376" s="17" t="s">
        <v>498</v>
      </c>
      <c r="CI376" s="124">
        <f>IF(Table1[[#This Row],[Check 3 Status]]="Continued", Table1[[#This Row],[Check 3 Students Summer]], 0)</f>
        <v>0</v>
      </c>
      <c r="CJ376" s="123">
        <f>Table1[[#This Row],[Check 3 Per Student Savings]]*CI376</f>
        <v>0</v>
      </c>
      <c r="CK376" s="124">
        <f>IF(Table1[[#This Row],[Check 3 Status]]="Continued", Table1[[#This Row],[Check 3 Students Fall]], 0)</f>
        <v>0</v>
      </c>
      <c r="CL376" s="123">
        <f>Table1[[#This Row],[Check 3 Per Student Savings]]*CK376</f>
        <v>0</v>
      </c>
      <c r="CM376" s="124">
        <f>IF(Table1[[#This Row],[Check 3 Status]]="Continued", Table1[[#This Row],[Check 3 Students Spring]], 0)</f>
        <v>0</v>
      </c>
      <c r="CN376" s="123">
        <f>Table1[[#This Row],[Check 3 Per Student Savings]]*CM376</f>
        <v>0</v>
      </c>
      <c r="CO376" s="124">
        <f t="shared" si="208"/>
        <v>0</v>
      </c>
      <c r="CP376" s="123">
        <f t="shared" si="209"/>
        <v>0</v>
      </c>
      <c r="CQ376" s="123" t="s">
        <v>964</v>
      </c>
      <c r="CR376" s="124">
        <v>0</v>
      </c>
      <c r="CS376" s="124">
        <v>0</v>
      </c>
      <c r="CT376" s="124">
        <v>0</v>
      </c>
      <c r="CU376" s="124">
        <f t="shared" si="210"/>
        <v>0</v>
      </c>
      <c r="CV376" s="123">
        <v>0</v>
      </c>
      <c r="CW376" s="123">
        <f t="shared" si="211"/>
        <v>0</v>
      </c>
      <c r="CX376" s="17" t="s">
        <v>498</v>
      </c>
      <c r="CY376" s="124">
        <v>0</v>
      </c>
      <c r="CZ376" s="58">
        <f>Table1[[#This Row],[Check 4 Per Student Savings]]*CY376</f>
        <v>0</v>
      </c>
      <c r="DA376" s="124">
        <f>IF(Table1[[#This Row],[Check 4 Status]]="Continued", Table1[[#This Row],[Check 4 Students Fall]], 0)</f>
        <v>0</v>
      </c>
      <c r="DB376" s="123">
        <f>Table1[[#This Row],[Check 4 Per Student Savings]]*DA376</f>
        <v>0</v>
      </c>
      <c r="DC376" s="21">
        <f>IF(Table1[[#This Row],[Check 4 Status]]="Continued", Table1[[#This Row],[Check 4 Students Spring]], 0)</f>
        <v>0</v>
      </c>
      <c r="DD376" s="58">
        <f>Table1[[#This Row],[Check 4 Per Student Savings]]*DC376</f>
        <v>0</v>
      </c>
      <c r="DE376" s="58">
        <f t="shared" si="212"/>
        <v>0</v>
      </c>
      <c r="DF376" s="58">
        <f t="shared" si="213"/>
        <v>0</v>
      </c>
      <c r="DG37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7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76" s="21">
        <v>0</v>
      </c>
      <c r="DJ376" s="31"/>
      <c r="DL376" s="31"/>
      <c r="DM376" s="31"/>
      <c r="DN376" s="31"/>
      <c r="DO376" s="207"/>
      <c r="DP376" s="58"/>
      <c r="DQ376" s="31"/>
      <c r="DR376" s="58"/>
      <c r="DS376" s="58"/>
      <c r="EC376" s="17"/>
      <c r="ED376" s="17"/>
      <c r="EE376" s="17"/>
      <c r="EF376" s="17"/>
      <c r="EI376" s="21"/>
      <c r="EJ376" s="58"/>
      <c r="EK376" s="21"/>
      <c r="EL376" s="21"/>
    </row>
    <row r="377" spans="1:142" x14ac:dyDescent="0.25">
      <c r="A377" s="120" t="s">
        <v>1690</v>
      </c>
      <c r="B377" s="121"/>
      <c r="C377" s="121"/>
      <c r="D377" s="118">
        <v>517195</v>
      </c>
      <c r="E377" s="117"/>
      <c r="F377" s="117"/>
      <c r="G377" s="202" t="s">
        <v>1583</v>
      </c>
      <c r="H377" s="95" t="s">
        <v>5</v>
      </c>
      <c r="I377" s="17" t="s">
        <v>962</v>
      </c>
      <c r="J377" s="17" t="s">
        <v>499</v>
      </c>
      <c r="K377" s="107">
        <v>4800</v>
      </c>
      <c r="L377" s="107" t="s">
        <v>498</v>
      </c>
      <c r="M377" s="101" t="s">
        <v>1691</v>
      </c>
      <c r="N377" s="101" t="s">
        <v>1692</v>
      </c>
      <c r="O377" s="101" t="s">
        <v>793</v>
      </c>
      <c r="P377" s="101" t="s">
        <v>794</v>
      </c>
      <c r="Q377" s="101" t="s">
        <v>776</v>
      </c>
      <c r="R377" s="101"/>
      <c r="S377" s="206"/>
      <c r="T377" s="206"/>
      <c r="U377" s="206"/>
      <c r="V377" s="17" t="s">
        <v>1095</v>
      </c>
      <c r="W377" s="17" t="s">
        <v>1095</v>
      </c>
      <c r="X377" s="17" t="s">
        <v>1095</v>
      </c>
      <c r="Y377" s="21">
        <v>0</v>
      </c>
      <c r="Z377" s="21">
        <v>0</v>
      </c>
      <c r="AA377" s="21">
        <v>0</v>
      </c>
      <c r="AB377" s="21">
        <v>0</v>
      </c>
      <c r="AC377" s="21">
        <v>0</v>
      </c>
      <c r="AD377" s="21">
        <v>0</v>
      </c>
      <c r="AE377" s="17" t="s">
        <v>498</v>
      </c>
      <c r="AF377" s="58" t="s">
        <v>129</v>
      </c>
      <c r="AG377" s="58"/>
      <c r="AH377" s="58"/>
      <c r="AI377" s="111" t="s">
        <v>130</v>
      </c>
      <c r="AJ377" s="21">
        <v>0</v>
      </c>
      <c r="AK377" s="58">
        <v>0</v>
      </c>
      <c r="AL377" s="21">
        <v>0</v>
      </c>
      <c r="AM377" s="58">
        <f t="shared" si="216"/>
        <v>0</v>
      </c>
      <c r="AN377" s="21">
        <v>0</v>
      </c>
      <c r="AO377" s="21">
        <v>0</v>
      </c>
      <c r="AP377" s="21">
        <v>0</v>
      </c>
      <c r="AQ377" s="21">
        <v>0</v>
      </c>
      <c r="AR377" s="21">
        <v>0</v>
      </c>
      <c r="AS377" s="21">
        <v>0</v>
      </c>
      <c r="AT377" s="21">
        <v>0</v>
      </c>
      <c r="AU377" s="21">
        <v>0</v>
      </c>
      <c r="AV377" s="21">
        <v>0</v>
      </c>
      <c r="AW377" s="21">
        <v>0</v>
      </c>
      <c r="AX377" s="21">
        <v>0</v>
      </c>
      <c r="AY377" s="21">
        <v>0</v>
      </c>
      <c r="AZ377" s="21">
        <v>0</v>
      </c>
      <c r="BA377" s="21">
        <v>0</v>
      </c>
      <c r="BB377" s="21">
        <v>0</v>
      </c>
      <c r="BC377" s="21">
        <v>0</v>
      </c>
      <c r="BD377" s="21">
        <v>0</v>
      </c>
      <c r="BE377" s="21">
        <v>0</v>
      </c>
      <c r="BF377" s="21">
        <v>0</v>
      </c>
      <c r="BG377" s="21">
        <v>0</v>
      </c>
      <c r="BH377" s="21">
        <v>0</v>
      </c>
      <c r="BI377" s="21">
        <v>0</v>
      </c>
      <c r="BJ377" s="21">
        <v>0</v>
      </c>
      <c r="BK377" s="21">
        <v>0</v>
      </c>
      <c r="BL377" s="17" t="s">
        <v>964</v>
      </c>
      <c r="BM377" s="21">
        <v>0</v>
      </c>
      <c r="BN377" s="21">
        <v>0</v>
      </c>
      <c r="BO377" s="21">
        <v>0</v>
      </c>
      <c r="BP377" s="31">
        <f t="shared" si="217"/>
        <v>0</v>
      </c>
      <c r="BQ377" s="31">
        <f t="shared" si="217"/>
        <v>0</v>
      </c>
      <c r="BR377" s="58">
        <f>Table1[[#This Row],[Check 2 Students Total]]*Table1[[#This Row],[Summer 2018 Price Check]]</f>
        <v>0</v>
      </c>
      <c r="BS377" s="21">
        <v>0</v>
      </c>
      <c r="BT377" s="21">
        <v>0</v>
      </c>
      <c r="BU377" s="21">
        <v>0</v>
      </c>
      <c r="BV377" s="21">
        <v>0</v>
      </c>
      <c r="BW377" s="21">
        <v>0</v>
      </c>
      <c r="BX377" s="123">
        <f>Table1[[#This Row],[Summer 2018 Price Check]]*Table1[[#This Row],[Spring 2019 Students]]</f>
        <v>0</v>
      </c>
      <c r="BY377" s="31">
        <f t="shared" si="218"/>
        <v>0</v>
      </c>
      <c r="BZ377" s="58">
        <f t="shared" si="219"/>
        <v>0</v>
      </c>
      <c r="CA377" s="58" t="s">
        <v>964</v>
      </c>
      <c r="CB377" s="21">
        <v>0</v>
      </c>
      <c r="CC377" s="21">
        <v>0</v>
      </c>
      <c r="CD377" s="21">
        <v>0</v>
      </c>
      <c r="CE377" s="21">
        <v>0</v>
      </c>
      <c r="CF377" s="21">
        <v>0</v>
      </c>
      <c r="CG377" s="123">
        <f t="shared" si="221"/>
        <v>0</v>
      </c>
      <c r="CH377" s="17" t="s">
        <v>498</v>
      </c>
      <c r="CI377" s="124">
        <f>IF(Table1[[#This Row],[Check 3 Status]]="Continued", Table1[[#This Row],[Check 3 Students Summer]], 0)</f>
        <v>0</v>
      </c>
      <c r="CJ377" s="123">
        <f>Table1[[#This Row],[Check 3 Per Student Savings]]*CI377</f>
        <v>0</v>
      </c>
      <c r="CK377" s="124">
        <f>IF(Table1[[#This Row],[Check 3 Status]]="Continued", Table1[[#This Row],[Check 3 Students Fall]], 0)</f>
        <v>0</v>
      </c>
      <c r="CL377" s="123">
        <f>Table1[[#This Row],[Check 3 Per Student Savings]]*CK377</f>
        <v>0</v>
      </c>
      <c r="CM377" s="124">
        <f>IF(Table1[[#This Row],[Check 3 Status]]="Continued", Table1[[#This Row],[Check 3 Students Spring]], 0)</f>
        <v>0</v>
      </c>
      <c r="CN377" s="123">
        <f>Table1[[#This Row],[Check 3 Per Student Savings]]*CM377</f>
        <v>0</v>
      </c>
      <c r="CO377" s="124">
        <f t="shared" si="208"/>
        <v>0</v>
      </c>
      <c r="CP377" s="123">
        <f t="shared" si="209"/>
        <v>0</v>
      </c>
      <c r="CQ377" s="123" t="s">
        <v>964</v>
      </c>
      <c r="CR377" s="124">
        <v>0</v>
      </c>
      <c r="CS377" s="124">
        <v>0</v>
      </c>
      <c r="CT377" s="124">
        <v>0</v>
      </c>
      <c r="CU377" s="124">
        <f t="shared" si="210"/>
        <v>0</v>
      </c>
      <c r="CV377" s="123">
        <v>0</v>
      </c>
      <c r="CW377" s="123">
        <f t="shared" si="211"/>
        <v>0</v>
      </c>
      <c r="CX377" s="17" t="s">
        <v>498</v>
      </c>
      <c r="CY377" s="124">
        <v>0</v>
      </c>
      <c r="CZ377" s="58">
        <f>Table1[[#This Row],[Check 4 Per Student Savings]]*CY377</f>
        <v>0</v>
      </c>
      <c r="DA377" s="124">
        <f>IF(Table1[[#This Row],[Check 4 Status]]="Continued", Table1[[#This Row],[Check 4 Students Fall]], 0)</f>
        <v>0</v>
      </c>
      <c r="DB377" s="123">
        <f>Table1[[#This Row],[Check 4 Per Student Savings]]*DA377</f>
        <v>0</v>
      </c>
      <c r="DC377" s="21">
        <f>IF(Table1[[#This Row],[Check 4 Status]]="Continued", Table1[[#This Row],[Check 4 Students Spring]], 0)</f>
        <v>0</v>
      </c>
      <c r="DD377" s="58">
        <f>Table1[[#This Row],[Check 4 Per Student Savings]]*DC377</f>
        <v>0</v>
      </c>
      <c r="DE377" s="58">
        <f t="shared" si="212"/>
        <v>0</v>
      </c>
      <c r="DF377" s="58">
        <f t="shared" si="213"/>
        <v>0</v>
      </c>
      <c r="DG37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7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77" s="21">
        <v>0</v>
      </c>
      <c r="DJ377" s="31"/>
      <c r="DL377" s="31"/>
      <c r="DM377" s="31"/>
      <c r="DN377" s="31"/>
      <c r="DO377" s="207"/>
      <c r="DP377" s="58"/>
      <c r="DQ377" s="31"/>
      <c r="DR377" s="58"/>
      <c r="DS377" s="58"/>
      <c r="EC377" s="17"/>
      <c r="ED377" s="17"/>
      <c r="EE377" s="17"/>
      <c r="EF377" s="17"/>
      <c r="EI377" s="21"/>
      <c r="EJ377" s="58"/>
      <c r="EK377" s="21"/>
      <c r="EL377" s="21"/>
    </row>
    <row r="378" spans="1:142" ht="15.75" thickBot="1" x14ac:dyDescent="0.3">
      <c r="A378" s="120" t="s">
        <v>1693</v>
      </c>
      <c r="B378" s="121"/>
      <c r="C378" s="121"/>
      <c r="D378" s="118">
        <v>517266</v>
      </c>
      <c r="E378" s="117"/>
      <c r="F378" s="117"/>
      <c r="G378" s="202" t="s">
        <v>1583</v>
      </c>
      <c r="H378" s="95" t="s">
        <v>5</v>
      </c>
      <c r="I378" s="17" t="s">
        <v>962</v>
      </c>
      <c r="J378" s="17" t="s">
        <v>132</v>
      </c>
      <c r="K378" s="107">
        <v>4800</v>
      </c>
      <c r="L378" s="107" t="s">
        <v>1443</v>
      </c>
      <c r="M378" s="101" t="s">
        <v>862</v>
      </c>
      <c r="N378" s="101" t="s">
        <v>863</v>
      </c>
      <c r="O378" s="101" t="s">
        <v>1694</v>
      </c>
      <c r="P378" s="101" t="s">
        <v>1695</v>
      </c>
      <c r="Q378" s="101" t="s">
        <v>467</v>
      </c>
      <c r="R378" s="101"/>
      <c r="S378" s="206"/>
      <c r="T378" s="206"/>
      <c r="U378" s="206"/>
      <c r="V378" s="17" t="s">
        <v>1095</v>
      </c>
      <c r="W378" s="17" t="s">
        <v>1095</v>
      </c>
      <c r="X378" s="17" t="s">
        <v>1095</v>
      </c>
      <c r="Y378" s="21">
        <v>0</v>
      </c>
      <c r="Z378" s="21">
        <v>0</v>
      </c>
      <c r="AA378" s="21">
        <v>0</v>
      </c>
      <c r="AB378" s="21">
        <v>0</v>
      </c>
      <c r="AC378" s="21">
        <v>0</v>
      </c>
      <c r="AD378" s="21">
        <v>0</v>
      </c>
      <c r="AE378" s="17" t="s">
        <v>1443</v>
      </c>
      <c r="AF378" s="58" t="s">
        <v>129</v>
      </c>
      <c r="AG378" s="58"/>
      <c r="AH378" s="58"/>
      <c r="AI378" s="111" t="s">
        <v>130</v>
      </c>
      <c r="AJ378" s="21">
        <v>0</v>
      </c>
      <c r="AK378" s="58">
        <v>0</v>
      </c>
      <c r="AL378" s="21">
        <v>0</v>
      </c>
      <c r="AM378" s="58">
        <f t="shared" si="216"/>
        <v>0</v>
      </c>
      <c r="AN378" s="21">
        <v>0</v>
      </c>
      <c r="AO378" s="21">
        <v>0</v>
      </c>
      <c r="AP378" s="21">
        <v>0</v>
      </c>
      <c r="AQ378" s="21">
        <v>0</v>
      </c>
      <c r="AR378" s="21">
        <v>0</v>
      </c>
      <c r="AS378" s="21">
        <v>0</v>
      </c>
      <c r="AT378" s="21">
        <v>0</v>
      </c>
      <c r="AU378" s="21">
        <v>0</v>
      </c>
      <c r="AV378" s="21">
        <v>0</v>
      </c>
      <c r="AW378" s="21">
        <v>0</v>
      </c>
      <c r="AX378" s="21">
        <v>0</v>
      </c>
      <c r="AY378" s="21">
        <v>0</v>
      </c>
      <c r="AZ378" s="21">
        <v>0</v>
      </c>
      <c r="BA378" s="21">
        <v>0</v>
      </c>
      <c r="BB378" s="21">
        <v>0</v>
      </c>
      <c r="BC378" s="21">
        <v>0</v>
      </c>
      <c r="BD378" s="21">
        <v>0</v>
      </c>
      <c r="BE378" s="21">
        <v>0</v>
      </c>
      <c r="BF378" s="21">
        <v>0</v>
      </c>
      <c r="BG378" s="21">
        <v>0</v>
      </c>
      <c r="BH378" s="21">
        <v>0</v>
      </c>
      <c r="BI378" s="21">
        <v>0</v>
      </c>
      <c r="BJ378" s="21">
        <v>0</v>
      </c>
      <c r="BK378" s="21">
        <v>0</v>
      </c>
      <c r="BL378" s="17" t="s">
        <v>964</v>
      </c>
      <c r="BM378" s="21">
        <v>0</v>
      </c>
      <c r="BN378" s="21">
        <v>0</v>
      </c>
      <c r="BO378" s="21">
        <v>0</v>
      </c>
      <c r="BP378" s="31">
        <f t="shared" si="217"/>
        <v>0</v>
      </c>
      <c r="BQ378" s="31">
        <f t="shared" si="217"/>
        <v>0</v>
      </c>
      <c r="BR378" s="58">
        <f>Table1[[#This Row],[Check 2 Students Total]]*Table1[[#This Row],[Summer 2018 Price Check]]</f>
        <v>0</v>
      </c>
      <c r="BS378" s="21">
        <v>0</v>
      </c>
      <c r="BT378" s="21">
        <v>0</v>
      </c>
      <c r="BU378" s="21">
        <v>0</v>
      </c>
      <c r="BV378" s="21">
        <v>0</v>
      </c>
      <c r="BW378" s="21">
        <v>0</v>
      </c>
      <c r="BX378" s="123">
        <f>Table1[[#This Row],[Summer 2018 Price Check]]*Table1[[#This Row],[Spring 2019 Students]]</f>
        <v>0</v>
      </c>
      <c r="BY378" s="31">
        <f t="shared" si="218"/>
        <v>0</v>
      </c>
      <c r="BZ378" s="58">
        <f t="shared" si="219"/>
        <v>0</v>
      </c>
      <c r="CA378" s="58" t="s">
        <v>964</v>
      </c>
      <c r="CB378" s="21">
        <v>0</v>
      </c>
      <c r="CC378" s="21">
        <v>0</v>
      </c>
      <c r="CD378" s="21">
        <v>0</v>
      </c>
      <c r="CE378" s="21">
        <v>0</v>
      </c>
      <c r="CF378" s="21">
        <v>0</v>
      </c>
      <c r="CG378" s="123">
        <f t="shared" si="221"/>
        <v>0</v>
      </c>
      <c r="CH378" s="17" t="s">
        <v>1443</v>
      </c>
      <c r="CI378" s="124">
        <f>IF(Table1[[#This Row],[Check 3 Status]]="Continued", Table1[[#This Row],[Check 3 Students Summer]], 0)</f>
        <v>0</v>
      </c>
      <c r="CJ378" s="123">
        <f>Table1[[#This Row],[Check 3 Per Student Savings]]*CI378</f>
        <v>0</v>
      </c>
      <c r="CK378" s="124">
        <f>IF(Table1[[#This Row],[Check 3 Status]]="Continued", Table1[[#This Row],[Check 3 Students Fall]], 0)</f>
        <v>0</v>
      </c>
      <c r="CL378" s="123">
        <f>Table1[[#This Row],[Check 3 Per Student Savings]]*CK378</f>
        <v>0</v>
      </c>
      <c r="CM378" s="124">
        <f>IF(Table1[[#This Row],[Check 3 Status]]="Continued", Table1[[#This Row],[Check 3 Students Spring]], 0)</f>
        <v>0</v>
      </c>
      <c r="CN378" s="123">
        <f>Table1[[#This Row],[Check 3 Per Student Savings]]*CM378</f>
        <v>0</v>
      </c>
      <c r="CO378" s="124">
        <f t="shared" si="208"/>
        <v>0</v>
      </c>
      <c r="CP378" s="123">
        <f t="shared" si="209"/>
        <v>0</v>
      </c>
      <c r="CQ378" s="123" t="s">
        <v>964</v>
      </c>
      <c r="CR378" s="124">
        <v>0</v>
      </c>
      <c r="CS378" s="124">
        <v>0</v>
      </c>
      <c r="CT378" s="124">
        <v>0</v>
      </c>
      <c r="CU378" s="124">
        <f t="shared" si="210"/>
        <v>0</v>
      </c>
      <c r="CV378" s="123">
        <v>0</v>
      </c>
      <c r="CW378" s="123">
        <f t="shared" si="211"/>
        <v>0</v>
      </c>
      <c r="CX378" s="17" t="s">
        <v>1443</v>
      </c>
      <c r="CY378" s="124">
        <v>0</v>
      </c>
      <c r="CZ378" s="58">
        <f>Table1[[#This Row],[Check 4 Per Student Savings]]*CY378</f>
        <v>0</v>
      </c>
      <c r="DA378" s="124">
        <f>IF(Table1[[#This Row],[Check 4 Status]]="Continued", Table1[[#This Row],[Check 4 Students Fall]], 0)</f>
        <v>0</v>
      </c>
      <c r="DB378" s="123">
        <f>Table1[[#This Row],[Check 4 Per Student Savings]]*DA378</f>
        <v>0</v>
      </c>
      <c r="DC378" s="21">
        <f>IF(Table1[[#This Row],[Check 4 Status]]="Continued", Table1[[#This Row],[Check 4 Students Spring]], 0)</f>
        <v>0</v>
      </c>
      <c r="DD378" s="58">
        <f>Table1[[#This Row],[Check 4 Per Student Savings]]*DC378</f>
        <v>0</v>
      </c>
      <c r="DE378" s="58">
        <f t="shared" si="212"/>
        <v>0</v>
      </c>
      <c r="DF378" s="58">
        <f t="shared" si="213"/>
        <v>0</v>
      </c>
      <c r="DG37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7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78" s="21">
        <v>0</v>
      </c>
      <c r="DJ378" s="31"/>
      <c r="DL378" s="31"/>
      <c r="DM378" s="31"/>
      <c r="DN378" s="31"/>
      <c r="DO378" s="207"/>
      <c r="DP378" s="58"/>
      <c r="DQ378" s="31"/>
      <c r="DR378" s="58"/>
      <c r="DS378" s="58"/>
      <c r="EC378" s="17"/>
      <c r="ED378" s="17"/>
      <c r="EE378" s="17"/>
      <c r="EF378" s="17"/>
      <c r="EI378" s="21"/>
      <c r="EJ378" s="58"/>
      <c r="EK378" s="21"/>
      <c r="EL378" s="21"/>
    </row>
    <row r="379" spans="1:142" ht="16.5" thickTop="1" thickBot="1" x14ac:dyDescent="0.3">
      <c r="A379" s="128">
        <v>502</v>
      </c>
      <c r="B379" s="128"/>
      <c r="C379" s="128"/>
      <c r="D379" s="129">
        <v>517753</v>
      </c>
      <c r="E379" s="130"/>
      <c r="F379" s="130"/>
      <c r="G379" s="200" t="s">
        <v>1862</v>
      </c>
      <c r="H379" s="95" t="s">
        <v>5</v>
      </c>
      <c r="I379" s="226" t="s">
        <v>118</v>
      </c>
      <c r="J379" s="17" t="s">
        <v>132</v>
      </c>
      <c r="K379" s="58">
        <v>30000</v>
      </c>
      <c r="L379" s="58" t="s">
        <v>1863</v>
      </c>
      <c r="M379" s="17" t="s">
        <v>1795</v>
      </c>
      <c r="N379" s="17" t="s">
        <v>1796</v>
      </c>
      <c r="O379" s="17" t="s">
        <v>1831</v>
      </c>
      <c r="P379" s="17" t="s">
        <v>1846</v>
      </c>
      <c r="Q379" s="101" t="s">
        <v>177</v>
      </c>
      <c r="R379" s="101"/>
      <c r="S379" s="209"/>
      <c r="T379" s="209"/>
      <c r="U379" s="209"/>
      <c r="V379" s="17" t="s">
        <v>1095</v>
      </c>
      <c r="W379" s="17" t="s">
        <v>1095</v>
      </c>
      <c r="X379" s="17" t="s">
        <v>1095</v>
      </c>
      <c r="Y379" s="62">
        <v>118069</v>
      </c>
      <c r="Z379" s="21">
        <v>623</v>
      </c>
      <c r="AA379" s="58">
        <f>Table1[[#This Row],[Annual Savings]]/Table1[[#This Row],[Annual Students]]</f>
        <v>189.51685393258427</v>
      </c>
      <c r="AB379" s="21">
        <v>82</v>
      </c>
      <c r="AC379" s="21">
        <v>218</v>
      </c>
      <c r="AD379" s="21">
        <v>323</v>
      </c>
      <c r="AE379" s="17" t="s">
        <v>1863</v>
      </c>
      <c r="AF379" s="58" t="s">
        <v>129</v>
      </c>
      <c r="AG379" s="58"/>
      <c r="AH379" s="58"/>
      <c r="AI379" s="111" t="s">
        <v>130</v>
      </c>
      <c r="AJ379" s="21">
        <v>0</v>
      </c>
      <c r="AK379" s="21">
        <v>0</v>
      </c>
      <c r="AL379" s="21">
        <v>0</v>
      </c>
      <c r="AM379" s="58">
        <f t="shared" ref="AM379:AM402" si="222">AK379</f>
        <v>0</v>
      </c>
      <c r="AN379" s="21">
        <v>0</v>
      </c>
      <c r="AO379" s="58">
        <f t="shared" ref="AO379:AO392" si="223">$AA379*AN379</f>
        <v>0</v>
      </c>
      <c r="AP379" s="21">
        <v>0</v>
      </c>
      <c r="AQ379" s="58">
        <f t="shared" ref="AQ379:AQ389" si="224">$AA379*AP379</f>
        <v>0</v>
      </c>
      <c r="AR379" s="21">
        <v>0</v>
      </c>
      <c r="AS379" s="21">
        <v>0</v>
      </c>
      <c r="AT379" s="21">
        <v>0</v>
      </c>
      <c r="AU379" s="58">
        <f t="shared" ref="AU379:AU402" si="225">AO379+AQ379+AS379</f>
        <v>0</v>
      </c>
      <c r="AV379" s="21">
        <v>0</v>
      </c>
      <c r="AW379" s="21">
        <v>0</v>
      </c>
      <c r="AX379" s="21">
        <v>0</v>
      </c>
      <c r="AY379" s="21">
        <v>0</v>
      </c>
      <c r="AZ379" s="21">
        <v>0</v>
      </c>
      <c r="BA379" s="21">
        <v>0</v>
      </c>
      <c r="BB379" s="21">
        <v>0</v>
      </c>
      <c r="BC379" s="21">
        <v>0</v>
      </c>
      <c r="BD379" s="21">
        <v>0</v>
      </c>
      <c r="BE379" s="21">
        <v>0</v>
      </c>
      <c r="BF379" s="21">
        <v>0</v>
      </c>
      <c r="BG379" s="21">
        <v>0</v>
      </c>
      <c r="BH379" s="21">
        <v>0</v>
      </c>
      <c r="BI379" s="21">
        <v>0</v>
      </c>
      <c r="BJ379" s="21">
        <v>0</v>
      </c>
      <c r="BK379" s="21">
        <v>0</v>
      </c>
      <c r="BL379" s="17" t="s">
        <v>130</v>
      </c>
      <c r="BM379" s="21">
        <v>0</v>
      </c>
      <c r="BN379" s="21">
        <v>0</v>
      </c>
      <c r="BO379" s="21">
        <v>0</v>
      </c>
      <c r="BP379" s="21">
        <v>0</v>
      </c>
      <c r="BQ379" s="21">
        <v>0</v>
      </c>
      <c r="BR379" s="21">
        <v>0</v>
      </c>
      <c r="BS379" s="21">
        <v>0</v>
      </c>
      <c r="BT379" s="21">
        <v>0</v>
      </c>
      <c r="BU379" s="21">
        <v>0</v>
      </c>
      <c r="BV379" s="21">
        <v>0</v>
      </c>
      <c r="BW379" s="21">
        <v>0</v>
      </c>
      <c r="BX379" s="131">
        <f>Table1[[#This Row],[Summer 2018 Price Check]]*Table1[[#This Row],[Spring 2019 Students]]</f>
        <v>0</v>
      </c>
      <c r="BY379" s="31">
        <f t="shared" ref="BY379:BY402" si="226">BS379+BU379+BW379</f>
        <v>0</v>
      </c>
      <c r="BZ379" s="58">
        <f t="shared" ref="BZ379:BZ402" si="227">BT379+BV379+BX379</f>
        <v>0</v>
      </c>
      <c r="CA379" s="58" t="s">
        <v>130</v>
      </c>
      <c r="CB379" s="31">
        <f t="shared" ref="CB379:CB402" si="228">BV379+BX379+BZ379</f>
        <v>0</v>
      </c>
      <c r="CC379" s="31">
        <v>0</v>
      </c>
      <c r="CD379" s="31">
        <f t="shared" ref="CD379:CD402" si="229">BX379+BZ379+CB379</f>
        <v>0</v>
      </c>
      <c r="CE379" s="21">
        <f t="shared" ref="CE379:CE392" si="230">Z379</f>
        <v>623</v>
      </c>
      <c r="CF379" s="58">
        <v>189.51685393258427</v>
      </c>
      <c r="CG379" s="131">
        <f>(CE379*CF379)</f>
        <v>118069</v>
      </c>
      <c r="CH379" s="17" t="s">
        <v>1863</v>
      </c>
      <c r="CI379" s="132">
        <f>IF(Table1[[#This Row],[Check 3 Status]]="Continued", Table1[[#This Row],[Check 3 Students Summer]], 0)</f>
        <v>0</v>
      </c>
      <c r="CJ379" s="131">
        <f>Table1[[#This Row],[Check 3 Per Student Savings]]*CI379</f>
        <v>0</v>
      </c>
      <c r="CK379" s="132">
        <f>IF(Table1[[#This Row],[Check 3 Status]]="Continued", Table1[[#This Row],[Check 3 Students Fall]], 0)</f>
        <v>0</v>
      </c>
      <c r="CL379" s="131">
        <f>Table1[[#This Row],[Check 3 Per Student Savings]]*CK379</f>
        <v>0</v>
      </c>
      <c r="CM379" s="124">
        <f>IF(Table1[[#This Row],[Check 3 Status]]="Continued", Table1[[#This Row],[Check 3 Students Spring]], 0)</f>
        <v>0</v>
      </c>
      <c r="CN379" s="123">
        <f>Table1[[#This Row],[Check 3 Per Student Savings]]*CM379</f>
        <v>0</v>
      </c>
      <c r="CO379" s="124">
        <f t="shared" ref="CO379:CO402" si="231">CI379+CK379+CM379</f>
        <v>0</v>
      </c>
      <c r="CP379" s="123">
        <f t="shared" ref="CP379:CP402" si="232">CJ379+CL379+CN379</f>
        <v>0</v>
      </c>
      <c r="CQ379" s="123" t="s">
        <v>130</v>
      </c>
      <c r="CR379" s="21">
        <v>82</v>
      </c>
      <c r="CS379" s="21">
        <v>218</v>
      </c>
      <c r="CT379" s="21">
        <v>323</v>
      </c>
      <c r="CU379" s="124">
        <f t="shared" si="210"/>
        <v>623</v>
      </c>
      <c r="CV379" s="123">
        <v>189.51685393258427</v>
      </c>
      <c r="CW379" s="123">
        <f t="shared" si="211"/>
        <v>118069</v>
      </c>
      <c r="CX379" s="17" t="s">
        <v>1863</v>
      </c>
      <c r="CY379" s="124">
        <v>0</v>
      </c>
      <c r="CZ379" s="58">
        <f>Table1[[#This Row],[Check 4 Per Student Savings]]*CY379</f>
        <v>0</v>
      </c>
      <c r="DA379" s="124">
        <v>0</v>
      </c>
      <c r="DB379" s="123">
        <f>Table1[[#This Row],[Check 4 Per Student Savings]]*DA379</f>
        <v>0</v>
      </c>
      <c r="DC379" s="21">
        <f>IF(Table1[[#This Row],[Check 4 Status]]="Continued", Table1[[#This Row],[Check 4 Students Spring]], 0)</f>
        <v>323</v>
      </c>
      <c r="DD379" s="58">
        <f>Table1[[#This Row],[Check 4 Per Student Savings]]*DC379</f>
        <v>61213.943820224718</v>
      </c>
      <c r="DE379" s="58">
        <f t="shared" si="212"/>
        <v>323</v>
      </c>
      <c r="DF379" s="58">
        <f t="shared" si="213"/>
        <v>61213.943820224718</v>
      </c>
      <c r="DG37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323</v>
      </c>
      <c r="DH37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61213.943820224718</v>
      </c>
      <c r="DI379" s="111">
        <f>Table1[[#This Row],[Grand Total Savings]]/Table1[[#This Row],[Total Award]]</f>
        <v>2.0404647940074905</v>
      </c>
      <c r="DJ379" s="31"/>
      <c r="DL379" s="31"/>
      <c r="DM379" s="31"/>
      <c r="DN379" s="31"/>
      <c r="DO379" s="207"/>
      <c r="DP379" s="58"/>
      <c r="DQ379" s="31"/>
      <c r="DR379" s="58"/>
      <c r="DS379" s="58"/>
      <c r="EC379" s="17"/>
      <c r="ED379" s="17"/>
      <c r="EE379" s="17"/>
      <c r="EF379" s="17"/>
      <c r="EI379" s="21"/>
      <c r="EJ379" s="58"/>
      <c r="EK379" s="21"/>
      <c r="EL379" s="21"/>
    </row>
    <row r="380" spans="1:142" ht="16.5" thickTop="1" thickBot="1" x14ac:dyDescent="0.3">
      <c r="A380" s="128" t="s">
        <v>2013</v>
      </c>
      <c r="B380" s="128"/>
      <c r="C380" s="128"/>
      <c r="D380" s="129">
        <v>517754</v>
      </c>
      <c r="E380" s="130"/>
      <c r="F380" s="130"/>
      <c r="G380" s="200" t="s">
        <v>1862</v>
      </c>
      <c r="H380" s="95" t="s">
        <v>5</v>
      </c>
      <c r="I380" s="226" t="s">
        <v>118</v>
      </c>
      <c r="J380" s="17" t="s">
        <v>132</v>
      </c>
      <c r="K380" s="58">
        <v>30000</v>
      </c>
      <c r="L380" s="58" t="s">
        <v>1863</v>
      </c>
      <c r="M380" s="17" t="s">
        <v>1797</v>
      </c>
      <c r="N380" s="17" t="s">
        <v>1798</v>
      </c>
      <c r="O380" s="17" t="s">
        <v>1832</v>
      </c>
      <c r="P380" s="17" t="s">
        <v>1847</v>
      </c>
      <c r="Q380" s="101" t="s">
        <v>776</v>
      </c>
      <c r="R380" s="101"/>
      <c r="S380" s="209"/>
      <c r="T380" s="209"/>
      <c r="U380" s="209"/>
      <c r="V380" s="17" t="s">
        <v>1095</v>
      </c>
      <c r="W380" s="17" t="s">
        <v>1095</v>
      </c>
      <c r="X380" s="17" t="s">
        <v>1095</v>
      </c>
      <c r="Y380" s="62">
        <v>31070.880000000001</v>
      </c>
      <c r="Z380" s="21">
        <v>358</v>
      </c>
      <c r="AA380" s="58">
        <f>Table1[[#This Row],[Annual Savings]]/Table1[[#This Row],[Annual Students]]</f>
        <v>86.790167597765361</v>
      </c>
      <c r="AB380" s="21">
        <v>24</v>
      </c>
      <c r="AC380" s="21">
        <v>164</v>
      </c>
      <c r="AD380" s="21">
        <v>170</v>
      </c>
      <c r="AE380" s="17" t="s">
        <v>1863</v>
      </c>
      <c r="AF380" s="58" t="s">
        <v>129</v>
      </c>
      <c r="AG380" s="58"/>
      <c r="AH380" s="58"/>
      <c r="AI380" s="111" t="s">
        <v>130</v>
      </c>
      <c r="AJ380" s="21">
        <v>0</v>
      </c>
      <c r="AK380" s="21">
        <v>0</v>
      </c>
      <c r="AL380" s="21">
        <v>0</v>
      </c>
      <c r="AM380" s="58">
        <f t="shared" si="222"/>
        <v>0</v>
      </c>
      <c r="AN380" s="21">
        <v>0</v>
      </c>
      <c r="AO380" s="58">
        <f t="shared" si="223"/>
        <v>0</v>
      </c>
      <c r="AP380" s="21">
        <v>0</v>
      </c>
      <c r="AQ380" s="58">
        <f t="shared" si="224"/>
        <v>0</v>
      </c>
      <c r="AR380" s="21">
        <v>0</v>
      </c>
      <c r="AS380" s="21">
        <v>0</v>
      </c>
      <c r="AT380" s="21">
        <v>0</v>
      </c>
      <c r="AU380" s="58">
        <f t="shared" si="225"/>
        <v>0</v>
      </c>
      <c r="AV380" s="21">
        <v>0</v>
      </c>
      <c r="AW380" s="21">
        <v>0</v>
      </c>
      <c r="AX380" s="21">
        <v>0</v>
      </c>
      <c r="AY380" s="21">
        <v>0</v>
      </c>
      <c r="AZ380" s="21">
        <v>0</v>
      </c>
      <c r="BA380" s="21">
        <v>0</v>
      </c>
      <c r="BB380" s="21">
        <v>0</v>
      </c>
      <c r="BC380" s="21">
        <v>0</v>
      </c>
      <c r="BD380" s="21">
        <v>0</v>
      </c>
      <c r="BE380" s="21">
        <v>0</v>
      </c>
      <c r="BF380" s="21">
        <v>0</v>
      </c>
      <c r="BG380" s="21">
        <v>0</v>
      </c>
      <c r="BH380" s="21">
        <v>0</v>
      </c>
      <c r="BI380" s="21">
        <v>0</v>
      </c>
      <c r="BJ380" s="21">
        <v>0</v>
      </c>
      <c r="BK380" s="21">
        <v>0</v>
      </c>
      <c r="BL380" s="17" t="s">
        <v>130</v>
      </c>
      <c r="BM380" s="21">
        <v>0</v>
      </c>
      <c r="BN380" s="21">
        <v>0</v>
      </c>
      <c r="BO380" s="21">
        <v>0</v>
      </c>
      <c r="BP380" s="21">
        <v>0</v>
      </c>
      <c r="BQ380" s="21">
        <v>0</v>
      </c>
      <c r="BR380" s="21">
        <v>0</v>
      </c>
      <c r="BS380" s="21">
        <v>0</v>
      </c>
      <c r="BT380" s="21">
        <v>0</v>
      </c>
      <c r="BU380" s="21">
        <v>0</v>
      </c>
      <c r="BV380" s="21">
        <v>0</v>
      </c>
      <c r="BW380" s="21">
        <v>0</v>
      </c>
      <c r="BX380" s="131">
        <f>Table1[[#This Row],[Summer 2018 Price Check]]*Table1[[#This Row],[Spring 2019 Students]]</f>
        <v>0</v>
      </c>
      <c r="BY380" s="31">
        <f t="shared" si="226"/>
        <v>0</v>
      </c>
      <c r="BZ380" s="58">
        <f t="shared" si="227"/>
        <v>0</v>
      </c>
      <c r="CA380" s="58" t="s">
        <v>130</v>
      </c>
      <c r="CB380" s="31">
        <f t="shared" si="228"/>
        <v>0</v>
      </c>
      <c r="CC380" s="31">
        <v>0</v>
      </c>
      <c r="CD380" s="31">
        <f t="shared" si="229"/>
        <v>0</v>
      </c>
      <c r="CE380" s="21">
        <f t="shared" si="230"/>
        <v>358</v>
      </c>
      <c r="CF380" s="58">
        <v>86.790167597765361</v>
      </c>
      <c r="CG380" s="131">
        <f t="shared" ref="CG380:CG402" si="233">(CE380*CF380)</f>
        <v>31070.880000000001</v>
      </c>
      <c r="CH380" s="17" t="s">
        <v>1863</v>
      </c>
      <c r="CI380" s="132">
        <f>IF(Table1[[#This Row],[Check 3 Status]]="Continued", Table1[[#This Row],[Check 3 Students Summer]], 0)</f>
        <v>0</v>
      </c>
      <c r="CJ380" s="131">
        <f>Table1[[#This Row],[Check 3 Per Student Savings]]*CI380</f>
        <v>0</v>
      </c>
      <c r="CK380" s="132">
        <f>IF(Table1[[#This Row],[Check 3 Status]]="Continued", Table1[[#This Row],[Check 3 Students Fall]], 0)</f>
        <v>0</v>
      </c>
      <c r="CL380" s="131">
        <f>Table1[[#This Row],[Check 3 Per Student Savings]]*CK380</f>
        <v>0</v>
      </c>
      <c r="CM380" s="124">
        <f>IF(Table1[[#This Row],[Check 3 Status]]="Continued", Table1[[#This Row],[Check 3 Students Spring]], 0)</f>
        <v>0</v>
      </c>
      <c r="CN380" s="123">
        <f>Table1[[#This Row],[Check 3 Per Student Savings]]*CM380</f>
        <v>0</v>
      </c>
      <c r="CO380" s="124">
        <f t="shared" si="231"/>
        <v>0</v>
      </c>
      <c r="CP380" s="123">
        <f t="shared" si="232"/>
        <v>0</v>
      </c>
      <c r="CQ380" s="123" t="s">
        <v>130</v>
      </c>
      <c r="CR380" s="21">
        <v>24</v>
      </c>
      <c r="CS380" s="21">
        <v>164</v>
      </c>
      <c r="CT380" s="21">
        <v>170</v>
      </c>
      <c r="CU380" s="124">
        <f t="shared" si="210"/>
        <v>358</v>
      </c>
      <c r="CV380" s="123">
        <v>86.790167597765361</v>
      </c>
      <c r="CW380" s="123">
        <f t="shared" si="211"/>
        <v>31070.880000000001</v>
      </c>
      <c r="CX380" s="17" t="s">
        <v>1863</v>
      </c>
      <c r="CY380" s="124">
        <v>0</v>
      </c>
      <c r="CZ380" s="58">
        <f>Table1[[#This Row],[Check 4 Per Student Savings]]*CY380</f>
        <v>0</v>
      </c>
      <c r="DA380" s="124">
        <v>0</v>
      </c>
      <c r="DB380" s="123">
        <f>Table1[[#This Row],[Check 4 Per Student Savings]]*DA380</f>
        <v>0</v>
      </c>
      <c r="DC380" s="21">
        <f>IF(Table1[[#This Row],[Check 4 Status]]="Continued", Table1[[#This Row],[Check 4 Students Spring]], 0)</f>
        <v>170</v>
      </c>
      <c r="DD380" s="58">
        <f>Table1[[#This Row],[Check 4 Per Student Savings]]*DC380</f>
        <v>14754.328491620112</v>
      </c>
      <c r="DE380" s="58">
        <f t="shared" si="212"/>
        <v>170</v>
      </c>
      <c r="DF380" s="58">
        <f t="shared" si="213"/>
        <v>14754.328491620112</v>
      </c>
      <c r="DG38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170</v>
      </c>
      <c r="DH38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14754.328491620112</v>
      </c>
      <c r="DI380" s="111">
        <f>Table1[[#This Row],[Grand Total Savings]]/Table1[[#This Row],[Total Award]]</f>
        <v>0.49181094972067041</v>
      </c>
      <c r="DJ380" s="31"/>
      <c r="DL380" s="31"/>
      <c r="DM380" s="207"/>
      <c r="DN380" s="58"/>
      <c r="DO380" s="31"/>
      <c r="DP380" s="58"/>
      <c r="DQ380" s="58"/>
      <c r="EC380" s="17"/>
      <c r="ED380" s="17"/>
      <c r="EE380" s="17"/>
      <c r="EF380" s="17"/>
      <c r="EG380" s="21"/>
      <c r="EH380" s="58"/>
      <c r="EI380" s="21"/>
      <c r="EJ380" s="21"/>
    </row>
    <row r="381" spans="1:142" ht="16.5" thickTop="1" thickBot="1" x14ac:dyDescent="0.3">
      <c r="A381" s="128" t="s">
        <v>2014</v>
      </c>
      <c r="B381" s="128"/>
      <c r="C381" s="128"/>
      <c r="D381" s="129"/>
      <c r="E381" s="130"/>
      <c r="F381" s="130"/>
      <c r="G381" s="200"/>
      <c r="H381" s="95"/>
      <c r="I381" s="226" t="s">
        <v>118</v>
      </c>
      <c r="J381" s="17" t="s">
        <v>236</v>
      </c>
      <c r="K381" s="58"/>
      <c r="L381" s="58" t="s">
        <v>1863</v>
      </c>
      <c r="Q381" s="101" t="s">
        <v>776</v>
      </c>
      <c r="R381" s="101"/>
      <c r="S381" s="209"/>
      <c r="T381" s="209"/>
      <c r="U381" s="209"/>
      <c r="X381" s="17"/>
      <c r="Y381" s="62"/>
      <c r="AA381" s="58"/>
      <c r="AB381" s="21"/>
      <c r="AC381" s="21"/>
      <c r="AF381" s="58"/>
      <c r="AG381" s="58"/>
      <c r="AH381" s="58"/>
      <c r="AI381" s="111"/>
      <c r="AJ381" s="21">
        <f>AD381</f>
        <v>0</v>
      </c>
      <c r="AL381" s="21"/>
      <c r="AM381" s="58">
        <f>AK381</f>
        <v>0</v>
      </c>
      <c r="AN381" s="21">
        <f>IF(Table1[[#This Row],[Sustainability Check 1 (2017-2018) Status]]="Continued", Table1[[#This Row],[Students Per Summer]], 0)</f>
        <v>0</v>
      </c>
      <c r="AO381" s="58">
        <f>$AA381*AN381</f>
        <v>0</v>
      </c>
      <c r="AP381" s="21">
        <f>IF(Table1[[#This Row],[Sustainability Check 1 (2017-2018) Status]]="Continued", Table1[[#This Row],[Students Per Fall]], 0)</f>
        <v>0</v>
      </c>
      <c r="AQ381" s="58">
        <f>$AA381*AP381</f>
        <v>0</v>
      </c>
      <c r="AR381" s="21"/>
      <c r="AS381" s="21">
        <f>$AA381*AR381</f>
        <v>0</v>
      </c>
      <c r="AT381" s="21"/>
      <c r="AU381" s="58">
        <f>AO381+AQ381+AS381</f>
        <v>0</v>
      </c>
      <c r="AV381" s="21"/>
      <c r="AW381" s="21"/>
      <c r="AX381" s="21"/>
      <c r="AY381" s="21"/>
      <c r="AZ381" s="21"/>
      <c r="BA381" s="21"/>
      <c r="BB381" s="21"/>
      <c r="BC381" s="21"/>
      <c r="BD381" s="21"/>
      <c r="BE381" s="21"/>
      <c r="BF381" s="21"/>
      <c r="BG381" s="21"/>
      <c r="BH381" s="21"/>
      <c r="BI381" s="21"/>
      <c r="BJ381" s="21"/>
      <c r="BK381" s="21"/>
      <c r="BL381" s="17"/>
      <c r="BM381" s="21"/>
      <c r="BN381" s="21"/>
      <c r="BO381" s="21"/>
      <c r="BP381" s="21">
        <f>SUM(BM381:BO381)</f>
        <v>0</v>
      </c>
      <c r="BQ381" s="21"/>
      <c r="BR381" s="21">
        <f>Table1[[#This Row],[Check 2 Students Total]]*Table1[[#This Row],[Summer 2018 Price Check]]</f>
        <v>0</v>
      </c>
      <c r="BS381" s="21"/>
      <c r="BU381" s="21"/>
      <c r="BV381" s="21"/>
      <c r="BW381" s="21"/>
      <c r="BX381" s="131">
        <f>Table1[[#This Row],[Summer 2018 Price Check]]*Table1[[#This Row],[Spring 2019 Students]]</f>
        <v>0</v>
      </c>
      <c r="BY381" s="31">
        <f>BS381+BU381+BW381</f>
        <v>0</v>
      </c>
      <c r="BZ381" s="58">
        <f>BT381+BV381+BX381</f>
        <v>0</v>
      </c>
      <c r="CA381" s="58"/>
      <c r="CB381" s="31"/>
      <c r="CC381" s="31"/>
      <c r="CD381" s="31"/>
      <c r="CE381" s="21">
        <f>Z381</f>
        <v>0</v>
      </c>
      <c r="CF381" s="58"/>
      <c r="CG381" s="131">
        <f>(CE381*CF381)</f>
        <v>0</v>
      </c>
      <c r="CH381" s="17" t="s">
        <v>1863</v>
      </c>
      <c r="CI381" s="132">
        <f>IF(Table1[[#This Row],[Check 3 Status]]="Continued", Table1[[#This Row],[Check 3 Students Summer]], 0)</f>
        <v>0</v>
      </c>
      <c r="CJ381" s="131">
        <f>Table1[[#This Row],[Check 3 Per Student Savings]]*CI381</f>
        <v>0</v>
      </c>
      <c r="CK381" s="132">
        <f>IF(Table1[[#This Row],[Check 3 Status]]="Continued", Table1[[#This Row],[Check 3 Students Fall]], 0)</f>
        <v>0</v>
      </c>
      <c r="CL381" s="131">
        <f>Table1[[#This Row],[Check 3 Per Student Savings]]*CK381</f>
        <v>0</v>
      </c>
      <c r="CM381" s="124">
        <f>IF(Table1[[#This Row],[Check 3 Status]]="Continued", Table1[[#This Row],[Check 3 Students Spring]], 0)</f>
        <v>0</v>
      </c>
      <c r="CN381" s="123">
        <f>Table1[[#This Row],[Check 3 Per Student Savings]]*CM381</f>
        <v>0</v>
      </c>
      <c r="CO381" s="124">
        <f>CI381+CK381+CM381</f>
        <v>0</v>
      </c>
      <c r="CP381" s="123">
        <f>CJ381+CL381+CN381</f>
        <v>0</v>
      </c>
      <c r="CQ381" s="123" t="s">
        <v>13</v>
      </c>
      <c r="CR381" s="124">
        <v>0</v>
      </c>
      <c r="CS381" s="124">
        <v>0</v>
      </c>
      <c r="CT381" s="124">
        <v>0</v>
      </c>
      <c r="CU381" s="124">
        <f t="shared" si="210"/>
        <v>0</v>
      </c>
      <c r="CV381" s="123"/>
      <c r="CW381" s="123">
        <f t="shared" si="211"/>
        <v>0</v>
      </c>
      <c r="CX381" s="17" t="s">
        <v>1863</v>
      </c>
      <c r="CY381" s="124">
        <v>0</v>
      </c>
      <c r="CZ381" s="58">
        <f>Table1[[#This Row],[Check 4 Per Student Savings]]*CY381</f>
        <v>0</v>
      </c>
      <c r="DA381" s="124">
        <v>0</v>
      </c>
      <c r="DB381" s="123">
        <f>Table1[[#This Row],[Check 4 Per Student Savings]]*DA381</f>
        <v>0</v>
      </c>
      <c r="DC381" s="21">
        <f>IF(Table1[[#This Row],[Check 4 Status]]="Continued", Table1[[#This Row],[Check 4 Students Spring]], 0)</f>
        <v>0</v>
      </c>
      <c r="DD381" s="58">
        <f>Table1[[#This Row],[Check 4 Per Student Savings]]*DC381</f>
        <v>0</v>
      </c>
      <c r="DE381" s="58">
        <f t="shared" si="212"/>
        <v>0</v>
      </c>
      <c r="DF381" s="58">
        <f t="shared" si="213"/>
        <v>0</v>
      </c>
      <c r="DG38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8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81" s="111" t="e">
        <f>Table1[[#This Row],[Grand Total Savings]]/Table1[[#This Row],[Total Award]]</f>
        <v>#DIV/0!</v>
      </c>
      <c r="DJ381" s="31"/>
      <c r="DL381" s="31"/>
      <c r="DM381" s="207"/>
      <c r="DN381" s="58"/>
      <c r="DO381" s="31"/>
      <c r="DP381" s="58"/>
      <c r="DQ381" s="58"/>
      <c r="EC381" s="17"/>
      <c r="ED381" s="17"/>
      <c r="EE381" s="17"/>
      <c r="EF381" s="17"/>
      <c r="EG381" s="21"/>
      <c r="EH381" s="58"/>
      <c r="EI381" s="21"/>
      <c r="EJ381" s="21"/>
    </row>
    <row r="382" spans="1:142" ht="16.5" thickTop="1" thickBot="1" x14ac:dyDescent="0.3">
      <c r="A382" s="128">
        <v>506</v>
      </c>
      <c r="B382" s="128"/>
      <c r="C382" s="128"/>
      <c r="D382" s="129"/>
      <c r="E382" s="130"/>
      <c r="F382" s="130"/>
      <c r="G382" s="200" t="s">
        <v>1862</v>
      </c>
      <c r="H382" s="95" t="s">
        <v>5</v>
      </c>
      <c r="I382" s="226" t="s">
        <v>118</v>
      </c>
      <c r="J382" s="17" t="s">
        <v>210</v>
      </c>
      <c r="K382" s="58">
        <v>29922</v>
      </c>
      <c r="L382" s="58" t="s">
        <v>1863</v>
      </c>
      <c r="M382" s="17" t="s">
        <v>1799</v>
      </c>
      <c r="N382" s="17" t="s">
        <v>1800</v>
      </c>
      <c r="O382" s="17" t="s">
        <v>1833</v>
      </c>
      <c r="P382" s="17" t="s">
        <v>1848</v>
      </c>
      <c r="Q382" s="101" t="s">
        <v>248</v>
      </c>
      <c r="R382" s="101"/>
      <c r="S382" s="209"/>
      <c r="T382" s="209"/>
      <c r="U382" s="209"/>
      <c r="V382" s="17" t="s">
        <v>1095</v>
      </c>
      <c r="W382" s="17" t="s">
        <v>1095</v>
      </c>
      <c r="X382" s="17" t="s">
        <v>1095</v>
      </c>
      <c r="Y382" s="62">
        <f>AVERAGE(22140, 26279)</f>
        <v>24209.5</v>
      </c>
      <c r="Z382" s="21">
        <v>270</v>
      </c>
      <c r="AA382" s="58">
        <f>Table1[[#This Row],[Annual Savings]]/Table1[[#This Row],[Annual Students]]</f>
        <v>89.664814814814818</v>
      </c>
      <c r="AB382" s="21">
        <v>0</v>
      </c>
      <c r="AC382" s="21">
        <v>95</v>
      </c>
      <c r="AD382" s="21">
        <v>175</v>
      </c>
      <c r="AE382" s="17" t="s">
        <v>1863</v>
      </c>
      <c r="AF382" s="58" t="s">
        <v>129</v>
      </c>
      <c r="AG382" s="58"/>
      <c r="AH382" s="58"/>
      <c r="AI382" s="111" t="s">
        <v>130</v>
      </c>
      <c r="AJ382" s="21">
        <v>0</v>
      </c>
      <c r="AK382" s="21">
        <v>0</v>
      </c>
      <c r="AL382" s="21">
        <v>0</v>
      </c>
      <c r="AM382" s="58">
        <f t="shared" si="222"/>
        <v>0</v>
      </c>
      <c r="AN382" s="21">
        <v>0</v>
      </c>
      <c r="AO382" s="58">
        <f t="shared" si="223"/>
        <v>0</v>
      </c>
      <c r="AP382" s="21">
        <v>0</v>
      </c>
      <c r="AQ382" s="58">
        <f t="shared" si="224"/>
        <v>0</v>
      </c>
      <c r="AR382" s="21">
        <v>0</v>
      </c>
      <c r="AS382" s="21">
        <v>0</v>
      </c>
      <c r="AT382" s="21">
        <v>0</v>
      </c>
      <c r="AU382" s="58">
        <f t="shared" si="225"/>
        <v>0</v>
      </c>
      <c r="AV382" s="21">
        <v>0</v>
      </c>
      <c r="AW382" s="21">
        <v>0</v>
      </c>
      <c r="AX382" s="21">
        <v>0</v>
      </c>
      <c r="AY382" s="21">
        <v>0</v>
      </c>
      <c r="AZ382" s="21">
        <v>0</v>
      </c>
      <c r="BA382" s="21">
        <v>0</v>
      </c>
      <c r="BB382" s="21">
        <v>0</v>
      </c>
      <c r="BC382" s="21">
        <v>0</v>
      </c>
      <c r="BD382" s="21">
        <v>0</v>
      </c>
      <c r="BE382" s="21">
        <v>0</v>
      </c>
      <c r="BF382" s="21">
        <v>0</v>
      </c>
      <c r="BG382" s="21">
        <v>0</v>
      </c>
      <c r="BH382" s="21">
        <v>0</v>
      </c>
      <c r="BI382" s="21">
        <v>0</v>
      </c>
      <c r="BJ382" s="21">
        <v>0</v>
      </c>
      <c r="BK382" s="21">
        <v>0</v>
      </c>
      <c r="BL382" s="17" t="s">
        <v>130</v>
      </c>
      <c r="BM382" s="21">
        <v>0</v>
      </c>
      <c r="BN382" s="21">
        <v>0</v>
      </c>
      <c r="BO382" s="21">
        <v>0</v>
      </c>
      <c r="BP382" s="21">
        <v>0</v>
      </c>
      <c r="BQ382" s="21">
        <v>0</v>
      </c>
      <c r="BR382" s="21">
        <v>0</v>
      </c>
      <c r="BS382" s="21">
        <v>0</v>
      </c>
      <c r="BT382" s="21">
        <v>0</v>
      </c>
      <c r="BU382" s="21">
        <v>0</v>
      </c>
      <c r="BV382" s="21">
        <v>0</v>
      </c>
      <c r="BW382" s="21">
        <v>0</v>
      </c>
      <c r="BX382" s="131">
        <f>Table1[[#This Row],[Summer 2018 Price Check]]*Table1[[#This Row],[Spring 2019 Students]]</f>
        <v>0</v>
      </c>
      <c r="BY382" s="31">
        <f t="shared" si="226"/>
        <v>0</v>
      </c>
      <c r="BZ382" s="58">
        <f t="shared" si="227"/>
        <v>0</v>
      </c>
      <c r="CA382" s="58" t="s">
        <v>130</v>
      </c>
      <c r="CB382" s="31">
        <f t="shared" si="228"/>
        <v>0</v>
      </c>
      <c r="CC382" s="31">
        <v>0</v>
      </c>
      <c r="CD382" s="31">
        <f t="shared" si="229"/>
        <v>0</v>
      </c>
      <c r="CE382" s="21">
        <f t="shared" si="230"/>
        <v>270</v>
      </c>
      <c r="CF382" s="58">
        <v>89.664814814814818</v>
      </c>
      <c r="CG382" s="131">
        <f t="shared" si="233"/>
        <v>24209.5</v>
      </c>
      <c r="CH382" s="17" t="s">
        <v>1863</v>
      </c>
      <c r="CI382" s="132">
        <f>IF(Table1[[#This Row],[Check 3 Status]]="Continued", Table1[[#This Row],[Check 3 Students Summer]], 0)</f>
        <v>0</v>
      </c>
      <c r="CJ382" s="131">
        <f>Table1[[#This Row],[Check 3 Per Student Savings]]*CI382</f>
        <v>0</v>
      </c>
      <c r="CK382" s="132">
        <f>IF(Table1[[#This Row],[Check 3 Status]]="Continued", Table1[[#This Row],[Check 3 Students Fall]], 0)</f>
        <v>0</v>
      </c>
      <c r="CL382" s="131">
        <f>Table1[[#This Row],[Check 3 Per Student Savings]]*CK382</f>
        <v>0</v>
      </c>
      <c r="CM382" s="124">
        <f>IF(Table1[[#This Row],[Check 3 Status]]="Continued", Table1[[#This Row],[Check 3 Students Spring]], 0)</f>
        <v>0</v>
      </c>
      <c r="CN382" s="123">
        <f>Table1[[#This Row],[Check 3 Per Student Savings]]*CM382</f>
        <v>0</v>
      </c>
      <c r="CO382" s="124">
        <f t="shared" si="231"/>
        <v>0</v>
      </c>
      <c r="CP382" s="123">
        <f t="shared" si="232"/>
        <v>0</v>
      </c>
      <c r="CQ382" s="123" t="s">
        <v>130</v>
      </c>
      <c r="CR382" s="124">
        <v>0</v>
      </c>
      <c r="CS382" s="124">
        <v>95</v>
      </c>
      <c r="CT382" s="124">
        <v>175</v>
      </c>
      <c r="CU382" s="124">
        <f t="shared" si="210"/>
        <v>270</v>
      </c>
      <c r="CV382" s="123">
        <v>89.664814814814818</v>
      </c>
      <c r="CW382" s="123">
        <f t="shared" si="211"/>
        <v>24209.5</v>
      </c>
      <c r="CX382" s="17" t="s">
        <v>1863</v>
      </c>
      <c r="CY382" s="124">
        <v>0</v>
      </c>
      <c r="CZ382" s="58">
        <f>Table1[[#This Row],[Check 4 Per Student Savings]]*CY382</f>
        <v>0</v>
      </c>
      <c r="DA382" s="124">
        <v>0</v>
      </c>
      <c r="DB382" s="123">
        <f>Table1[[#This Row],[Check 4 Per Student Savings]]*DA382</f>
        <v>0</v>
      </c>
      <c r="DC382" s="21">
        <f>IF(Table1[[#This Row],[Check 4 Status]]="Continued", Table1[[#This Row],[Check 4 Students Spring]], 0)</f>
        <v>175</v>
      </c>
      <c r="DD382" s="58">
        <f>Table1[[#This Row],[Check 4 Per Student Savings]]*DC382</f>
        <v>15691.342592592593</v>
      </c>
      <c r="DE382" s="58">
        <f t="shared" si="212"/>
        <v>175</v>
      </c>
      <c r="DF382" s="58">
        <f t="shared" si="213"/>
        <v>15691.342592592593</v>
      </c>
      <c r="DG38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175</v>
      </c>
      <c r="DH38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15691.342592592593</v>
      </c>
      <c r="DI382" s="111">
        <f>Table1[[#This Row],[Grand Total Savings]]/Table1[[#This Row],[Total Award]]</f>
        <v>0.52440821444397412</v>
      </c>
      <c r="DJ382" s="31"/>
      <c r="DL382" s="31"/>
      <c r="DM382" s="207"/>
      <c r="DN382" s="58"/>
      <c r="DO382" s="31"/>
      <c r="DP382" s="58"/>
      <c r="DQ382" s="58"/>
      <c r="EC382" s="17"/>
      <c r="ED382" s="17"/>
      <c r="EE382" s="17"/>
      <c r="EF382" s="17"/>
      <c r="EG382" s="21"/>
      <c r="EH382" s="58"/>
      <c r="EI382" s="21"/>
      <c r="EJ382" s="21"/>
    </row>
    <row r="383" spans="1:142" ht="16.5" thickTop="1" thickBot="1" x14ac:dyDescent="0.3">
      <c r="A383" s="128">
        <v>507</v>
      </c>
      <c r="B383" s="128"/>
      <c r="C383" s="128"/>
      <c r="D383" s="129"/>
      <c r="E383" s="130"/>
      <c r="F383" s="130"/>
      <c r="G383" s="200" t="s">
        <v>1862</v>
      </c>
      <c r="H383" s="95" t="s">
        <v>5</v>
      </c>
      <c r="I383" s="226" t="s">
        <v>118</v>
      </c>
      <c r="J383" s="17" t="s">
        <v>499</v>
      </c>
      <c r="K383" s="58">
        <v>10800</v>
      </c>
      <c r="L383" s="58" t="s">
        <v>1863</v>
      </c>
      <c r="M383" s="17" t="s">
        <v>1801</v>
      </c>
      <c r="N383" s="17" t="s">
        <v>1802</v>
      </c>
      <c r="O383" s="17" t="s">
        <v>1834</v>
      </c>
      <c r="P383" s="17" t="s">
        <v>1849</v>
      </c>
      <c r="Q383" s="101" t="s">
        <v>272</v>
      </c>
      <c r="R383" s="101"/>
      <c r="S383" s="209"/>
      <c r="T383" s="209"/>
      <c r="U383" s="209"/>
      <c r="V383" s="17" t="s">
        <v>1095</v>
      </c>
      <c r="W383" s="17" t="s">
        <v>1095</v>
      </c>
      <c r="X383" s="17" t="s">
        <v>1095</v>
      </c>
      <c r="Y383" s="62">
        <v>59270.2</v>
      </c>
      <c r="Z383" s="21">
        <v>220</v>
      </c>
      <c r="AA383" s="58">
        <f>Table1[[#This Row],[Annual Savings]]/Table1[[#This Row],[Annual Students]]</f>
        <v>269.40999999999997</v>
      </c>
      <c r="AB383" s="21">
        <v>20</v>
      </c>
      <c r="AC383" s="21">
        <v>80</v>
      </c>
      <c r="AD383" s="21">
        <v>120</v>
      </c>
      <c r="AE383" s="17" t="s">
        <v>1863</v>
      </c>
      <c r="AF383" s="58" t="s">
        <v>129</v>
      </c>
      <c r="AG383" s="58"/>
      <c r="AH383" s="58"/>
      <c r="AI383" s="111" t="s">
        <v>130</v>
      </c>
      <c r="AJ383" s="21">
        <v>0</v>
      </c>
      <c r="AK383" s="21">
        <v>0</v>
      </c>
      <c r="AL383" s="21">
        <v>0</v>
      </c>
      <c r="AM383" s="58">
        <f t="shared" si="222"/>
        <v>0</v>
      </c>
      <c r="AN383" s="21">
        <v>0</v>
      </c>
      <c r="AO383" s="58">
        <f t="shared" si="223"/>
        <v>0</v>
      </c>
      <c r="AP383" s="21">
        <v>0</v>
      </c>
      <c r="AQ383" s="58">
        <f t="shared" si="224"/>
        <v>0</v>
      </c>
      <c r="AR383" s="21">
        <v>0</v>
      </c>
      <c r="AS383" s="21">
        <v>0</v>
      </c>
      <c r="AT383" s="21">
        <v>0</v>
      </c>
      <c r="AU383" s="58">
        <f t="shared" si="225"/>
        <v>0</v>
      </c>
      <c r="AV383" s="21">
        <v>0</v>
      </c>
      <c r="AW383" s="21">
        <v>0</v>
      </c>
      <c r="AX383" s="21">
        <v>0</v>
      </c>
      <c r="AY383" s="21">
        <v>0</v>
      </c>
      <c r="AZ383" s="21">
        <v>0</v>
      </c>
      <c r="BA383" s="21">
        <v>0</v>
      </c>
      <c r="BB383" s="21">
        <v>0</v>
      </c>
      <c r="BC383" s="21">
        <v>0</v>
      </c>
      <c r="BD383" s="21">
        <v>0</v>
      </c>
      <c r="BE383" s="21">
        <v>0</v>
      </c>
      <c r="BF383" s="21">
        <v>0</v>
      </c>
      <c r="BG383" s="21">
        <v>0</v>
      </c>
      <c r="BH383" s="21">
        <v>0</v>
      </c>
      <c r="BI383" s="21">
        <v>0</v>
      </c>
      <c r="BJ383" s="21">
        <v>0</v>
      </c>
      <c r="BK383" s="21">
        <v>0</v>
      </c>
      <c r="BL383" s="17" t="s">
        <v>130</v>
      </c>
      <c r="BM383" s="21">
        <v>0</v>
      </c>
      <c r="BN383" s="21">
        <v>0</v>
      </c>
      <c r="BO383" s="21">
        <v>0</v>
      </c>
      <c r="BP383" s="21">
        <v>0</v>
      </c>
      <c r="BQ383" s="21">
        <v>0</v>
      </c>
      <c r="BR383" s="21">
        <v>0</v>
      </c>
      <c r="BS383" s="21">
        <v>0</v>
      </c>
      <c r="BT383" s="21">
        <v>0</v>
      </c>
      <c r="BU383" s="21">
        <v>0</v>
      </c>
      <c r="BV383" s="21">
        <v>0</v>
      </c>
      <c r="BW383" s="21">
        <v>0</v>
      </c>
      <c r="BX383" s="131">
        <f>Table1[[#This Row],[Summer 2018 Price Check]]*Table1[[#This Row],[Spring 2019 Students]]</f>
        <v>0</v>
      </c>
      <c r="BY383" s="31">
        <f t="shared" si="226"/>
        <v>0</v>
      </c>
      <c r="BZ383" s="58">
        <f t="shared" si="227"/>
        <v>0</v>
      </c>
      <c r="CA383" s="58" t="s">
        <v>130</v>
      </c>
      <c r="CB383" s="31">
        <f t="shared" si="228"/>
        <v>0</v>
      </c>
      <c r="CC383" s="31">
        <v>0</v>
      </c>
      <c r="CD383" s="31">
        <f t="shared" si="229"/>
        <v>0</v>
      </c>
      <c r="CE383" s="21">
        <f t="shared" si="230"/>
        <v>220</v>
      </c>
      <c r="CF383" s="58">
        <v>269.40999999999997</v>
      </c>
      <c r="CG383" s="131">
        <f t="shared" si="233"/>
        <v>59270.19999999999</v>
      </c>
      <c r="CH383" s="17" t="s">
        <v>1863</v>
      </c>
      <c r="CI383" s="132">
        <f>IF(Table1[[#This Row],[Check 3 Status]]="Continued", Table1[[#This Row],[Check 3 Students Summer]], 0)</f>
        <v>0</v>
      </c>
      <c r="CJ383" s="131">
        <f>Table1[[#This Row],[Check 3 Per Student Savings]]*CI383</f>
        <v>0</v>
      </c>
      <c r="CK383" s="132">
        <f>IF(Table1[[#This Row],[Check 3 Status]]="Continued", Table1[[#This Row],[Check 3 Students Fall]], 0)</f>
        <v>0</v>
      </c>
      <c r="CL383" s="131">
        <f>Table1[[#This Row],[Check 3 Per Student Savings]]*CK383</f>
        <v>0</v>
      </c>
      <c r="CM383" s="124">
        <f>IF(Table1[[#This Row],[Check 3 Status]]="Continued", Table1[[#This Row],[Check 3 Students Spring]], 0)</f>
        <v>0</v>
      </c>
      <c r="CN383" s="123">
        <f>Table1[[#This Row],[Check 3 Per Student Savings]]*CM383</f>
        <v>0</v>
      </c>
      <c r="CO383" s="124">
        <f t="shared" si="231"/>
        <v>0</v>
      </c>
      <c r="CP383" s="123">
        <f t="shared" si="232"/>
        <v>0</v>
      </c>
      <c r="CQ383" s="123" t="s">
        <v>130</v>
      </c>
      <c r="CR383" s="124">
        <v>20</v>
      </c>
      <c r="CS383" s="124">
        <v>80</v>
      </c>
      <c r="CT383" s="124">
        <v>120</v>
      </c>
      <c r="CU383" s="124">
        <f t="shared" si="210"/>
        <v>220</v>
      </c>
      <c r="CV383" s="123">
        <v>269.40999999999997</v>
      </c>
      <c r="CW383" s="123">
        <f t="shared" si="211"/>
        <v>59270.19999999999</v>
      </c>
      <c r="CX383" s="17" t="s">
        <v>1863</v>
      </c>
      <c r="CY383" s="124">
        <v>0</v>
      </c>
      <c r="CZ383" s="58">
        <f>Table1[[#This Row],[Check 4 Per Student Savings]]*CY383</f>
        <v>0</v>
      </c>
      <c r="DA383" s="124">
        <v>0</v>
      </c>
      <c r="DB383" s="123">
        <f>Table1[[#This Row],[Check 4 Per Student Savings]]*DA383</f>
        <v>0</v>
      </c>
      <c r="DC383" s="21">
        <f>IF(Table1[[#This Row],[Check 4 Status]]="Continued", Table1[[#This Row],[Check 4 Students Spring]], 0)</f>
        <v>120</v>
      </c>
      <c r="DD383" s="58">
        <f>Table1[[#This Row],[Check 4 Per Student Savings]]*DC383</f>
        <v>32329.199999999997</v>
      </c>
      <c r="DE383" s="58">
        <f t="shared" si="212"/>
        <v>120</v>
      </c>
      <c r="DF383" s="58">
        <f t="shared" si="213"/>
        <v>32329.199999999997</v>
      </c>
      <c r="DG38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120</v>
      </c>
      <c r="DH38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32329.199999999997</v>
      </c>
      <c r="DI383" s="111">
        <f>Table1[[#This Row],[Grand Total Savings]]/Table1[[#This Row],[Total Award]]</f>
        <v>2.9934444444444441</v>
      </c>
      <c r="DJ383" s="31"/>
      <c r="DL383" s="31"/>
      <c r="DM383" s="207"/>
      <c r="DN383" s="58"/>
      <c r="DO383" s="31"/>
      <c r="DP383" s="58"/>
      <c r="DQ383" s="58"/>
      <c r="EC383" s="17"/>
      <c r="ED383" s="17"/>
      <c r="EE383" s="17"/>
      <c r="EF383" s="17"/>
      <c r="EG383" s="21"/>
      <c r="EH383" s="58"/>
      <c r="EI383" s="21"/>
      <c r="EJ383" s="21"/>
    </row>
    <row r="384" spans="1:142" ht="16.5" thickTop="1" thickBot="1" x14ac:dyDescent="0.3">
      <c r="A384" s="128">
        <v>508</v>
      </c>
      <c r="B384" s="128"/>
      <c r="C384" s="128"/>
      <c r="D384" s="129">
        <v>517755</v>
      </c>
      <c r="E384" s="130"/>
      <c r="F384" s="130"/>
      <c r="G384" s="200" t="s">
        <v>1862</v>
      </c>
      <c r="H384" s="95" t="s">
        <v>5</v>
      </c>
      <c r="I384" s="226" t="s">
        <v>118</v>
      </c>
      <c r="J384" s="17" t="s">
        <v>132</v>
      </c>
      <c r="K384" s="58">
        <v>11800</v>
      </c>
      <c r="L384" s="58" t="s">
        <v>1863</v>
      </c>
      <c r="M384" s="17" t="s">
        <v>1803</v>
      </c>
      <c r="N384" s="17" t="s">
        <v>1804</v>
      </c>
      <c r="O384" s="17" t="s">
        <v>1835</v>
      </c>
      <c r="P384" s="17" t="s">
        <v>1850</v>
      </c>
      <c r="Q384" s="101" t="s">
        <v>223</v>
      </c>
      <c r="R384" s="101"/>
      <c r="S384" s="209"/>
      <c r="T384" s="209"/>
      <c r="U384" s="209"/>
      <c r="V384" s="17" t="s">
        <v>1095</v>
      </c>
      <c r="W384" s="17" t="s">
        <v>1095</v>
      </c>
      <c r="X384" s="17" t="s">
        <v>1095</v>
      </c>
      <c r="Y384" s="62">
        <v>28692</v>
      </c>
      <c r="Z384" s="21">
        <v>160</v>
      </c>
      <c r="AA384" s="58">
        <f>Table1[[#This Row],[Annual Savings]]/Table1[[#This Row],[Annual Students]]</f>
        <v>179.32499999999999</v>
      </c>
      <c r="AB384" s="21">
        <v>0</v>
      </c>
      <c r="AC384" s="21">
        <v>80</v>
      </c>
      <c r="AD384" s="21">
        <v>80</v>
      </c>
      <c r="AE384" s="17" t="s">
        <v>1863</v>
      </c>
      <c r="AF384" s="58" t="s">
        <v>129</v>
      </c>
      <c r="AG384" s="58"/>
      <c r="AH384" s="58"/>
      <c r="AI384" s="111" t="s">
        <v>130</v>
      </c>
      <c r="AJ384" s="21">
        <v>0</v>
      </c>
      <c r="AK384" s="21">
        <v>0</v>
      </c>
      <c r="AL384" s="21">
        <v>0</v>
      </c>
      <c r="AM384" s="58">
        <f t="shared" si="222"/>
        <v>0</v>
      </c>
      <c r="AN384" s="21">
        <v>0</v>
      </c>
      <c r="AO384" s="58">
        <f t="shared" si="223"/>
        <v>0</v>
      </c>
      <c r="AP384" s="21">
        <v>0</v>
      </c>
      <c r="AQ384" s="58">
        <f t="shared" si="224"/>
        <v>0</v>
      </c>
      <c r="AR384" s="21">
        <v>0</v>
      </c>
      <c r="AS384" s="21">
        <v>0</v>
      </c>
      <c r="AT384" s="21">
        <v>0</v>
      </c>
      <c r="AU384" s="58">
        <f t="shared" si="225"/>
        <v>0</v>
      </c>
      <c r="AV384" s="21">
        <v>0</v>
      </c>
      <c r="AW384" s="21">
        <v>0</v>
      </c>
      <c r="AX384" s="21">
        <v>0</v>
      </c>
      <c r="AY384" s="21">
        <v>0</v>
      </c>
      <c r="AZ384" s="21">
        <v>0</v>
      </c>
      <c r="BA384" s="21">
        <v>0</v>
      </c>
      <c r="BB384" s="21">
        <v>0</v>
      </c>
      <c r="BC384" s="21">
        <v>0</v>
      </c>
      <c r="BD384" s="21">
        <v>0</v>
      </c>
      <c r="BE384" s="21">
        <v>0</v>
      </c>
      <c r="BF384" s="21">
        <v>0</v>
      </c>
      <c r="BG384" s="21">
        <v>0</v>
      </c>
      <c r="BH384" s="21">
        <v>0</v>
      </c>
      <c r="BI384" s="21">
        <v>0</v>
      </c>
      <c r="BJ384" s="21">
        <v>0</v>
      </c>
      <c r="BK384" s="21">
        <v>0</v>
      </c>
      <c r="BL384" s="17" t="s">
        <v>130</v>
      </c>
      <c r="BM384" s="21">
        <v>0</v>
      </c>
      <c r="BN384" s="21">
        <v>0</v>
      </c>
      <c r="BO384" s="21">
        <v>0</v>
      </c>
      <c r="BP384" s="21">
        <v>0</v>
      </c>
      <c r="BQ384" s="21">
        <v>0</v>
      </c>
      <c r="BR384" s="21">
        <v>0</v>
      </c>
      <c r="BS384" s="21">
        <v>0</v>
      </c>
      <c r="BT384" s="21">
        <v>0</v>
      </c>
      <c r="BU384" s="21">
        <v>0</v>
      </c>
      <c r="BV384" s="21">
        <v>0</v>
      </c>
      <c r="BW384" s="21">
        <v>0</v>
      </c>
      <c r="BX384" s="131">
        <f>Table1[[#This Row],[Summer 2018 Price Check]]*Table1[[#This Row],[Spring 2019 Students]]</f>
        <v>0</v>
      </c>
      <c r="BY384" s="31">
        <f t="shared" si="226"/>
        <v>0</v>
      </c>
      <c r="BZ384" s="58">
        <f t="shared" si="227"/>
        <v>0</v>
      </c>
      <c r="CA384" s="58" t="s">
        <v>130</v>
      </c>
      <c r="CB384" s="31">
        <f t="shared" si="228"/>
        <v>0</v>
      </c>
      <c r="CC384" s="31">
        <v>0</v>
      </c>
      <c r="CD384" s="31">
        <f t="shared" si="229"/>
        <v>0</v>
      </c>
      <c r="CE384" s="21">
        <f t="shared" si="230"/>
        <v>160</v>
      </c>
      <c r="CF384" s="58">
        <v>179.32499999999999</v>
      </c>
      <c r="CG384" s="131">
        <f t="shared" si="233"/>
        <v>28692</v>
      </c>
      <c r="CH384" s="17" t="s">
        <v>1863</v>
      </c>
      <c r="CI384" s="132">
        <f>IF(Table1[[#This Row],[Check 3 Status]]="Continued", Table1[[#This Row],[Check 3 Students Summer]], 0)</f>
        <v>0</v>
      </c>
      <c r="CJ384" s="131">
        <f>Table1[[#This Row],[Check 3 Per Student Savings]]*CI384</f>
        <v>0</v>
      </c>
      <c r="CK384" s="132">
        <f>IF(Table1[[#This Row],[Check 3 Status]]="Continued", Table1[[#This Row],[Check 3 Students Fall]], 0)</f>
        <v>0</v>
      </c>
      <c r="CL384" s="131">
        <f>Table1[[#This Row],[Check 3 Per Student Savings]]*CK384</f>
        <v>0</v>
      </c>
      <c r="CM384" s="124">
        <f>IF(Table1[[#This Row],[Check 3 Status]]="Continued", Table1[[#This Row],[Check 3 Students Spring]], 0)</f>
        <v>0</v>
      </c>
      <c r="CN384" s="123">
        <f>Table1[[#This Row],[Check 3 Per Student Savings]]*CM384</f>
        <v>0</v>
      </c>
      <c r="CO384" s="124">
        <f t="shared" si="231"/>
        <v>0</v>
      </c>
      <c r="CP384" s="123">
        <f t="shared" si="232"/>
        <v>0</v>
      </c>
      <c r="CQ384" s="123" t="s">
        <v>130</v>
      </c>
      <c r="CR384" s="124">
        <v>0</v>
      </c>
      <c r="CS384" s="124">
        <v>80</v>
      </c>
      <c r="CT384" s="124">
        <v>80</v>
      </c>
      <c r="CU384" s="124">
        <f t="shared" si="210"/>
        <v>160</v>
      </c>
      <c r="CV384" s="123">
        <v>179.32499999999999</v>
      </c>
      <c r="CW384" s="123">
        <f t="shared" si="211"/>
        <v>28692</v>
      </c>
      <c r="CX384" s="17" t="s">
        <v>1863</v>
      </c>
      <c r="CY384" s="124">
        <v>0</v>
      </c>
      <c r="CZ384" s="58">
        <f>Table1[[#This Row],[Check 4 Per Student Savings]]*CY384</f>
        <v>0</v>
      </c>
      <c r="DA384" s="124">
        <v>0</v>
      </c>
      <c r="DB384" s="123">
        <f>Table1[[#This Row],[Check 4 Per Student Savings]]*DA384</f>
        <v>0</v>
      </c>
      <c r="DC384" s="21">
        <f>IF(Table1[[#This Row],[Check 4 Status]]="Continued", Table1[[#This Row],[Check 4 Students Spring]], 0)</f>
        <v>80</v>
      </c>
      <c r="DD384" s="58">
        <f>Table1[[#This Row],[Check 4 Per Student Savings]]*DC384</f>
        <v>14346</v>
      </c>
      <c r="DE384" s="58">
        <f t="shared" si="212"/>
        <v>80</v>
      </c>
      <c r="DF384" s="58">
        <f t="shared" si="213"/>
        <v>14346</v>
      </c>
      <c r="DG38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80</v>
      </c>
      <c r="DH38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14346</v>
      </c>
      <c r="DI384" s="111">
        <f>Table1[[#This Row],[Grand Total Savings]]/Table1[[#This Row],[Total Award]]</f>
        <v>1.2157627118644068</v>
      </c>
      <c r="DJ384" s="31"/>
      <c r="DL384" s="31"/>
      <c r="DM384" s="207"/>
      <c r="DN384" s="58"/>
      <c r="DO384" s="31"/>
      <c r="DP384" s="58"/>
      <c r="DQ384" s="58"/>
      <c r="EC384" s="17"/>
      <c r="ED384" s="17"/>
      <c r="EE384" s="17"/>
      <c r="EF384" s="17"/>
      <c r="EG384" s="21"/>
      <c r="EH384" s="58"/>
      <c r="EI384" s="21"/>
      <c r="EJ384" s="21"/>
    </row>
    <row r="385" spans="1:140" ht="16.5" thickTop="1" thickBot="1" x14ac:dyDescent="0.3">
      <c r="A385" s="128">
        <v>509</v>
      </c>
      <c r="B385" s="128"/>
      <c r="C385" s="128"/>
      <c r="D385" s="129">
        <v>517629</v>
      </c>
      <c r="E385" s="130"/>
      <c r="F385" s="130"/>
      <c r="G385" s="200" t="s">
        <v>1862</v>
      </c>
      <c r="H385" s="95" t="s">
        <v>5</v>
      </c>
      <c r="I385" s="226" t="s">
        <v>118</v>
      </c>
      <c r="J385" s="17" t="s">
        <v>172</v>
      </c>
      <c r="K385" s="58">
        <v>29016</v>
      </c>
      <c r="L385" s="58" t="s">
        <v>1863</v>
      </c>
      <c r="M385" s="17" t="s">
        <v>1805</v>
      </c>
      <c r="N385" s="17" t="s">
        <v>1806</v>
      </c>
      <c r="O385" s="17" t="s">
        <v>1836</v>
      </c>
      <c r="P385" s="17" t="s">
        <v>1851</v>
      </c>
      <c r="Q385" s="101" t="s">
        <v>317</v>
      </c>
      <c r="R385" s="101"/>
      <c r="S385" s="209"/>
      <c r="T385" s="209"/>
      <c r="U385" s="209"/>
      <c r="V385" s="17" t="s">
        <v>1095</v>
      </c>
      <c r="W385" s="17" t="s">
        <v>1095</v>
      </c>
      <c r="X385" s="17" t="s">
        <v>1095</v>
      </c>
      <c r="Y385" s="62">
        <f>AVERAGE(139500, 102300)</f>
        <v>120900</v>
      </c>
      <c r="Z385" s="21">
        <v>780</v>
      </c>
      <c r="AA385" s="58">
        <f>Table1[[#This Row],[Annual Savings]]/Table1[[#This Row],[Annual Students]]</f>
        <v>155</v>
      </c>
      <c r="AB385" s="21">
        <v>45</v>
      </c>
      <c r="AC385" s="21">
        <v>400</v>
      </c>
      <c r="AD385" s="21">
        <v>400</v>
      </c>
      <c r="AE385" s="17" t="s">
        <v>1863</v>
      </c>
      <c r="AF385" s="58" t="s">
        <v>129</v>
      </c>
      <c r="AG385" s="58"/>
      <c r="AH385" s="58"/>
      <c r="AI385" s="111" t="s">
        <v>130</v>
      </c>
      <c r="AJ385" s="21">
        <v>0</v>
      </c>
      <c r="AK385" s="21">
        <v>0</v>
      </c>
      <c r="AL385" s="21">
        <v>0</v>
      </c>
      <c r="AM385" s="58">
        <f t="shared" si="222"/>
        <v>0</v>
      </c>
      <c r="AN385" s="21">
        <v>0</v>
      </c>
      <c r="AO385" s="58">
        <f t="shared" si="223"/>
        <v>0</v>
      </c>
      <c r="AP385" s="21">
        <v>0</v>
      </c>
      <c r="AQ385" s="58">
        <f t="shared" si="224"/>
        <v>0</v>
      </c>
      <c r="AR385" s="21">
        <v>0</v>
      </c>
      <c r="AS385" s="21">
        <v>0</v>
      </c>
      <c r="AT385" s="21">
        <v>0</v>
      </c>
      <c r="AU385" s="58">
        <f t="shared" si="225"/>
        <v>0</v>
      </c>
      <c r="AV385" s="21">
        <v>0</v>
      </c>
      <c r="AW385" s="21">
        <v>0</v>
      </c>
      <c r="AX385" s="21">
        <v>0</v>
      </c>
      <c r="AY385" s="21">
        <v>0</v>
      </c>
      <c r="AZ385" s="21">
        <v>0</v>
      </c>
      <c r="BA385" s="21">
        <v>0</v>
      </c>
      <c r="BB385" s="21">
        <v>0</v>
      </c>
      <c r="BC385" s="21">
        <v>0</v>
      </c>
      <c r="BD385" s="21">
        <v>0</v>
      </c>
      <c r="BE385" s="21">
        <v>0</v>
      </c>
      <c r="BF385" s="21">
        <v>0</v>
      </c>
      <c r="BG385" s="21">
        <v>0</v>
      </c>
      <c r="BH385" s="21">
        <v>0</v>
      </c>
      <c r="BI385" s="21">
        <v>0</v>
      </c>
      <c r="BJ385" s="21">
        <v>0</v>
      </c>
      <c r="BK385" s="21">
        <v>0</v>
      </c>
      <c r="BL385" s="17" t="s">
        <v>130</v>
      </c>
      <c r="BM385" s="21">
        <v>0</v>
      </c>
      <c r="BN385" s="21">
        <v>0</v>
      </c>
      <c r="BO385" s="21">
        <v>0</v>
      </c>
      <c r="BP385" s="21">
        <v>0</v>
      </c>
      <c r="BQ385" s="21">
        <v>0</v>
      </c>
      <c r="BR385" s="21">
        <v>0</v>
      </c>
      <c r="BS385" s="21">
        <v>0</v>
      </c>
      <c r="BT385" s="21">
        <v>0</v>
      </c>
      <c r="BU385" s="21">
        <v>0</v>
      </c>
      <c r="BV385" s="21">
        <v>0</v>
      </c>
      <c r="BW385" s="21">
        <v>0</v>
      </c>
      <c r="BX385" s="131">
        <f>Table1[[#This Row],[Summer 2018 Price Check]]*Table1[[#This Row],[Spring 2019 Students]]</f>
        <v>0</v>
      </c>
      <c r="BY385" s="31">
        <f t="shared" si="226"/>
        <v>0</v>
      </c>
      <c r="BZ385" s="58">
        <f t="shared" si="227"/>
        <v>0</v>
      </c>
      <c r="CA385" s="58" t="s">
        <v>130</v>
      </c>
      <c r="CB385" s="31">
        <f t="shared" si="228"/>
        <v>0</v>
      </c>
      <c r="CC385" s="31">
        <v>0</v>
      </c>
      <c r="CD385" s="31">
        <f t="shared" si="229"/>
        <v>0</v>
      </c>
      <c r="CE385" s="21">
        <f t="shared" si="230"/>
        <v>780</v>
      </c>
      <c r="CF385" s="58">
        <v>155</v>
      </c>
      <c r="CG385" s="131">
        <f t="shared" si="233"/>
        <v>120900</v>
      </c>
      <c r="CH385" s="17" t="s">
        <v>1863</v>
      </c>
      <c r="CI385" s="132">
        <f>IF(Table1[[#This Row],[Check 3 Status]]="Continued", Table1[[#This Row],[Check 3 Students Summer]], 0)</f>
        <v>0</v>
      </c>
      <c r="CJ385" s="131">
        <f>Table1[[#This Row],[Check 3 Per Student Savings]]*CI385</f>
        <v>0</v>
      </c>
      <c r="CK385" s="132">
        <f>IF(Table1[[#This Row],[Check 3 Status]]="Continued", Table1[[#This Row],[Check 3 Students Fall]], 0)</f>
        <v>0</v>
      </c>
      <c r="CL385" s="131">
        <f>Table1[[#This Row],[Check 3 Per Student Savings]]*CK385</f>
        <v>0</v>
      </c>
      <c r="CM385" s="124">
        <f>IF(Table1[[#This Row],[Check 3 Status]]="Continued", Table1[[#This Row],[Check 3 Students Spring]], 0)</f>
        <v>0</v>
      </c>
      <c r="CN385" s="123">
        <f>Table1[[#This Row],[Check 3 Per Student Savings]]*CM385</f>
        <v>0</v>
      </c>
      <c r="CO385" s="124">
        <f t="shared" si="231"/>
        <v>0</v>
      </c>
      <c r="CP385" s="123">
        <f t="shared" si="232"/>
        <v>0</v>
      </c>
      <c r="CQ385" s="123" t="s">
        <v>130</v>
      </c>
      <c r="CR385" s="124">
        <v>45</v>
      </c>
      <c r="CS385" s="124">
        <v>400</v>
      </c>
      <c r="CT385" s="124">
        <v>400</v>
      </c>
      <c r="CU385" s="124">
        <f t="shared" si="210"/>
        <v>845</v>
      </c>
      <c r="CV385" s="123">
        <v>155</v>
      </c>
      <c r="CW385" s="123">
        <f t="shared" si="211"/>
        <v>130975</v>
      </c>
      <c r="CX385" s="17" t="s">
        <v>1863</v>
      </c>
      <c r="CY385" s="124">
        <v>0</v>
      </c>
      <c r="CZ385" s="58">
        <f>Table1[[#This Row],[Check 4 Per Student Savings]]*CY385</f>
        <v>0</v>
      </c>
      <c r="DA385" s="124">
        <v>0</v>
      </c>
      <c r="DB385" s="123">
        <f>Table1[[#This Row],[Check 4 Per Student Savings]]*DA385</f>
        <v>0</v>
      </c>
      <c r="DC385" s="21">
        <f>IF(Table1[[#This Row],[Check 4 Status]]="Continued", Table1[[#This Row],[Check 4 Students Spring]], 0)</f>
        <v>400</v>
      </c>
      <c r="DD385" s="58">
        <f>Table1[[#This Row],[Check 4 Per Student Savings]]*DC385</f>
        <v>62000</v>
      </c>
      <c r="DE385" s="58">
        <f t="shared" si="212"/>
        <v>400</v>
      </c>
      <c r="DF385" s="58">
        <f t="shared" si="213"/>
        <v>62000</v>
      </c>
      <c r="DG38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400</v>
      </c>
      <c r="DH38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62000</v>
      </c>
      <c r="DI385" s="111">
        <f>Table1[[#This Row],[Grand Total Savings]]/Table1[[#This Row],[Total Award]]</f>
        <v>2.1367521367521367</v>
      </c>
      <c r="DJ385" s="31"/>
      <c r="DL385" s="31"/>
      <c r="DM385" s="207"/>
      <c r="DN385" s="58"/>
      <c r="DO385" s="31"/>
      <c r="DP385" s="58"/>
      <c r="DQ385" s="58"/>
      <c r="EC385" s="17"/>
      <c r="ED385" s="17"/>
      <c r="EE385" s="17"/>
      <c r="EF385" s="17"/>
      <c r="EG385" s="21"/>
      <c r="EH385" s="58"/>
      <c r="EI385" s="21"/>
      <c r="EJ385" s="21"/>
    </row>
    <row r="386" spans="1:140" ht="16.5" thickTop="1" thickBot="1" x14ac:dyDescent="0.3">
      <c r="A386" s="128">
        <v>516</v>
      </c>
      <c r="B386" s="128"/>
      <c r="C386" s="128"/>
      <c r="D386" s="129"/>
      <c r="E386" s="130"/>
      <c r="F386" s="130"/>
      <c r="G386" s="200" t="s">
        <v>1862</v>
      </c>
      <c r="H386" s="95" t="s">
        <v>5</v>
      </c>
      <c r="I386" s="226" t="s">
        <v>118</v>
      </c>
      <c r="J386" s="17" t="s">
        <v>243</v>
      </c>
      <c r="K386" s="58">
        <v>30000</v>
      </c>
      <c r="L386" s="58" t="s">
        <v>1863</v>
      </c>
      <c r="M386" s="17" t="s">
        <v>1807</v>
      </c>
      <c r="N386" s="17" t="s">
        <v>1808</v>
      </c>
      <c r="O386" s="17" t="s">
        <v>680</v>
      </c>
      <c r="P386" s="17" t="s">
        <v>1852</v>
      </c>
      <c r="Q386" s="101" t="s">
        <v>148</v>
      </c>
      <c r="R386" s="101"/>
      <c r="S386" s="209"/>
      <c r="T386" s="209"/>
      <c r="U386" s="209"/>
      <c r="V386" s="17" t="s">
        <v>1095</v>
      </c>
      <c r="W386" s="17" t="s">
        <v>1095</v>
      </c>
      <c r="X386" s="17" t="s">
        <v>1095</v>
      </c>
      <c r="Y386" s="62">
        <v>53552.07</v>
      </c>
      <c r="Z386" s="21">
        <v>741.33</v>
      </c>
      <c r="AA386" s="58">
        <f>Table1[[#This Row],[Annual Savings]]/Table1[[#This Row],[Annual Students]]</f>
        <v>72.237829306786452</v>
      </c>
      <c r="AB386" s="21">
        <v>51.33</v>
      </c>
      <c r="AC386" s="21">
        <v>325.33</v>
      </c>
      <c r="AD386" s="21">
        <v>364.67</v>
      </c>
      <c r="AE386" s="17" t="s">
        <v>1863</v>
      </c>
      <c r="AF386" s="58" t="s">
        <v>129</v>
      </c>
      <c r="AG386" s="58"/>
      <c r="AH386" s="58"/>
      <c r="AI386" s="111" t="s">
        <v>130</v>
      </c>
      <c r="AJ386" s="21">
        <v>0</v>
      </c>
      <c r="AK386" s="21">
        <v>0</v>
      </c>
      <c r="AL386" s="21">
        <v>0</v>
      </c>
      <c r="AM386" s="58">
        <f t="shared" si="222"/>
        <v>0</v>
      </c>
      <c r="AN386" s="21">
        <v>0</v>
      </c>
      <c r="AO386" s="58">
        <f t="shared" si="223"/>
        <v>0</v>
      </c>
      <c r="AP386" s="21">
        <v>0</v>
      </c>
      <c r="AQ386" s="58">
        <f t="shared" si="224"/>
        <v>0</v>
      </c>
      <c r="AR386" s="21">
        <v>0</v>
      </c>
      <c r="AS386" s="21">
        <v>0</v>
      </c>
      <c r="AT386" s="21">
        <v>0</v>
      </c>
      <c r="AU386" s="58">
        <f t="shared" si="225"/>
        <v>0</v>
      </c>
      <c r="AV386" s="21">
        <v>0</v>
      </c>
      <c r="AW386" s="21">
        <v>0</v>
      </c>
      <c r="AX386" s="21">
        <v>0</v>
      </c>
      <c r="AY386" s="21">
        <v>0</v>
      </c>
      <c r="AZ386" s="21">
        <v>0</v>
      </c>
      <c r="BA386" s="21">
        <v>0</v>
      </c>
      <c r="BB386" s="21">
        <v>0</v>
      </c>
      <c r="BC386" s="21">
        <v>0</v>
      </c>
      <c r="BD386" s="21">
        <v>0</v>
      </c>
      <c r="BE386" s="21">
        <v>0</v>
      </c>
      <c r="BF386" s="21">
        <v>0</v>
      </c>
      <c r="BG386" s="21">
        <v>0</v>
      </c>
      <c r="BH386" s="21">
        <v>0</v>
      </c>
      <c r="BI386" s="21">
        <v>0</v>
      </c>
      <c r="BJ386" s="21">
        <v>0</v>
      </c>
      <c r="BK386" s="21">
        <v>0</v>
      </c>
      <c r="BL386" s="17" t="s">
        <v>130</v>
      </c>
      <c r="BM386" s="21">
        <v>0</v>
      </c>
      <c r="BN386" s="21">
        <v>0</v>
      </c>
      <c r="BO386" s="21">
        <v>0</v>
      </c>
      <c r="BP386" s="21">
        <v>0</v>
      </c>
      <c r="BQ386" s="21">
        <v>0</v>
      </c>
      <c r="BR386" s="21">
        <v>0</v>
      </c>
      <c r="BS386" s="21">
        <v>0</v>
      </c>
      <c r="BT386" s="21">
        <v>0</v>
      </c>
      <c r="BU386" s="21">
        <v>0</v>
      </c>
      <c r="BV386" s="21">
        <v>0</v>
      </c>
      <c r="BW386" s="21">
        <v>0</v>
      </c>
      <c r="BX386" s="131">
        <f>Table1[[#This Row],[Summer 2018 Price Check]]*Table1[[#This Row],[Spring 2019 Students]]</f>
        <v>0</v>
      </c>
      <c r="BY386" s="31">
        <f t="shared" si="226"/>
        <v>0</v>
      </c>
      <c r="BZ386" s="58">
        <f t="shared" si="227"/>
        <v>0</v>
      </c>
      <c r="CA386" s="58" t="s">
        <v>130</v>
      </c>
      <c r="CB386" s="31">
        <f t="shared" si="228"/>
        <v>0</v>
      </c>
      <c r="CC386" s="31">
        <v>0</v>
      </c>
      <c r="CD386" s="31">
        <f t="shared" si="229"/>
        <v>0</v>
      </c>
      <c r="CE386" s="21">
        <f t="shared" si="230"/>
        <v>741.33</v>
      </c>
      <c r="CF386" s="58">
        <v>72.237829306786452</v>
      </c>
      <c r="CG386" s="131">
        <f t="shared" si="233"/>
        <v>53552.07</v>
      </c>
      <c r="CH386" s="17" t="s">
        <v>1863</v>
      </c>
      <c r="CI386" s="132">
        <f>IF(Table1[[#This Row],[Check 3 Status]]="Continued", Table1[[#This Row],[Check 3 Students Summer]], 0)</f>
        <v>0</v>
      </c>
      <c r="CJ386" s="131">
        <f>Table1[[#This Row],[Check 3 Per Student Savings]]*CI386</f>
        <v>0</v>
      </c>
      <c r="CK386" s="132">
        <f>IF(Table1[[#This Row],[Check 3 Status]]="Continued", Table1[[#This Row],[Check 3 Students Fall]], 0)</f>
        <v>0</v>
      </c>
      <c r="CL386" s="131">
        <f>Table1[[#This Row],[Check 3 Per Student Savings]]*CK386</f>
        <v>0</v>
      </c>
      <c r="CM386" s="124">
        <f>IF(Table1[[#This Row],[Check 3 Status]]="Continued", Table1[[#This Row],[Check 3 Students Spring]], 0)</f>
        <v>0</v>
      </c>
      <c r="CN386" s="123">
        <f>Table1[[#This Row],[Check 3 Per Student Savings]]*CM386</f>
        <v>0</v>
      </c>
      <c r="CO386" s="124">
        <f t="shared" si="231"/>
        <v>0</v>
      </c>
      <c r="CP386" s="123">
        <f t="shared" si="232"/>
        <v>0</v>
      </c>
      <c r="CQ386" s="123" t="s">
        <v>130</v>
      </c>
      <c r="CR386" s="124">
        <v>51.33</v>
      </c>
      <c r="CS386" s="124">
        <v>325.33</v>
      </c>
      <c r="CT386" s="124">
        <v>364.67</v>
      </c>
      <c r="CU386" s="124">
        <f t="shared" ref="CU386:CU390" si="234">CR386+CS386+CT386</f>
        <v>741.32999999999993</v>
      </c>
      <c r="CV386" s="123">
        <v>72.237829306786452</v>
      </c>
      <c r="CW386" s="123">
        <f t="shared" ref="CW386:CW449" si="235">CU386*CV386</f>
        <v>53552.069999999992</v>
      </c>
      <c r="CX386" s="17" t="s">
        <v>1863</v>
      </c>
      <c r="CY386" s="124">
        <v>0</v>
      </c>
      <c r="CZ386" s="58">
        <f>Table1[[#This Row],[Check 4 Per Student Savings]]*CY386</f>
        <v>0</v>
      </c>
      <c r="DA386" s="124">
        <v>0</v>
      </c>
      <c r="DB386" s="123">
        <f>Table1[[#This Row],[Check 4 Per Student Savings]]*DA386</f>
        <v>0</v>
      </c>
      <c r="DC386" s="21">
        <f>IF(Table1[[#This Row],[Check 4 Status]]="Continued", Table1[[#This Row],[Check 4 Students Spring]], 0)</f>
        <v>364.67</v>
      </c>
      <c r="DD386" s="58">
        <f>Table1[[#This Row],[Check 4 Per Student Savings]]*DC386</f>
        <v>26342.969213305816</v>
      </c>
      <c r="DE386" s="58">
        <f t="shared" ref="DE386:DE453" si="236">CY386+DA386+DC386</f>
        <v>364.67</v>
      </c>
      <c r="DF386" s="58">
        <f t="shared" ref="DF386:DF453" si="237">CZ386+DB386+DD386</f>
        <v>26342.969213305816</v>
      </c>
      <c r="DG38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364.67</v>
      </c>
      <c r="DH38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26342.969213305816</v>
      </c>
      <c r="DI386" s="111">
        <f>Table1[[#This Row],[Grand Total Savings]]/Table1[[#This Row],[Total Award]]</f>
        <v>0.87809897377686053</v>
      </c>
      <c r="DJ386" s="31"/>
      <c r="DL386" s="31"/>
      <c r="DM386" s="207"/>
      <c r="DN386" s="58"/>
      <c r="DO386" s="31"/>
      <c r="DP386" s="58"/>
      <c r="DQ386" s="58"/>
      <c r="EC386" s="17"/>
      <c r="ED386" s="17"/>
      <c r="EE386" s="17"/>
      <c r="EF386" s="17"/>
      <c r="EG386" s="21"/>
      <c r="EH386" s="58"/>
      <c r="EI386" s="21"/>
      <c r="EJ386" s="21"/>
    </row>
    <row r="387" spans="1:140" ht="16.5" thickTop="1" thickBot="1" x14ac:dyDescent="0.3">
      <c r="A387" s="128">
        <v>517</v>
      </c>
      <c r="B387" s="128"/>
      <c r="C387" s="128"/>
      <c r="D387" s="129">
        <v>517669</v>
      </c>
      <c r="E387" s="130"/>
      <c r="F387" s="130"/>
      <c r="G387" s="200" t="s">
        <v>1862</v>
      </c>
      <c r="H387" s="95" t="s">
        <v>5</v>
      </c>
      <c r="I387" s="226" t="s">
        <v>118</v>
      </c>
      <c r="J387" s="17" t="s">
        <v>210</v>
      </c>
      <c r="K387" s="58">
        <v>10800</v>
      </c>
      <c r="L387" s="58" t="s">
        <v>1863</v>
      </c>
      <c r="M387" s="17" t="s">
        <v>1809</v>
      </c>
      <c r="N387" s="17" t="s">
        <v>1810</v>
      </c>
      <c r="O387" s="17" t="s">
        <v>1837</v>
      </c>
      <c r="P387" s="17" t="s">
        <v>1853</v>
      </c>
      <c r="Q387" s="101" t="s">
        <v>304</v>
      </c>
      <c r="R387" s="101"/>
      <c r="S387" s="209"/>
      <c r="T387" s="209"/>
      <c r="U387" s="209"/>
      <c r="V387" s="17" t="s">
        <v>1095</v>
      </c>
      <c r="W387" s="17" t="s">
        <v>1095</v>
      </c>
      <c r="X387" s="17" t="s">
        <v>1095</v>
      </c>
      <c r="Y387" s="62">
        <v>42878</v>
      </c>
      <c r="Z387" s="21">
        <v>864</v>
      </c>
      <c r="AA387" s="58">
        <f>Table1[[#This Row],[Annual Savings]]/Table1[[#This Row],[Annual Students]]</f>
        <v>49.627314814814817</v>
      </c>
      <c r="AB387" s="21">
        <v>96</v>
      </c>
      <c r="AC387" s="21">
        <v>384</v>
      </c>
      <c r="AD387" s="21">
        <v>384</v>
      </c>
      <c r="AE387" s="17" t="s">
        <v>1863</v>
      </c>
      <c r="AF387" s="58" t="s">
        <v>129</v>
      </c>
      <c r="AG387" s="58"/>
      <c r="AH387" s="58"/>
      <c r="AI387" s="111" t="s">
        <v>130</v>
      </c>
      <c r="AJ387" s="21">
        <v>0</v>
      </c>
      <c r="AK387" s="21">
        <v>0</v>
      </c>
      <c r="AL387" s="21">
        <v>0</v>
      </c>
      <c r="AM387" s="58">
        <f t="shared" si="222"/>
        <v>0</v>
      </c>
      <c r="AN387" s="21">
        <v>0</v>
      </c>
      <c r="AO387" s="58">
        <f t="shared" si="223"/>
        <v>0</v>
      </c>
      <c r="AP387" s="21">
        <v>0</v>
      </c>
      <c r="AQ387" s="58">
        <f t="shared" si="224"/>
        <v>0</v>
      </c>
      <c r="AR387" s="21">
        <v>0</v>
      </c>
      <c r="AS387" s="21">
        <v>0</v>
      </c>
      <c r="AT387" s="21">
        <v>0</v>
      </c>
      <c r="AU387" s="58">
        <f t="shared" si="225"/>
        <v>0</v>
      </c>
      <c r="AV387" s="21">
        <v>0</v>
      </c>
      <c r="AW387" s="21">
        <v>0</v>
      </c>
      <c r="AX387" s="21">
        <v>0</v>
      </c>
      <c r="AY387" s="21">
        <v>0</v>
      </c>
      <c r="AZ387" s="21">
        <v>0</v>
      </c>
      <c r="BA387" s="21">
        <v>0</v>
      </c>
      <c r="BB387" s="21">
        <v>0</v>
      </c>
      <c r="BC387" s="21">
        <v>0</v>
      </c>
      <c r="BD387" s="21">
        <v>0</v>
      </c>
      <c r="BE387" s="21">
        <v>0</v>
      </c>
      <c r="BF387" s="21">
        <v>0</v>
      </c>
      <c r="BG387" s="21">
        <v>0</v>
      </c>
      <c r="BH387" s="21">
        <v>0</v>
      </c>
      <c r="BI387" s="21">
        <v>0</v>
      </c>
      <c r="BJ387" s="21">
        <v>0</v>
      </c>
      <c r="BK387" s="21">
        <v>0</v>
      </c>
      <c r="BL387" s="17" t="s">
        <v>130</v>
      </c>
      <c r="BM387" s="21">
        <v>0</v>
      </c>
      <c r="BN387" s="21">
        <v>0</v>
      </c>
      <c r="BO387" s="21">
        <v>0</v>
      </c>
      <c r="BP387" s="21">
        <v>0</v>
      </c>
      <c r="BQ387" s="21">
        <v>0</v>
      </c>
      <c r="BR387" s="21">
        <v>0</v>
      </c>
      <c r="BS387" s="21">
        <v>0</v>
      </c>
      <c r="BT387" s="21">
        <v>0</v>
      </c>
      <c r="BU387" s="21">
        <v>0</v>
      </c>
      <c r="BV387" s="21">
        <v>0</v>
      </c>
      <c r="BW387" s="21">
        <v>0</v>
      </c>
      <c r="BX387" s="131">
        <f>Table1[[#This Row],[Summer 2018 Price Check]]*Table1[[#This Row],[Spring 2019 Students]]</f>
        <v>0</v>
      </c>
      <c r="BY387" s="31">
        <f t="shared" si="226"/>
        <v>0</v>
      </c>
      <c r="BZ387" s="58">
        <f t="shared" si="227"/>
        <v>0</v>
      </c>
      <c r="CA387" s="58" t="s">
        <v>130</v>
      </c>
      <c r="CB387" s="31">
        <f t="shared" si="228"/>
        <v>0</v>
      </c>
      <c r="CC387" s="31">
        <v>0</v>
      </c>
      <c r="CD387" s="31">
        <f t="shared" si="229"/>
        <v>0</v>
      </c>
      <c r="CE387" s="21">
        <f t="shared" si="230"/>
        <v>864</v>
      </c>
      <c r="CF387" s="58">
        <v>49.627314814814817</v>
      </c>
      <c r="CG387" s="131">
        <f t="shared" si="233"/>
        <v>42878</v>
      </c>
      <c r="CH387" s="17" t="s">
        <v>1863</v>
      </c>
      <c r="CI387" s="132">
        <f>IF(Table1[[#This Row],[Check 3 Status]]="Continued", Table1[[#This Row],[Check 3 Students Summer]], 0)</f>
        <v>0</v>
      </c>
      <c r="CJ387" s="131">
        <f>Table1[[#This Row],[Check 3 Per Student Savings]]*CI387</f>
        <v>0</v>
      </c>
      <c r="CK387" s="132">
        <f>IF(Table1[[#This Row],[Check 3 Status]]="Continued", Table1[[#This Row],[Check 3 Students Fall]], 0)</f>
        <v>0</v>
      </c>
      <c r="CL387" s="131">
        <f>Table1[[#This Row],[Check 3 Per Student Savings]]*CK387</f>
        <v>0</v>
      </c>
      <c r="CM387" s="124">
        <f>IF(Table1[[#This Row],[Check 3 Status]]="Continued", Table1[[#This Row],[Check 3 Students Spring]], 0)</f>
        <v>0</v>
      </c>
      <c r="CN387" s="123">
        <f>Table1[[#This Row],[Check 3 Per Student Savings]]*CM387</f>
        <v>0</v>
      </c>
      <c r="CO387" s="124">
        <f t="shared" si="231"/>
        <v>0</v>
      </c>
      <c r="CP387" s="123">
        <f t="shared" si="232"/>
        <v>0</v>
      </c>
      <c r="CQ387" s="123" t="s">
        <v>130</v>
      </c>
      <c r="CR387" s="124">
        <v>96</v>
      </c>
      <c r="CS387" s="124">
        <v>384</v>
      </c>
      <c r="CT387" s="124">
        <v>384</v>
      </c>
      <c r="CU387" s="124">
        <f t="shared" si="234"/>
        <v>864</v>
      </c>
      <c r="CV387" s="123">
        <v>49.627314814814817</v>
      </c>
      <c r="CW387" s="123">
        <f t="shared" si="235"/>
        <v>42878</v>
      </c>
      <c r="CX387" s="17" t="s">
        <v>1863</v>
      </c>
      <c r="CY387" s="124">
        <v>0</v>
      </c>
      <c r="CZ387" s="58">
        <f>Table1[[#This Row],[Check 4 Per Student Savings]]*CY387</f>
        <v>0</v>
      </c>
      <c r="DA387" s="124">
        <v>0</v>
      </c>
      <c r="DB387" s="123">
        <f>Table1[[#This Row],[Check 4 Per Student Savings]]*DA387</f>
        <v>0</v>
      </c>
      <c r="DC387" s="21">
        <f>IF(Table1[[#This Row],[Check 4 Status]]="Continued", Table1[[#This Row],[Check 4 Students Spring]], 0)</f>
        <v>384</v>
      </c>
      <c r="DD387" s="58">
        <f>Table1[[#This Row],[Check 4 Per Student Savings]]*DC387</f>
        <v>19056.888888888891</v>
      </c>
      <c r="DE387" s="58">
        <f t="shared" si="236"/>
        <v>384</v>
      </c>
      <c r="DF387" s="58">
        <f t="shared" si="237"/>
        <v>19056.888888888891</v>
      </c>
      <c r="DG38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384</v>
      </c>
      <c r="DH38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19056.888888888891</v>
      </c>
      <c r="DI387" s="111">
        <f>Table1[[#This Row],[Grand Total Savings]]/Table1[[#This Row],[Total Award]]</f>
        <v>1.7645267489711935</v>
      </c>
      <c r="DJ387" s="31"/>
      <c r="DL387" s="31"/>
      <c r="DM387" s="207"/>
      <c r="DN387" s="58"/>
      <c r="DO387" s="31"/>
      <c r="DP387" s="58"/>
      <c r="DQ387" s="58"/>
      <c r="EC387" s="17"/>
      <c r="ED387" s="17"/>
      <c r="EE387" s="17"/>
      <c r="EF387" s="17"/>
      <c r="EG387" s="21"/>
      <c r="EH387" s="58"/>
      <c r="EI387" s="21"/>
      <c r="EJ387" s="21"/>
    </row>
    <row r="388" spans="1:140" ht="16.5" thickTop="1" thickBot="1" x14ac:dyDescent="0.3">
      <c r="A388" s="128">
        <v>518</v>
      </c>
      <c r="B388" s="128"/>
      <c r="C388" s="128"/>
      <c r="D388" s="129"/>
      <c r="E388" s="130"/>
      <c r="F388" s="130"/>
      <c r="G388" s="200" t="s">
        <v>1862</v>
      </c>
      <c r="H388" s="95" t="s">
        <v>5</v>
      </c>
      <c r="I388" s="226" t="s">
        <v>118</v>
      </c>
      <c r="J388" s="17" t="s">
        <v>250</v>
      </c>
      <c r="K388" s="58">
        <v>30000</v>
      </c>
      <c r="L388" s="58" t="s">
        <v>1863</v>
      </c>
      <c r="M388" s="17" t="s">
        <v>565</v>
      </c>
      <c r="N388" s="17" t="s">
        <v>1811</v>
      </c>
      <c r="O388" s="17" t="s">
        <v>362</v>
      </c>
      <c r="P388" s="17" t="s">
        <v>567</v>
      </c>
      <c r="Q388" s="101" t="s">
        <v>148</v>
      </c>
      <c r="R388" s="101"/>
      <c r="S388" s="209"/>
      <c r="T388" s="209"/>
      <c r="U388" s="209"/>
      <c r="V388" s="17" t="s">
        <v>1095</v>
      </c>
      <c r="W388" s="17" t="s">
        <v>1095</v>
      </c>
      <c r="X388" s="17" t="s">
        <v>1095</v>
      </c>
      <c r="Y388" s="62">
        <v>181584.48</v>
      </c>
      <c r="Z388" s="21">
        <v>952</v>
      </c>
      <c r="AA388" s="58">
        <f>Table1[[#This Row],[Annual Savings]]/Table1[[#This Row],[Annual Students]]</f>
        <v>190.74</v>
      </c>
      <c r="AB388" s="21">
        <v>190</v>
      </c>
      <c r="AC388" s="21">
        <v>381</v>
      </c>
      <c r="AD388" s="21">
        <v>381</v>
      </c>
      <c r="AE388" s="17" t="s">
        <v>1863</v>
      </c>
      <c r="AF388" s="58" t="s">
        <v>125</v>
      </c>
      <c r="AG388" s="21">
        <v>159</v>
      </c>
      <c r="AH388" s="58" t="s">
        <v>1863</v>
      </c>
      <c r="AI388" s="111" t="s">
        <v>130</v>
      </c>
      <c r="AJ388" s="21">
        <v>0</v>
      </c>
      <c r="AK388" s="21">
        <v>0</v>
      </c>
      <c r="AL388" s="21">
        <v>0</v>
      </c>
      <c r="AM388" s="58">
        <f t="shared" si="222"/>
        <v>0</v>
      </c>
      <c r="AN388" s="21">
        <v>0</v>
      </c>
      <c r="AO388" s="58">
        <f t="shared" si="223"/>
        <v>0</v>
      </c>
      <c r="AP388" s="21">
        <v>0</v>
      </c>
      <c r="AQ388" s="58">
        <f t="shared" si="224"/>
        <v>0</v>
      </c>
      <c r="AR388" s="21">
        <v>0</v>
      </c>
      <c r="AS388" s="21">
        <v>0</v>
      </c>
      <c r="AT388" s="21">
        <v>0</v>
      </c>
      <c r="AU388" s="58">
        <f t="shared" si="225"/>
        <v>0</v>
      </c>
      <c r="AV388" s="21">
        <v>0</v>
      </c>
      <c r="AW388" s="21">
        <v>0</v>
      </c>
      <c r="AX388" s="21">
        <v>0</v>
      </c>
      <c r="AY388" s="21">
        <v>0</v>
      </c>
      <c r="AZ388" s="21">
        <v>0</v>
      </c>
      <c r="BA388" s="21">
        <v>0</v>
      </c>
      <c r="BB388" s="21">
        <v>0</v>
      </c>
      <c r="BC388" s="21">
        <v>0</v>
      </c>
      <c r="BD388" s="21">
        <v>0</v>
      </c>
      <c r="BE388" s="21">
        <v>0</v>
      </c>
      <c r="BF388" s="21">
        <v>0</v>
      </c>
      <c r="BG388" s="21">
        <v>0</v>
      </c>
      <c r="BH388" s="21">
        <v>0</v>
      </c>
      <c r="BI388" s="21">
        <v>0</v>
      </c>
      <c r="BJ388" s="21">
        <v>0</v>
      </c>
      <c r="BK388" s="21">
        <v>0</v>
      </c>
      <c r="BL388" s="17" t="s">
        <v>130</v>
      </c>
      <c r="BM388" s="21">
        <v>0</v>
      </c>
      <c r="BN388" s="21">
        <v>0</v>
      </c>
      <c r="BO388" s="21">
        <v>0</v>
      </c>
      <c r="BP388" s="21">
        <v>0</v>
      </c>
      <c r="BQ388" s="21">
        <v>0</v>
      </c>
      <c r="BR388" s="21">
        <v>0</v>
      </c>
      <c r="BS388" s="21">
        <v>0</v>
      </c>
      <c r="BT388" s="21">
        <v>0</v>
      </c>
      <c r="BU388" s="21">
        <v>0</v>
      </c>
      <c r="BV388" s="21">
        <v>0</v>
      </c>
      <c r="BW388" s="21">
        <v>0</v>
      </c>
      <c r="BX388" s="131">
        <f>Table1[[#This Row],[Summer 2018 Price Check]]*Table1[[#This Row],[Spring 2019 Students]]</f>
        <v>0</v>
      </c>
      <c r="BY388" s="31">
        <f t="shared" si="226"/>
        <v>0</v>
      </c>
      <c r="BZ388" s="58">
        <f t="shared" si="227"/>
        <v>0</v>
      </c>
      <c r="CA388" s="58" t="s">
        <v>130</v>
      </c>
      <c r="CB388" s="31">
        <f t="shared" si="228"/>
        <v>0</v>
      </c>
      <c r="CC388" s="31">
        <v>0</v>
      </c>
      <c r="CD388" s="31">
        <f t="shared" si="229"/>
        <v>0</v>
      </c>
      <c r="CE388" s="21">
        <f t="shared" si="230"/>
        <v>952</v>
      </c>
      <c r="CF388" s="58">
        <v>190.74</v>
      </c>
      <c r="CG388" s="131">
        <f t="shared" si="233"/>
        <v>181584.48</v>
      </c>
      <c r="CH388" s="17" t="s">
        <v>1863</v>
      </c>
      <c r="CI388" s="132">
        <f>IF(Table1[[#This Row],[Check 3 Status]]="Continued", Table1[[#This Row],[Check 3 Students Summer]], 0)</f>
        <v>0</v>
      </c>
      <c r="CJ388" s="131">
        <f>Table1[[#This Row],[Check 3 Per Student Savings]]*CI388</f>
        <v>0</v>
      </c>
      <c r="CK388" s="132">
        <f>IF(Table1[[#This Row],[Check 3 Status]]="Continued", Table1[[#This Row],[Check 3 Students Fall]], 0)</f>
        <v>0</v>
      </c>
      <c r="CL388" s="131">
        <f>Table1[[#This Row],[Check 3 Per Student Savings]]*CK388</f>
        <v>0</v>
      </c>
      <c r="CM388" s="124">
        <f>IF(Table1[[#This Row],[Check 3 Status]]="Continued", Table1[[#This Row],[Check 3 Students Spring]], 0)</f>
        <v>0</v>
      </c>
      <c r="CN388" s="123">
        <f>Table1[[#This Row],[Check 3 Per Student Savings]]*CM388</f>
        <v>0</v>
      </c>
      <c r="CO388" s="124">
        <f t="shared" si="231"/>
        <v>0</v>
      </c>
      <c r="CP388" s="123">
        <f t="shared" si="232"/>
        <v>0</v>
      </c>
      <c r="CQ388" s="123" t="s">
        <v>130</v>
      </c>
      <c r="CR388" s="21">
        <v>190</v>
      </c>
      <c r="CS388" s="21">
        <v>381</v>
      </c>
      <c r="CT388" s="21">
        <v>381</v>
      </c>
      <c r="CU388" s="124">
        <f t="shared" si="234"/>
        <v>952</v>
      </c>
      <c r="CV388" s="123">
        <v>190.74</v>
      </c>
      <c r="CW388" s="123">
        <f t="shared" si="235"/>
        <v>181584.48</v>
      </c>
      <c r="CX388" s="17" t="s">
        <v>1863</v>
      </c>
      <c r="CY388" s="124">
        <v>0</v>
      </c>
      <c r="CZ388" s="58">
        <f>Table1[[#This Row],[Check 4 Per Student Savings]]*CY388</f>
        <v>0</v>
      </c>
      <c r="DA388" s="124">
        <v>0</v>
      </c>
      <c r="DB388" s="123">
        <f>Table1[[#This Row],[Check 4 Per Student Savings]]*DA388</f>
        <v>0</v>
      </c>
      <c r="DC388" s="21">
        <f>IF(Table1[[#This Row],[Check 4 Status]]="Continued", Table1[[#This Row],[Check 4 Students Spring]], 0)</f>
        <v>381</v>
      </c>
      <c r="DD388" s="58">
        <f>Table1[[#This Row],[Check 4 Per Student Savings]]*DC388</f>
        <v>72671.94</v>
      </c>
      <c r="DE388" s="58">
        <f t="shared" si="236"/>
        <v>381</v>
      </c>
      <c r="DF388" s="58">
        <f t="shared" si="237"/>
        <v>72671.94</v>
      </c>
      <c r="DG38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381</v>
      </c>
      <c r="DH38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72671.94</v>
      </c>
      <c r="DI388" s="111">
        <f>Table1[[#This Row],[Grand Total Savings]]/Table1[[#This Row],[Total Award]]</f>
        <v>2.4223980000000003</v>
      </c>
      <c r="DJ388" s="31"/>
      <c r="DL388" s="31"/>
      <c r="DM388" s="207"/>
      <c r="DN388" s="58"/>
      <c r="DO388" s="31"/>
      <c r="DP388" s="58"/>
      <c r="DQ388" s="58"/>
      <c r="EC388" s="17"/>
      <c r="ED388" s="17"/>
      <c r="EE388" s="17"/>
      <c r="EF388" s="17"/>
      <c r="EG388" s="21"/>
      <c r="EH388" s="58"/>
      <c r="EI388" s="21"/>
      <c r="EJ388" s="21"/>
    </row>
    <row r="389" spans="1:140" ht="16.5" thickTop="1" thickBot="1" x14ac:dyDescent="0.3">
      <c r="A389" s="128">
        <v>519</v>
      </c>
      <c r="B389" s="128"/>
      <c r="C389" s="128"/>
      <c r="D389" s="129">
        <v>517756</v>
      </c>
      <c r="E389" s="130"/>
      <c r="F389" s="130"/>
      <c r="G389" s="200" t="s">
        <v>1862</v>
      </c>
      <c r="H389" s="95" t="s">
        <v>5</v>
      </c>
      <c r="I389" s="226" t="s">
        <v>118</v>
      </c>
      <c r="J389" s="17" t="s">
        <v>132</v>
      </c>
      <c r="K389" s="58">
        <v>30000</v>
      </c>
      <c r="L389" s="58" t="s">
        <v>1863</v>
      </c>
      <c r="M389" s="17" t="s">
        <v>990</v>
      </c>
      <c r="N389" s="17" t="s">
        <v>991</v>
      </c>
      <c r="O389" s="17" t="s">
        <v>1838</v>
      </c>
      <c r="P389" s="17" t="s">
        <v>1854</v>
      </c>
      <c r="Q389" s="101" t="s">
        <v>177</v>
      </c>
      <c r="R389" s="101"/>
      <c r="S389" s="209"/>
      <c r="T389" s="209"/>
      <c r="U389" s="209"/>
      <c r="V389" s="17" t="s">
        <v>1095</v>
      </c>
      <c r="W389" s="17" t="s">
        <v>1095</v>
      </c>
      <c r="X389" s="17" t="s">
        <v>1095</v>
      </c>
      <c r="Y389" s="62">
        <v>49593.599999999999</v>
      </c>
      <c r="Z389" s="21">
        <v>360</v>
      </c>
      <c r="AA389" s="58">
        <f>Table1[[#This Row],[Annual Savings]]/Table1[[#This Row],[Annual Students]]</f>
        <v>137.76</v>
      </c>
      <c r="AB389" s="21">
        <v>90</v>
      </c>
      <c r="AC389" s="21">
        <v>135</v>
      </c>
      <c r="AD389" s="21">
        <v>135</v>
      </c>
      <c r="AE389" s="17" t="s">
        <v>1863</v>
      </c>
      <c r="AF389" s="58" t="s">
        <v>129</v>
      </c>
      <c r="AH389" s="58"/>
      <c r="AI389" s="111" t="s">
        <v>130</v>
      </c>
      <c r="AJ389" s="21">
        <v>0</v>
      </c>
      <c r="AK389" s="21">
        <v>0</v>
      </c>
      <c r="AL389" s="21">
        <v>0</v>
      </c>
      <c r="AM389" s="58">
        <f t="shared" si="222"/>
        <v>0</v>
      </c>
      <c r="AN389" s="21">
        <v>0</v>
      </c>
      <c r="AO389" s="58">
        <f t="shared" si="223"/>
        <v>0</v>
      </c>
      <c r="AP389" s="21">
        <v>0</v>
      </c>
      <c r="AQ389" s="58">
        <f t="shared" si="224"/>
        <v>0</v>
      </c>
      <c r="AR389" s="21">
        <v>0</v>
      </c>
      <c r="AS389" s="21">
        <v>0</v>
      </c>
      <c r="AT389" s="21">
        <v>0</v>
      </c>
      <c r="AU389" s="58">
        <f t="shared" si="225"/>
        <v>0</v>
      </c>
      <c r="AV389" s="21">
        <v>0</v>
      </c>
      <c r="AW389" s="21">
        <v>0</v>
      </c>
      <c r="AX389" s="21">
        <v>0</v>
      </c>
      <c r="AY389" s="21">
        <v>0</v>
      </c>
      <c r="AZ389" s="21">
        <v>0</v>
      </c>
      <c r="BA389" s="21">
        <v>0</v>
      </c>
      <c r="BB389" s="21">
        <v>0</v>
      </c>
      <c r="BC389" s="21">
        <v>0</v>
      </c>
      <c r="BD389" s="21">
        <v>0</v>
      </c>
      <c r="BE389" s="21">
        <v>0</v>
      </c>
      <c r="BF389" s="21">
        <v>0</v>
      </c>
      <c r="BG389" s="21">
        <v>0</v>
      </c>
      <c r="BH389" s="21">
        <v>0</v>
      </c>
      <c r="BI389" s="21">
        <v>0</v>
      </c>
      <c r="BJ389" s="21">
        <v>0</v>
      </c>
      <c r="BK389" s="21">
        <v>0</v>
      </c>
      <c r="BL389" s="17" t="s">
        <v>130</v>
      </c>
      <c r="BM389" s="21">
        <v>0</v>
      </c>
      <c r="BN389" s="21">
        <v>0</v>
      </c>
      <c r="BO389" s="21">
        <v>0</v>
      </c>
      <c r="BP389" s="21">
        <v>0</v>
      </c>
      <c r="BQ389" s="21">
        <v>0</v>
      </c>
      <c r="BR389" s="21">
        <v>0</v>
      </c>
      <c r="BS389" s="21">
        <v>0</v>
      </c>
      <c r="BT389" s="21">
        <v>0</v>
      </c>
      <c r="BU389" s="21">
        <v>0</v>
      </c>
      <c r="BV389" s="21">
        <v>0</v>
      </c>
      <c r="BW389" s="21">
        <v>0</v>
      </c>
      <c r="BX389" s="131">
        <f>Table1[[#This Row],[Summer 2018 Price Check]]*Table1[[#This Row],[Spring 2019 Students]]</f>
        <v>0</v>
      </c>
      <c r="BY389" s="31">
        <f t="shared" si="226"/>
        <v>0</v>
      </c>
      <c r="BZ389" s="58">
        <f t="shared" si="227"/>
        <v>0</v>
      </c>
      <c r="CA389" s="58" t="s">
        <v>130</v>
      </c>
      <c r="CB389" s="31">
        <f t="shared" si="228"/>
        <v>0</v>
      </c>
      <c r="CC389" s="31">
        <v>0</v>
      </c>
      <c r="CD389" s="31">
        <f t="shared" si="229"/>
        <v>0</v>
      </c>
      <c r="CE389" s="21">
        <f t="shared" si="230"/>
        <v>360</v>
      </c>
      <c r="CF389" s="58">
        <v>137.76</v>
      </c>
      <c r="CG389" s="131">
        <f t="shared" si="233"/>
        <v>49593.599999999999</v>
      </c>
      <c r="CH389" s="17" t="s">
        <v>1863</v>
      </c>
      <c r="CI389" s="132">
        <f>IF(Table1[[#This Row],[Check 3 Status]]="Continued", Table1[[#This Row],[Check 3 Students Summer]], 0)</f>
        <v>0</v>
      </c>
      <c r="CJ389" s="131">
        <f>Table1[[#This Row],[Check 3 Per Student Savings]]*CI389</f>
        <v>0</v>
      </c>
      <c r="CK389" s="132">
        <f>IF(Table1[[#This Row],[Check 3 Status]]="Continued", Table1[[#This Row],[Check 3 Students Fall]], 0)</f>
        <v>0</v>
      </c>
      <c r="CL389" s="131">
        <f>Table1[[#This Row],[Check 3 Per Student Savings]]*CK389</f>
        <v>0</v>
      </c>
      <c r="CM389" s="124">
        <f>IF(Table1[[#This Row],[Check 3 Status]]="Continued", Table1[[#This Row],[Check 3 Students Spring]], 0)</f>
        <v>0</v>
      </c>
      <c r="CN389" s="123">
        <f>Table1[[#This Row],[Check 3 Per Student Savings]]*CM389</f>
        <v>0</v>
      </c>
      <c r="CO389" s="124">
        <f t="shared" si="231"/>
        <v>0</v>
      </c>
      <c r="CP389" s="123">
        <f t="shared" si="232"/>
        <v>0</v>
      </c>
      <c r="CQ389" s="123" t="s">
        <v>130</v>
      </c>
      <c r="CR389" s="124">
        <v>90</v>
      </c>
      <c r="CS389" s="124">
        <v>135</v>
      </c>
      <c r="CT389" s="124">
        <v>135</v>
      </c>
      <c r="CU389" s="124">
        <f t="shared" si="234"/>
        <v>360</v>
      </c>
      <c r="CV389" s="123">
        <v>137.76</v>
      </c>
      <c r="CW389" s="123">
        <f t="shared" si="235"/>
        <v>49593.599999999999</v>
      </c>
      <c r="CX389" s="17" t="s">
        <v>1863</v>
      </c>
      <c r="CY389" s="124">
        <v>0</v>
      </c>
      <c r="CZ389" s="58">
        <f>Table1[[#This Row],[Check 4 Per Student Savings]]*CY389</f>
        <v>0</v>
      </c>
      <c r="DA389" s="124">
        <v>0</v>
      </c>
      <c r="DB389" s="123">
        <f>Table1[[#This Row],[Check 4 Per Student Savings]]*DA389</f>
        <v>0</v>
      </c>
      <c r="DC389" s="21">
        <f>IF(Table1[[#This Row],[Check 4 Status]]="Continued", Table1[[#This Row],[Check 4 Students Spring]], 0)</f>
        <v>135</v>
      </c>
      <c r="DD389" s="58">
        <f>Table1[[#This Row],[Check 4 Per Student Savings]]*DC389</f>
        <v>18597.599999999999</v>
      </c>
      <c r="DE389" s="58">
        <f t="shared" si="236"/>
        <v>135</v>
      </c>
      <c r="DF389" s="58">
        <f t="shared" si="237"/>
        <v>18597.599999999999</v>
      </c>
      <c r="DG38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135</v>
      </c>
      <c r="DH38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18597.599999999999</v>
      </c>
      <c r="DI389" s="111">
        <f>Table1[[#This Row],[Grand Total Savings]]/Table1[[#This Row],[Total Award]]</f>
        <v>0.61991999999999992</v>
      </c>
      <c r="DJ389" s="31"/>
      <c r="DL389" s="31"/>
      <c r="DM389" s="207"/>
      <c r="DN389" s="58"/>
      <c r="DO389" s="31"/>
      <c r="DP389" s="58"/>
      <c r="DQ389" s="58"/>
      <c r="EC389" s="17"/>
      <c r="ED389" s="17"/>
      <c r="EE389" s="17"/>
      <c r="EF389" s="17"/>
      <c r="EG389" s="21"/>
      <c r="EH389" s="58"/>
      <c r="EI389" s="21"/>
      <c r="EJ389" s="21"/>
    </row>
    <row r="390" spans="1:140" ht="16.5" thickTop="1" thickBot="1" x14ac:dyDescent="0.3">
      <c r="A390" s="128">
        <v>520</v>
      </c>
      <c r="B390" s="128"/>
      <c r="C390" s="128"/>
      <c r="D390" s="129">
        <v>517757</v>
      </c>
      <c r="E390" s="130"/>
      <c r="F390" s="130"/>
      <c r="G390" s="200" t="s">
        <v>1862</v>
      </c>
      <c r="H390" s="95" t="s">
        <v>5</v>
      </c>
      <c r="I390" s="226" t="s">
        <v>118</v>
      </c>
      <c r="J390" s="17" t="s">
        <v>132</v>
      </c>
      <c r="K390" s="58">
        <v>30000</v>
      </c>
      <c r="L390" s="58" t="s">
        <v>1863</v>
      </c>
      <c r="M390" s="17" t="s">
        <v>519</v>
      </c>
      <c r="N390" s="17" t="s">
        <v>520</v>
      </c>
      <c r="O390" s="17" t="s">
        <v>454</v>
      </c>
      <c r="P390" s="17" t="s">
        <v>455</v>
      </c>
      <c r="Q390" s="101" t="s">
        <v>456</v>
      </c>
      <c r="R390" s="101"/>
      <c r="S390" s="209"/>
      <c r="T390" s="209"/>
      <c r="U390" s="209"/>
      <c r="V390" s="17" t="s">
        <v>1095</v>
      </c>
      <c r="W390" s="17" t="s">
        <v>1095</v>
      </c>
      <c r="X390" s="17" t="s">
        <v>1095</v>
      </c>
      <c r="Y390" s="58">
        <v>112599</v>
      </c>
      <c r="Z390" s="21">
        <v>1050</v>
      </c>
      <c r="AA390" s="58">
        <f>Table1[[#This Row],[Annual Savings]]/Table1[[#This Row],[Annual Students]]</f>
        <v>107.23714285714286</v>
      </c>
      <c r="AB390" s="21">
        <v>80</v>
      </c>
      <c r="AC390" s="21">
        <v>680</v>
      </c>
      <c r="AD390" s="21">
        <v>290</v>
      </c>
      <c r="AE390" s="17" t="s">
        <v>1863</v>
      </c>
      <c r="AF390" s="58" t="s">
        <v>125</v>
      </c>
      <c r="AG390" s="21">
        <v>143</v>
      </c>
      <c r="AH390" s="58" t="s">
        <v>1863</v>
      </c>
      <c r="AI390" s="111" t="s">
        <v>130</v>
      </c>
      <c r="AJ390" s="21">
        <v>0</v>
      </c>
      <c r="AK390" s="21">
        <v>0</v>
      </c>
      <c r="AL390" s="21">
        <v>0</v>
      </c>
      <c r="AM390" s="58">
        <f t="shared" si="222"/>
        <v>0</v>
      </c>
      <c r="AN390" s="21">
        <v>0</v>
      </c>
      <c r="AO390" s="58">
        <f t="shared" si="223"/>
        <v>0</v>
      </c>
      <c r="AP390" s="21">
        <v>0</v>
      </c>
      <c r="AQ390" s="21">
        <v>0</v>
      </c>
      <c r="AR390" s="21">
        <v>0</v>
      </c>
      <c r="AS390" s="21">
        <v>0</v>
      </c>
      <c r="AT390" s="21">
        <v>0</v>
      </c>
      <c r="AU390" s="58">
        <f t="shared" si="225"/>
        <v>0</v>
      </c>
      <c r="AV390" s="21">
        <v>0</v>
      </c>
      <c r="AW390" s="21">
        <v>0</v>
      </c>
      <c r="AX390" s="21">
        <v>0</v>
      </c>
      <c r="AY390" s="21">
        <v>0</v>
      </c>
      <c r="AZ390" s="21">
        <v>0</v>
      </c>
      <c r="BA390" s="21">
        <v>0</v>
      </c>
      <c r="BB390" s="21">
        <v>0</v>
      </c>
      <c r="BC390" s="21">
        <v>0</v>
      </c>
      <c r="BD390" s="21">
        <v>0</v>
      </c>
      <c r="BE390" s="21">
        <v>0</v>
      </c>
      <c r="BF390" s="21">
        <v>0</v>
      </c>
      <c r="BG390" s="21">
        <v>0</v>
      </c>
      <c r="BH390" s="21">
        <v>0</v>
      </c>
      <c r="BI390" s="21">
        <v>0</v>
      </c>
      <c r="BJ390" s="21">
        <v>0</v>
      </c>
      <c r="BK390" s="21">
        <v>0</v>
      </c>
      <c r="BL390" s="17" t="s">
        <v>130</v>
      </c>
      <c r="BM390" s="21">
        <v>0</v>
      </c>
      <c r="BN390" s="21">
        <v>0</v>
      </c>
      <c r="BO390" s="21">
        <v>0</v>
      </c>
      <c r="BP390" s="21">
        <v>0</v>
      </c>
      <c r="BQ390" s="21">
        <v>0</v>
      </c>
      <c r="BR390" s="21">
        <v>0</v>
      </c>
      <c r="BS390" s="21">
        <v>0</v>
      </c>
      <c r="BT390" s="21">
        <v>0</v>
      </c>
      <c r="BU390" s="21">
        <v>0</v>
      </c>
      <c r="BV390" s="21">
        <v>0</v>
      </c>
      <c r="BW390" s="21">
        <v>0</v>
      </c>
      <c r="BX390" s="131">
        <f>Table1[[#This Row],[Summer 2018 Price Check]]*Table1[[#This Row],[Spring 2019 Students]]</f>
        <v>0</v>
      </c>
      <c r="BY390" s="31">
        <f t="shared" si="226"/>
        <v>0</v>
      </c>
      <c r="BZ390" s="58">
        <f t="shared" si="227"/>
        <v>0</v>
      </c>
      <c r="CA390" s="58" t="s">
        <v>130</v>
      </c>
      <c r="CB390" s="31">
        <f t="shared" si="228"/>
        <v>0</v>
      </c>
      <c r="CC390" s="31">
        <v>0</v>
      </c>
      <c r="CD390" s="31">
        <f t="shared" si="229"/>
        <v>0</v>
      </c>
      <c r="CE390" s="21">
        <f t="shared" si="230"/>
        <v>1050</v>
      </c>
      <c r="CF390" s="58">
        <v>107.23714285714286</v>
      </c>
      <c r="CG390" s="131">
        <f t="shared" si="233"/>
        <v>112599</v>
      </c>
      <c r="CH390" s="17" t="s">
        <v>1863</v>
      </c>
      <c r="CI390" s="132">
        <f>IF(Table1[[#This Row],[Check 3 Status]]="Continued", Table1[[#This Row],[Check 3 Students Summer]], 0)</f>
        <v>0</v>
      </c>
      <c r="CJ390" s="131">
        <f>Table1[[#This Row],[Check 3 Per Student Savings]]*CI390</f>
        <v>0</v>
      </c>
      <c r="CK390" s="132">
        <f>IF(Table1[[#This Row],[Check 3 Status]]="Continued", Table1[[#This Row],[Check 3 Students Fall]], 0)</f>
        <v>0</v>
      </c>
      <c r="CL390" s="131">
        <f>Table1[[#This Row],[Check 3 Per Student Savings]]*CK390</f>
        <v>0</v>
      </c>
      <c r="CM390" s="124">
        <f>IF(Table1[[#This Row],[Check 3 Status]]="Continued", Table1[[#This Row],[Check 3 Students Spring]], 0)</f>
        <v>0</v>
      </c>
      <c r="CN390" s="123">
        <f>Table1[[#This Row],[Check 3 Per Student Savings]]*CM390</f>
        <v>0</v>
      </c>
      <c r="CO390" s="124">
        <f t="shared" si="231"/>
        <v>0</v>
      </c>
      <c r="CP390" s="123">
        <f t="shared" si="232"/>
        <v>0</v>
      </c>
      <c r="CQ390" s="123" t="s">
        <v>130</v>
      </c>
      <c r="CR390" s="21">
        <v>80</v>
      </c>
      <c r="CS390" s="21">
        <v>680</v>
      </c>
      <c r="CT390" s="21">
        <v>290</v>
      </c>
      <c r="CU390" s="124">
        <f t="shared" si="234"/>
        <v>1050</v>
      </c>
      <c r="CV390" s="123">
        <v>107.23714285714286</v>
      </c>
      <c r="CW390" s="123">
        <f t="shared" si="235"/>
        <v>112599</v>
      </c>
      <c r="CX390" s="17" t="s">
        <v>1863</v>
      </c>
      <c r="CY390" s="124">
        <v>0</v>
      </c>
      <c r="CZ390" s="58">
        <f>Table1[[#This Row],[Check 4 Per Student Savings]]*CY390</f>
        <v>0</v>
      </c>
      <c r="DA390" s="124">
        <v>0</v>
      </c>
      <c r="DB390" s="123">
        <f>Table1[[#This Row],[Check 4 Per Student Savings]]*DA390</f>
        <v>0</v>
      </c>
      <c r="DC390" s="21">
        <f>IF(Table1[[#This Row],[Check 4 Status]]="Continued", Table1[[#This Row],[Check 4 Students Spring]], 0)</f>
        <v>290</v>
      </c>
      <c r="DD390" s="58">
        <f>Table1[[#This Row],[Check 4 Per Student Savings]]*DC390</f>
        <v>31098.771428571428</v>
      </c>
      <c r="DE390" s="58">
        <f t="shared" si="236"/>
        <v>290</v>
      </c>
      <c r="DF390" s="58">
        <f t="shared" si="237"/>
        <v>31098.771428571428</v>
      </c>
      <c r="DG39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290</v>
      </c>
      <c r="DH39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31098.771428571428</v>
      </c>
      <c r="DI390" s="111">
        <f>Table1[[#This Row],[Grand Total Savings]]/Table1[[#This Row],[Total Award]]</f>
        <v>1.0366257142857143</v>
      </c>
      <c r="DJ390" s="31"/>
      <c r="DL390" s="31"/>
      <c r="DM390" s="207"/>
      <c r="DN390" s="58"/>
      <c r="DO390" s="31"/>
      <c r="DP390" s="58"/>
      <c r="DQ390" s="58"/>
      <c r="EC390" s="17"/>
      <c r="ED390" s="17"/>
      <c r="EE390" s="17"/>
      <c r="EF390" s="17"/>
      <c r="EG390" s="21"/>
      <c r="EH390" s="58"/>
      <c r="EI390" s="21"/>
      <c r="EJ390" s="21"/>
    </row>
    <row r="391" spans="1:140" ht="16.5" thickTop="1" thickBot="1" x14ac:dyDescent="0.3">
      <c r="A391" s="128">
        <v>521</v>
      </c>
      <c r="B391" s="128"/>
      <c r="C391" s="128"/>
      <c r="D391" s="129"/>
      <c r="E391" s="130"/>
      <c r="F391" s="130"/>
      <c r="G391" s="200" t="s">
        <v>1862</v>
      </c>
      <c r="H391" s="95" t="s">
        <v>5</v>
      </c>
      <c r="I391" s="226" t="s">
        <v>118</v>
      </c>
      <c r="J391" s="17" t="s">
        <v>243</v>
      </c>
      <c r="K391" s="58">
        <v>12800</v>
      </c>
      <c r="L391" s="58" t="s">
        <v>1863</v>
      </c>
      <c r="M391" s="17" t="s">
        <v>1812</v>
      </c>
      <c r="N391" s="128" t="s">
        <v>1813</v>
      </c>
      <c r="O391" s="17" t="s">
        <v>644</v>
      </c>
      <c r="P391" s="17" t="s">
        <v>645</v>
      </c>
      <c r="Q391" s="101" t="s">
        <v>148</v>
      </c>
      <c r="R391" s="101"/>
      <c r="S391" s="209"/>
      <c r="T391" s="209"/>
      <c r="U391" s="209"/>
      <c r="V391" s="17" t="s">
        <v>1095</v>
      </c>
      <c r="W391" s="17" t="s">
        <v>1095</v>
      </c>
      <c r="X391" s="17" t="s">
        <v>1095</v>
      </c>
      <c r="Y391" s="58">
        <v>27000</v>
      </c>
      <c r="Z391" s="21">
        <v>300</v>
      </c>
      <c r="AA391" s="58">
        <f>Table1[[#This Row],[Annual Savings]]/Table1[[#This Row],[Annual Students]]</f>
        <v>90</v>
      </c>
      <c r="AB391" s="21">
        <v>60</v>
      </c>
      <c r="AC391" s="21">
        <v>120</v>
      </c>
      <c r="AD391" s="21">
        <v>120</v>
      </c>
      <c r="AE391" s="17" t="s">
        <v>1863</v>
      </c>
      <c r="AF391" s="58" t="s">
        <v>129</v>
      </c>
      <c r="AH391" s="58"/>
      <c r="AI391" s="111" t="s">
        <v>130</v>
      </c>
      <c r="AJ391" s="21">
        <v>0</v>
      </c>
      <c r="AK391" s="21">
        <v>0</v>
      </c>
      <c r="AL391" s="21">
        <v>0</v>
      </c>
      <c r="AM391" s="58">
        <f t="shared" si="222"/>
        <v>0</v>
      </c>
      <c r="AN391" s="21">
        <v>0</v>
      </c>
      <c r="AO391" s="58">
        <f t="shared" si="223"/>
        <v>0</v>
      </c>
      <c r="AP391" s="21">
        <v>0</v>
      </c>
      <c r="AQ391" s="21">
        <v>0</v>
      </c>
      <c r="AR391" s="21">
        <v>0</v>
      </c>
      <c r="AS391" s="21">
        <v>0</v>
      </c>
      <c r="AT391" s="21">
        <v>0</v>
      </c>
      <c r="AU391" s="58">
        <f t="shared" si="225"/>
        <v>0</v>
      </c>
      <c r="AV391" s="21">
        <v>0</v>
      </c>
      <c r="AW391" s="21">
        <v>0</v>
      </c>
      <c r="AX391" s="21">
        <v>0</v>
      </c>
      <c r="AY391" s="21">
        <v>0</v>
      </c>
      <c r="AZ391" s="21">
        <v>0</v>
      </c>
      <c r="BA391" s="21">
        <v>0</v>
      </c>
      <c r="BB391" s="21">
        <v>0</v>
      </c>
      <c r="BC391" s="21">
        <v>0</v>
      </c>
      <c r="BD391" s="21">
        <v>0</v>
      </c>
      <c r="BE391" s="21">
        <v>0</v>
      </c>
      <c r="BF391" s="21">
        <v>0</v>
      </c>
      <c r="BG391" s="21">
        <v>0</v>
      </c>
      <c r="BH391" s="21">
        <v>0</v>
      </c>
      <c r="BI391" s="21">
        <v>0</v>
      </c>
      <c r="BJ391" s="21">
        <v>0</v>
      </c>
      <c r="BK391" s="21">
        <v>0</v>
      </c>
      <c r="BL391" s="17" t="s">
        <v>130</v>
      </c>
      <c r="BM391" s="21">
        <v>0</v>
      </c>
      <c r="BN391" s="21">
        <v>0</v>
      </c>
      <c r="BO391" s="21">
        <v>0</v>
      </c>
      <c r="BP391" s="21">
        <v>0</v>
      </c>
      <c r="BQ391" s="21">
        <v>0</v>
      </c>
      <c r="BR391" s="21">
        <v>0</v>
      </c>
      <c r="BS391" s="21">
        <v>0</v>
      </c>
      <c r="BT391" s="21">
        <v>0</v>
      </c>
      <c r="BU391" s="21">
        <v>0</v>
      </c>
      <c r="BV391" s="21">
        <v>0</v>
      </c>
      <c r="BW391" s="21">
        <v>0</v>
      </c>
      <c r="BX391" s="131">
        <f>Table1[[#This Row],[Summer 2018 Price Check]]*Table1[[#This Row],[Spring 2019 Students]]</f>
        <v>0</v>
      </c>
      <c r="BY391" s="31">
        <f t="shared" si="226"/>
        <v>0</v>
      </c>
      <c r="BZ391" s="58">
        <f t="shared" si="227"/>
        <v>0</v>
      </c>
      <c r="CA391" s="58" t="s">
        <v>130</v>
      </c>
      <c r="CB391" s="31">
        <f t="shared" si="228"/>
        <v>0</v>
      </c>
      <c r="CC391" s="31">
        <v>0</v>
      </c>
      <c r="CD391" s="31">
        <f t="shared" si="229"/>
        <v>0</v>
      </c>
      <c r="CE391" s="21">
        <f t="shared" si="230"/>
        <v>300</v>
      </c>
      <c r="CF391" s="58">
        <v>90</v>
      </c>
      <c r="CG391" s="131">
        <f t="shared" si="233"/>
        <v>27000</v>
      </c>
      <c r="CH391" s="17" t="s">
        <v>1863</v>
      </c>
      <c r="CI391" s="132">
        <f>IF(Table1[[#This Row],[Check 3 Status]]="Continued", Table1[[#This Row],[Check 3 Students Summer]], 0)</f>
        <v>0</v>
      </c>
      <c r="CJ391" s="131">
        <f>Table1[[#This Row],[Check 3 Per Student Savings]]*CI391</f>
        <v>0</v>
      </c>
      <c r="CK391" s="132">
        <f>IF(Table1[[#This Row],[Check 3 Status]]="Continued", Table1[[#This Row],[Check 3 Students Fall]], 0)</f>
        <v>0</v>
      </c>
      <c r="CL391" s="131">
        <f>Table1[[#This Row],[Check 3 Per Student Savings]]*CK391</f>
        <v>0</v>
      </c>
      <c r="CM391" s="124">
        <f>IF(Table1[[#This Row],[Check 3 Status]]="Continued", Table1[[#This Row],[Check 3 Students Spring]], 0)</f>
        <v>0</v>
      </c>
      <c r="CN391" s="123">
        <f>Table1[[#This Row],[Check 3 Per Student Savings]]*CM391</f>
        <v>0</v>
      </c>
      <c r="CO391" s="124">
        <f t="shared" si="231"/>
        <v>0</v>
      </c>
      <c r="CP391" s="123">
        <f t="shared" si="232"/>
        <v>0</v>
      </c>
      <c r="CQ391" s="123" t="s">
        <v>130</v>
      </c>
      <c r="CR391" s="124">
        <v>60</v>
      </c>
      <c r="CS391" s="124">
        <v>120</v>
      </c>
      <c r="CT391" s="124">
        <v>120</v>
      </c>
      <c r="CU391" s="124">
        <f t="shared" ref="CU391:CU449" si="238">CR391+CS391+CT391</f>
        <v>300</v>
      </c>
      <c r="CV391" s="123">
        <v>90</v>
      </c>
      <c r="CW391" s="123">
        <f t="shared" si="235"/>
        <v>27000</v>
      </c>
      <c r="CX391" s="17" t="s">
        <v>1863</v>
      </c>
      <c r="CY391" s="124">
        <v>0</v>
      </c>
      <c r="CZ391" s="58">
        <f>Table1[[#This Row],[Check 4 Per Student Savings]]*CY391</f>
        <v>0</v>
      </c>
      <c r="DA391" s="124">
        <v>0</v>
      </c>
      <c r="DB391" s="123">
        <f>Table1[[#This Row],[Check 4 Per Student Savings]]*DA391</f>
        <v>0</v>
      </c>
      <c r="DC391" s="21">
        <f>IF(Table1[[#This Row],[Check 4 Status]]="Continued", Table1[[#This Row],[Check 4 Students Spring]], 0)</f>
        <v>120</v>
      </c>
      <c r="DD391" s="58">
        <f>Table1[[#This Row],[Check 4 Per Student Savings]]*DC391</f>
        <v>10800</v>
      </c>
      <c r="DE391" s="58">
        <f t="shared" si="236"/>
        <v>120</v>
      </c>
      <c r="DF391" s="58">
        <f t="shared" si="237"/>
        <v>10800</v>
      </c>
      <c r="DG39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120</v>
      </c>
      <c r="DH39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10800</v>
      </c>
      <c r="DI391" s="111">
        <f>Table1[[#This Row],[Grand Total Savings]]/Table1[[#This Row],[Total Award]]</f>
        <v>0.84375</v>
      </c>
      <c r="DJ391" s="31"/>
      <c r="DL391" s="31"/>
      <c r="DM391" s="207"/>
      <c r="DN391" s="58"/>
      <c r="DO391" s="31"/>
      <c r="DP391" s="58"/>
      <c r="DQ391" s="58"/>
      <c r="EC391" s="17"/>
      <c r="ED391" s="17"/>
      <c r="EE391" s="17"/>
      <c r="EF391" s="17"/>
      <c r="EG391" s="21"/>
      <c r="EH391" s="58"/>
      <c r="EI391" s="21"/>
      <c r="EJ391" s="21"/>
    </row>
    <row r="392" spans="1:140" ht="16.5" thickTop="1" thickBot="1" x14ac:dyDescent="0.3">
      <c r="A392" s="128">
        <v>522</v>
      </c>
      <c r="B392" s="128"/>
      <c r="C392" s="128"/>
      <c r="D392" s="129"/>
      <c r="E392" s="130"/>
      <c r="F392" s="130"/>
      <c r="G392" s="200" t="s">
        <v>1862</v>
      </c>
      <c r="H392" s="95" t="s">
        <v>5</v>
      </c>
      <c r="I392" s="226" t="s">
        <v>118</v>
      </c>
      <c r="J392" s="17" t="s">
        <v>172</v>
      </c>
      <c r="K392" s="58">
        <v>30000</v>
      </c>
      <c r="L392" s="58" t="s">
        <v>1863</v>
      </c>
      <c r="M392" s="17" t="s">
        <v>1814</v>
      </c>
      <c r="N392" s="128" t="s">
        <v>1815</v>
      </c>
      <c r="O392" s="17" t="s">
        <v>454</v>
      </c>
      <c r="P392" s="17" t="s">
        <v>455</v>
      </c>
      <c r="Q392" s="101" t="s">
        <v>456</v>
      </c>
      <c r="R392" s="101"/>
      <c r="S392" s="209"/>
      <c r="T392" s="209"/>
      <c r="U392" s="209"/>
      <c r="V392" s="17" t="s">
        <v>1095</v>
      </c>
      <c r="W392" s="17" t="s">
        <v>1095</v>
      </c>
      <c r="X392" s="17" t="s">
        <v>1095</v>
      </c>
      <c r="Y392" s="58">
        <v>225000</v>
      </c>
      <c r="Z392" s="21">
        <v>3000</v>
      </c>
      <c r="AA392" s="58">
        <f>Table1[[#This Row],[Annual Savings]]/Table1[[#This Row],[Annual Students]]</f>
        <v>75</v>
      </c>
      <c r="AB392" s="21">
        <v>120</v>
      </c>
      <c r="AC392" s="21">
        <v>500</v>
      </c>
      <c r="AD392" s="21">
        <v>300</v>
      </c>
      <c r="AE392" s="17" t="s">
        <v>498</v>
      </c>
      <c r="AF392" s="58" t="s">
        <v>125</v>
      </c>
      <c r="AG392" s="21">
        <v>341</v>
      </c>
      <c r="AH392" s="58" t="s">
        <v>498</v>
      </c>
      <c r="AI392" s="111" t="s">
        <v>130</v>
      </c>
      <c r="AJ392" s="21">
        <v>0</v>
      </c>
      <c r="AK392" s="21">
        <v>0</v>
      </c>
      <c r="AL392" s="21">
        <v>0</v>
      </c>
      <c r="AM392" s="58">
        <f t="shared" si="222"/>
        <v>0</v>
      </c>
      <c r="AN392" s="21">
        <v>0</v>
      </c>
      <c r="AO392" s="58">
        <f t="shared" si="223"/>
        <v>0</v>
      </c>
      <c r="AP392" s="21">
        <v>0</v>
      </c>
      <c r="AQ392" s="21">
        <v>0</v>
      </c>
      <c r="AR392" s="21">
        <v>0</v>
      </c>
      <c r="AS392" s="21">
        <v>0</v>
      </c>
      <c r="AT392" s="21">
        <v>0</v>
      </c>
      <c r="AU392" s="58">
        <f t="shared" si="225"/>
        <v>0</v>
      </c>
      <c r="AV392" s="21">
        <v>0</v>
      </c>
      <c r="AW392" s="21">
        <v>0</v>
      </c>
      <c r="AX392" s="21">
        <v>0</v>
      </c>
      <c r="AY392" s="21">
        <v>0</v>
      </c>
      <c r="AZ392" s="21">
        <v>0</v>
      </c>
      <c r="BA392" s="21">
        <v>0</v>
      </c>
      <c r="BB392" s="21">
        <v>0</v>
      </c>
      <c r="BC392" s="21">
        <v>0</v>
      </c>
      <c r="BD392" s="21">
        <v>0</v>
      </c>
      <c r="BE392" s="21">
        <v>0</v>
      </c>
      <c r="BF392" s="21">
        <v>0</v>
      </c>
      <c r="BG392" s="21">
        <v>0</v>
      </c>
      <c r="BH392" s="21">
        <v>0</v>
      </c>
      <c r="BI392" s="21">
        <v>0</v>
      </c>
      <c r="BJ392" s="21">
        <v>0</v>
      </c>
      <c r="BK392" s="21">
        <v>0</v>
      </c>
      <c r="BL392" s="17" t="s">
        <v>130</v>
      </c>
      <c r="BM392" s="21">
        <v>0</v>
      </c>
      <c r="BN392" s="21">
        <v>0</v>
      </c>
      <c r="BO392" s="21">
        <v>0</v>
      </c>
      <c r="BP392" s="21">
        <v>0</v>
      </c>
      <c r="BQ392" s="21">
        <v>0</v>
      </c>
      <c r="BR392" s="21">
        <v>0</v>
      </c>
      <c r="BS392" s="21">
        <v>0</v>
      </c>
      <c r="BT392" s="21">
        <v>0</v>
      </c>
      <c r="BU392" s="21">
        <v>0</v>
      </c>
      <c r="BV392" s="21">
        <v>0</v>
      </c>
      <c r="BW392" s="21">
        <v>0</v>
      </c>
      <c r="BX392" s="131">
        <f>Table1[[#This Row],[Summer 2018 Price Check]]*Table1[[#This Row],[Spring 2019 Students]]</f>
        <v>0</v>
      </c>
      <c r="BY392" s="31">
        <f t="shared" si="226"/>
        <v>0</v>
      </c>
      <c r="BZ392" s="58">
        <f t="shared" si="227"/>
        <v>0</v>
      </c>
      <c r="CA392" s="58" t="s">
        <v>130</v>
      </c>
      <c r="CB392" s="31">
        <f t="shared" si="228"/>
        <v>0</v>
      </c>
      <c r="CC392" s="31">
        <v>0</v>
      </c>
      <c r="CD392" s="31">
        <f t="shared" si="229"/>
        <v>0</v>
      </c>
      <c r="CE392" s="21">
        <f t="shared" si="230"/>
        <v>3000</v>
      </c>
      <c r="CF392" s="58">
        <v>75</v>
      </c>
      <c r="CG392" s="131">
        <f t="shared" si="233"/>
        <v>225000</v>
      </c>
      <c r="CH392" s="17" t="s">
        <v>498</v>
      </c>
      <c r="CI392" s="132">
        <f>IF(Table1[[#This Row],[Check 3 Status]]="Continued", Table1[[#This Row],[Check 3 Students Summer]], 0)</f>
        <v>0</v>
      </c>
      <c r="CJ392" s="131">
        <f>Table1[[#This Row],[Check 3 Per Student Savings]]*CI392</f>
        <v>0</v>
      </c>
      <c r="CK392" s="132">
        <f>IF(Table1[[#This Row],[Check 3 Status]]="Continued", Table1[[#This Row],[Check 3 Students Fall]], 0)</f>
        <v>0</v>
      </c>
      <c r="CL392" s="131">
        <f>Table1[[#This Row],[Check 3 Per Student Savings]]*CK392</f>
        <v>0</v>
      </c>
      <c r="CM392" s="124">
        <f>IF(Table1[[#This Row],[Check 3 Status]]="Continued", Table1[[#This Row],[Check 3 Students Spring]], 0)</f>
        <v>0</v>
      </c>
      <c r="CN392" s="123">
        <f>Table1[[#This Row],[Check 3 Per Student Savings]]*CM392</f>
        <v>0</v>
      </c>
      <c r="CO392" s="124">
        <f t="shared" si="231"/>
        <v>0</v>
      </c>
      <c r="CP392" s="123">
        <f t="shared" si="232"/>
        <v>0</v>
      </c>
      <c r="CQ392" s="123" t="s">
        <v>130</v>
      </c>
      <c r="CR392" s="124">
        <v>120</v>
      </c>
      <c r="CS392" s="124">
        <v>500</v>
      </c>
      <c r="CT392" s="124">
        <v>300</v>
      </c>
      <c r="CU392" s="124">
        <f t="shared" si="238"/>
        <v>920</v>
      </c>
      <c r="CV392" s="123">
        <v>75</v>
      </c>
      <c r="CW392" s="123">
        <f t="shared" si="235"/>
        <v>69000</v>
      </c>
      <c r="CX392" s="17" t="s">
        <v>498</v>
      </c>
      <c r="CY392" s="124">
        <v>0</v>
      </c>
      <c r="CZ392" s="58">
        <f>Table1[[#This Row],[Check 4 Per Student Savings]]*CY392</f>
        <v>0</v>
      </c>
      <c r="DA392" s="124">
        <v>0</v>
      </c>
      <c r="DB392" s="123">
        <f>Table1[[#This Row],[Check 4 Per Student Savings]]*DA392</f>
        <v>0</v>
      </c>
      <c r="DC392" s="21">
        <f>IF(Table1[[#This Row],[Check 4 Status]]="Continued", Table1[[#This Row],[Check 4 Students Spring]], 0)</f>
        <v>300</v>
      </c>
      <c r="DD392" s="58">
        <f>Table1[[#This Row],[Check 4 Per Student Savings]]*DC392</f>
        <v>22500</v>
      </c>
      <c r="DE392" s="58">
        <f t="shared" si="236"/>
        <v>300</v>
      </c>
      <c r="DF392" s="58">
        <f t="shared" si="237"/>
        <v>22500</v>
      </c>
      <c r="DG39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300</v>
      </c>
      <c r="DH39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22500</v>
      </c>
      <c r="DI392" s="111">
        <f>Table1[[#This Row],[Grand Total Savings]]/Table1[[#This Row],[Total Award]]</f>
        <v>0.75</v>
      </c>
      <c r="DJ392" s="31"/>
      <c r="DL392" s="31"/>
      <c r="DM392" s="207"/>
      <c r="DN392" s="58"/>
      <c r="DO392" s="31"/>
      <c r="DP392" s="58"/>
      <c r="DQ392" s="58"/>
      <c r="EC392" s="17"/>
      <c r="ED392" s="17"/>
      <c r="EE392" s="17"/>
      <c r="EF392" s="17"/>
      <c r="EG392" s="21"/>
      <c r="EH392" s="58"/>
      <c r="EI392" s="21"/>
      <c r="EJ392" s="21"/>
    </row>
    <row r="393" spans="1:140" ht="16.5" thickTop="1" thickBot="1" x14ac:dyDescent="0.3">
      <c r="A393" s="128" t="s">
        <v>1785</v>
      </c>
      <c r="B393" s="128"/>
      <c r="C393" s="128"/>
      <c r="D393" s="129">
        <v>517900</v>
      </c>
      <c r="E393" s="130"/>
      <c r="F393" s="130"/>
      <c r="G393" s="200" t="s">
        <v>1862</v>
      </c>
      <c r="H393" s="95" t="s">
        <v>5</v>
      </c>
      <c r="I393" s="17" t="s">
        <v>962</v>
      </c>
      <c r="J393" s="17" t="s">
        <v>132</v>
      </c>
      <c r="K393" s="58">
        <v>2800</v>
      </c>
      <c r="L393" s="58" t="s">
        <v>498</v>
      </c>
      <c r="M393" s="17" t="s">
        <v>1816</v>
      </c>
      <c r="N393" s="17" t="s">
        <v>1817</v>
      </c>
      <c r="O393" s="93" t="s">
        <v>1839</v>
      </c>
      <c r="P393" s="17" t="s">
        <v>1855</v>
      </c>
      <c r="Q393" s="101" t="s">
        <v>177</v>
      </c>
      <c r="R393" s="101"/>
      <c r="S393" s="209"/>
      <c r="T393" s="209"/>
      <c r="U393" s="209"/>
      <c r="V393" s="17" t="s">
        <v>1095</v>
      </c>
      <c r="W393" s="17" t="s">
        <v>1095</v>
      </c>
      <c r="X393" s="17" t="s">
        <v>1095</v>
      </c>
      <c r="Y393" s="21">
        <v>0</v>
      </c>
      <c r="Z393" s="21">
        <v>0</v>
      </c>
      <c r="AA393" s="21">
        <v>0</v>
      </c>
      <c r="AB393" s="21">
        <v>0</v>
      </c>
      <c r="AC393" s="21">
        <v>0</v>
      </c>
      <c r="AD393" s="21">
        <v>0</v>
      </c>
      <c r="AE393" s="17" t="s">
        <v>498</v>
      </c>
      <c r="AF393" s="58" t="s">
        <v>129</v>
      </c>
      <c r="AG393" s="58"/>
      <c r="AH393" s="58"/>
      <c r="AI393" s="58"/>
      <c r="AJ393" s="21">
        <v>0</v>
      </c>
      <c r="AK393" s="21">
        <v>0</v>
      </c>
      <c r="AL393" s="21">
        <v>0</v>
      </c>
      <c r="AM393" s="58">
        <f t="shared" si="222"/>
        <v>0</v>
      </c>
      <c r="AN393" s="21">
        <v>0</v>
      </c>
      <c r="AO393" s="21">
        <v>0</v>
      </c>
      <c r="AP393" s="21">
        <f>IF(Table1[[#This Row],[Sustainability Check 1 (2017-2018) Status]]="Continued", Table1[[#This Row],[Students Per Fall]], 0)</f>
        <v>0</v>
      </c>
      <c r="AQ393" s="21">
        <v>0</v>
      </c>
      <c r="AR393" s="21">
        <v>0</v>
      </c>
      <c r="AS393" s="21">
        <v>0</v>
      </c>
      <c r="AT393" s="21">
        <v>0</v>
      </c>
      <c r="AU393" s="58">
        <f t="shared" si="225"/>
        <v>0</v>
      </c>
      <c r="AV393" s="21">
        <v>0</v>
      </c>
      <c r="AW393" s="21">
        <v>0</v>
      </c>
      <c r="AX393" s="21">
        <v>0</v>
      </c>
      <c r="AY393" s="21">
        <v>0</v>
      </c>
      <c r="AZ393" s="21">
        <v>0</v>
      </c>
      <c r="BA393" s="21">
        <v>0</v>
      </c>
      <c r="BB393" s="21">
        <v>0</v>
      </c>
      <c r="BC393" s="21">
        <v>0</v>
      </c>
      <c r="BD393" s="21">
        <v>0</v>
      </c>
      <c r="BE393" s="21">
        <v>0</v>
      </c>
      <c r="BF393" s="21">
        <v>0</v>
      </c>
      <c r="BG393" s="21">
        <v>0</v>
      </c>
      <c r="BH393" s="21">
        <v>0</v>
      </c>
      <c r="BI393" s="21">
        <v>0</v>
      </c>
      <c r="BJ393" s="21">
        <v>0</v>
      </c>
      <c r="BK393" s="21">
        <v>0</v>
      </c>
      <c r="BL393" s="17" t="s">
        <v>964</v>
      </c>
      <c r="BM393" s="21">
        <v>0</v>
      </c>
      <c r="BN393" s="21">
        <v>0</v>
      </c>
      <c r="BO393" s="21">
        <v>0</v>
      </c>
      <c r="BP393" s="21">
        <v>0</v>
      </c>
      <c r="BQ393" s="21">
        <v>0</v>
      </c>
      <c r="BR393" s="21">
        <v>0</v>
      </c>
      <c r="BS393" s="21">
        <v>0</v>
      </c>
      <c r="BT393" s="21">
        <v>0</v>
      </c>
      <c r="BU393" s="21">
        <v>0</v>
      </c>
      <c r="BV393" s="21">
        <v>0</v>
      </c>
      <c r="BW393" s="21">
        <v>0</v>
      </c>
      <c r="BX393" s="131">
        <f>Table1[[#This Row],[Summer 2018 Price Check]]*Table1[[#This Row],[Spring 2019 Students]]</f>
        <v>0</v>
      </c>
      <c r="BY393" s="31">
        <f t="shared" si="226"/>
        <v>0</v>
      </c>
      <c r="BZ393" s="58">
        <f t="shared" si="227"/>
        <v>0</v>
      </c>
      <c r="CA393" s="58" t="s">
        <v>964</v>
      </c>
      <c r="CB393" s="31">
        <f t="shared" si="228"/>
        <v>0</v>
      </c>
      <c r="CC393" s="31">
        <v>0</v>
      </c>
      <c r="CD393" s="31">
        <f t="shared" si="229"/>
        <v>0</v>
      </c>
      <c r="CE393" s="31">
        <v>0</v>
      </c>
      <c r="CF393" s="31">
        <v>0</v>
      </c>
      <c r="CG393" s="131">
        <f t="shared" si="233"/>
        <v>0</v>
      </c>
      <c r="CH393" s="17" t="s">
        <v>498</v>
      </c>
      <c r="CI393" s="132">
        <f>IF(Table1[[#This Row],[Check 3 Status]]="Continued", Table1[[#This Row],[Check 3 Students Summer]], 0)</f>
        <v>0</v>
      </c>
      <c r="CJ393" s="131">
        <f>Table1[[#This Row],[Check 3 Per Student Savings]]*CI393</f>
        <v>0</v>
      </c>
      <c r="CK393" s="132">
        <f>IF(Table1[[#This Row],[Check 3 Status]]="Continued", Table1[[#This Row],[Check 3 Students Fall]], 0)</f>
        <v>0</v>
      </c>
      <c r="CL393" s="131">
        <f>Table1[[#This Row],[Check 3 Per Student Savings]]*CK393</f>
        <v>0</v>
      </c>
      <c r="CM393" s="124">
        <f>IF(Table1[[#This Row],[Check 3 Status]]="Continued", Table1[[#This Row],[Check 3 Students Spring]], 0)</f>
        <v>0</v>
      </c>
      <c r="CN393" s="123">
        <f>Table1[[#This Row],[Check 3 Per Student Savings]]*CM393</f>
        <v>0</v>
      </c>
      <c r="CO393" s="124">
        <f t="shared" si="231"/>
        <v>0</v>
      </c>
      <c r="CP393" s="123">
        <f t="shared" si="232"/>
        <v>0</v>
      </c>
      <c r="CQ393" s="123" t="s">
        <v>964</v>
      </c>
      <c r="CR393" s="124">
        <v>0</v>
      </c>
      <c r="CS393" s="124">
        <v>0</v>
      </c>
      <c r="CT393" s="124">
        <v>0</v>
      </c>
      <c r="CU393" s="124">
        <f t="shared" si="238"/>
        <v>0</v>
      </c>
      <c r="CV393" s="123">
        <v>0</v>
      </c>
      <c r="CW393" s="123">
        <f t="shared" si="235"/>
        <v>0</v>
      </c>
      <c r="CX393" s="17" t="s">
        <v>498</v>
      </c>
      <c r="CY393" s="124">
        <v>0</v>
      </c>
      <c r="CZ393" s="58">
        <f>Table1[[#This Row],[Check 4 Per Student Savings]]*CY393</f>
        <v>0</v>
      </c>
      <c r="DA393" s="124">
        <v>0</v>
      </c>
      <c r="DB393" s="123">
        <f>Table1[[#This Row],[Check 4 Per Student Savings]]*DA393</f>
        <v>0</v>
      </c>
      <c r="DC393" s="21">
        <f>IF(Table1[[#This Row],[Check 4 Status]]="Continued", Table1[[#This Row],[Check 4 Students Spring]], 0)</f>
        <v>0</v>
      </c>
      <c r="DD393" s="58">
        <f>Table1[[#This Row],[Check 4 Per Student Savings]]*DC393</f>
        <v>0</v>
      </c>
      <c r="DE393" s="58">
        <f t="shared" si="236"/>
        <v>0</v>
      </c>
      <c r="DF393" s="58">
        <f t="shared" si="237"/>
        <v>0</v>
      </c>
      <c r="DG39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9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93" s="111">
        <f>Table1[[#This Row],[Grand Total Savings]]/Table1[[#This Row],[Total Award]]</f>
        <v>0</v>
      </c>
      <c r="DJ393" s="31"/>
      <c r="DL393" s="31"/>
      <c r="DM393" s="207"/>
      <c r="DN393" s="58"/>
      <c r="DO393" s="31"/>
      <c r="DP393" s="58"/>
      <c r="DQ393" s="58"/>
      <c r="EC393" s="17"/>
      <c r="ED393" s="17"/>
      <c r="EE393" s="17"/>
      <c r="EF393" s="17"/>
      <c r="EG393" s="21"/>
      <c r="EH393" s="58"/>
      <c r="EI393" s="21"/>
      <c r="EJ393" s="21"/>
    </row>
    <row r="394" spans="1:140" ht="16.5" thickTop="1" thickBot="1" x14ac:dyDescent="0.3">
      <c r="A394" s="128" t="s">
        <v>1786</v>
      </c>
      <c r="B394" s="128"/>
      <c r="C394" s="128"/>
      <c r="D394" s="129">
        <v>517623</v>
      </c>
      <c r="E394" s="130"/>
      <c r="F394" s="130"/>
      <c r="G394" s="200" t="s">
        <v>1862</v>
      </c>
      <c r="H394" s="95" t="s">
        <v>5</v>
      </c>
      <c r="I394" s="17" t="s">
        <v>962</v>
      </c>
      <c r="J394" s="17" t="s">
        <v>236</v>
      </c>
      <c r="K394" s="58">
        <v>4800</v>
      </c>
      <c r="L394" s="58" t="s">
        <v>1863</v>
      </c>
      <c r="M394" s="17" t="s">
        <v>1550</v>
      </c>
      <c r="N394" s="17" t="s">
        <v>1551</v>
      </c>
      <c r="O394" s="93" t="s">
        <v>1840</v>
      </c>
      <c r="P394" s="17" t="s">
        <v>1856</v>
      </c>
      <c r="Q394" s="101" t="s">
        <v>304</v>
      </c>
      <c r="R394" s="101"/>
      <c r="S394" s="209"/>
      <c r="T394" s="209"/>
      <c r="U394" s="209"/>
      <c r="V394" s="17" t="s">
        <v>1095</v>
      </c>
      <c r="W394" s="17" t="s">
        <v>1095</v>
      </c>
      <c r="X394" s="17" t="s">
        <v>1095</v>
      </c>
      <c r="Y394" s="21">
        <v>0</v>
      </c>
      <c r="Z394" s="21">
        <v>0</v>
      </c>
      <c r="AA394" s="21">
        <v>0</v>
      </c>
      <c r="AB394" s="21">
        <v>0</v>
      </c>
      <c r="AC394" s="21">
        <v>0</v>
      </c>
      <c r="AD394" s="21">
        <v>0</v>
      </c>
      <c r="AE394" s="17" t="s">
        <v>1863</v>
      </c>
      <c r="AF394" s="58" t="s">
        <v>129</v>
      </c>
      <c r="AG394" s="58"/>
      <c r="AH394" s="58"/>
      <c r="AI394" s="58"/>
      <c r="AJ394" s="21">
        <v>0</v>
      </c>
      <c r="AK394" s="21">
        <v>0</v>
      </c>
      <c r="AL394" s="21">
        <v>0</v>
      </c>
      <c r="AM394" s="58">
        <f t="shared" si="222"/>
        <v>0</v>
      </c>
      <c r="AN394" s="21">
        <v>0</v>
      </c>
      <c r="AO394" s="21">
        <v>0</v>
      </c>
      <c r="AP394" s="21">
        <f>IF(Table1[[#This Row],[Sustainability Check 1 (2017-2018) Status]]="Continued", Table1[[#This Row],[Students Per Fall]], 0)</f>
        <v>0</v>
      </c>
      <c r="AQ394" s="21">
        <v>0</v>
      </c>
      <c r="AR394" s="21">
        <v>0</v>
      </c>
      <c r="AS394" s="21">
        <v>0</v>
      </c>
      <c r="AT394" s="21">
        <v>0</v>
      </c>
      <c r="AU394" s="58">
        <f t="shared" si="225"/>
        <v>0</v>
      </c>
      <c r="AV394" s="21">
        <v>0</v>
      </c>
      <c r="AW394" s="21">
        <v>0</v>
      </c>
      <c r="AX394" s="21">
        <v>0</v>
      </c>
      <c r="AY394" s="21">
        <v>0</v>
      </c>
      <c r="AZ394" s="21">
        <v>0</v>
      </c>
      <c r="BA394" s="21">
        <v>0</v>
      </c>
      <c r="BB394" s="21">
        <v>0</v>
      </c>
      <c r="BC394" s="21">
        <v>0</v>
      </c>
      <c r="BD394" s="21">
        <v>0</v>
      </c>
      <c r="BE394" s="21">
        <v>0</v>
      </c>
      <c r="BF394" s="21">
        <v>0</v>
      </c>
      <c r="BG394" s="21">
        <v>0</v>
      </c>
      <c r="BH394" s="21">
        <v>0</v>
      </c>
      <c r="BI394" s="21">
        <v>0</v>
      </c>
      <c r="BJ394" s="21">
        <v>0</v>
      </c>
      <c r="BK394" s="21">
        <v>0</v>
      </c>
      <c r="BL394" s="17" t="s">
        <v>964</v>
      </c>
      <c r="BM394" s="21">
        <v>0</v>
      </c>
      <c r="BN394" s="21">
        <v>0</v>
      </c>
      <c r="BO394" s="21">
        <v>0</v>
      </c>
      <c r="BP394" s="21">
        <v>0</v>
      </c>
      <c r="BQ394" s="21">
        <v>0</v>
      </c>
      <c r="BR394" s="21">
        <v>0</v>
      </c>
      <c r="BS394" s="21">
        <v>0</v>
      </c>
      <c r="BT394" s="21">
        <v>0</v>
      </c>
      <c r="BU394" s="21">
        <v>0</v>
      </c>
      <c r="BV394" s="21">
        <v>0</v>
      </c>
      <c r="BW394" s="21">
        <v>0</v>
      </c>
      <c r="BX394" s="131">
        <f>Table1[[#This Row],[Summer 2018 Price Check]]*Table1[[#This Row],[Spring 2019 Students]]</f>
        <v>0</v>
      </c>
      <c r="BY394" s="31">
        <f t="shared" si="226"/>
        <v>0</v>
      </c>
      <c r="BZ394" s="58">
        <f t="shared" si="227"/>
        <v>0</v>
      </c>
      <c r="CA394" s="58" t="s">
        <v>964</v>
      </c>
      <c r="CB394" s="31">
        <f t="shared" si="228"/>
        <v>0</v>
      </c>
      <c r="CC394" s="31">
        <v>0</v>
      </c>
      <c r="CD394" s="31">
        <f t="shared" si="229"/>
        <v>0</v>
      </c>
      <c r="CE394" s="31">
        <v>0</v>
      </c>
      <c r="CF394" s="31">
        <v>0</v>
      </c>
      <c r="CG394" s="131">
        <f t="shared" si="233"/>
        <v>0</v>
      </c>
      <c r="CH394" s="17" t="s">
        <v>1863</v>
      </c>
      <c r="CI394" s="132">
        <f>IF(Table1[[#This Row],[Check 3 Status]]="Continued", Table1[[#This Row],[Check 3 Students Summer]], 0)</f>
        <v>0</v>
      </c>
      <c r="CJ394" s="131">
        <f>Table1[[#This Row],[Check 3 Per Student Savings]]*CI394</f>
        <v>0</v>
      </c>
      <c r="CK394" s="132">
        <f>IF(Table1[[#This Row],[Check 3 Status]]="Continued", Table1[[#This Row],[Check 3 Students Fall]], 0)</f>
        <v>0</v>
      </c>
      <c r="CL394" s="131">
        <f>Table1[[#This Row],[Check 3 Per Student Savings]]*CK394</f>
        <v>0</v>
      </c>
      <c r="CM394" s="124">
        <f>IF(Table1[[#This Row],[Check 3 Status]]="Continued", Table1[[#This Row],[Check 3 Students Spring]], 0)</f>
        <v>0</v>
      </c>
      <c r="CN394" s="123">
        <f>Table1[[#This Row],[Check 3 Per Student Savings]]*CM394</f>
        <v>0</v>
      </c>
      <c r="CO394" s="124">
        <f t="shared" si="231"/>
        <v>0</v>
      </c>
      <c r="CP394" s="123">
        <f t="shared" si="232"/>
        <v>0</v>
      </c>
      <c r="CQ394" s="123" t="s">
        <v>964</v>
      </c>
      <c r="CR394" s="124">
        <v>0</v>
      </c>
      <c r="CS394" s="124">
        <v>0</v>
      </c>
      <c r="CT394" s="124">
        <v>0</v>
      </c>
      <c r="CU394" s="124">
        <f t="shared" si="238"/>
        <v>0</v>
      </c>
      <c r="CV394" s="123">
        <v>0</v>
      </c>
      <c r="CW394" s="123">
        <f t="shared" si="235"/>
        <v>0</v>
      </c>
      <c r="CX394" s="17" t="s">
        <v>1863</v>
      </c>
      <c r="CY394" s="124">
        <v>0</v>
      </c>
      <c r="CZ394" s="58">
        <f>Table1[[#This Row],[Check 4 Per Student Savings]]*CY394</f>
        <v>0</v>
      </c>
      <c r="DA394" s="124">
        <v>0</v>
      </c>
      <c r="DB394" s="123">
        <f>Table1[[#This Row],[Check 4 Per Student Savings]]*DA394</f>
        <v>0</v>
      </c>
      <c r="DC394" s="21">
        <f>IF(Table1[[#This Row],[Check 4 Status]]="Continued", Table1[[#This Row],[Check 4 Students Spring]], 0)</f>
        <v>0</v>
      </c>
      <c r="DD394" s="58">
        <f>Table1[[#This Row],[Check 4 Per Student Savings]]*DC394</f>
        <v>0</v>
      </c>
      <c r="DE394" s="58">
        <f t="shared" si="236"/>
        <v>0</v>
      </c>
      <c r="DF394" s="58">
        <f t="shared" si="237"/>
        <v>0</v>
      </c>
      <c r="DG39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9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94" s="111">
        <f>Table1[[#This Row],[Grand Total Savings]]/Table1[[#This Row],[Total Award]]</f>
        <v>0</v>
      </c>
      <c r="DJ394" s="31"/>
      <c r="DL394" s="31"/>
      <c r="DM394" s="207"/>
      <c r="DN394" s="58"/>
      <c r="DO394" s="31"/>
      <c r="DP394" s="58"/>
      <c r="DQ394" s="58"/>
      <c r="EC394" s="17"/>
      <c r="ED394" s="17"/>
      <c r="EE394" s="17"/>
      <c r="EF394" s="17"/>
      <c r="EG394" s="21"/>
      <c r="EH394" s="58"/>
      <c r="EI394" s="21"/>
      <c r="EJ394" s="21"/>
    </row>
    <row r="395" spans="1:140" ht="16.5" thickTop="1" thickBot="1" x14ac:dyDescent="0.3">
      <c r="A395" s="128" t="s">
        <v>1787</v>
      </c>
      <c r="B395" s="128"/>
      <c r="C395" s="128"/>
      <c r="D395" s="129"/>
      <c r="E395" s="130"/>
      <c r="F395" s="130"/>
      <c r="G395" s="200" t="s">
        <v>1862</v>
      </c>
      <c r="H395" s="95" t="s">
        <v>5</v>
      </c>
      <c r="I395" s="17" t="s">
        <v>962</v>
      </c>
      <c r="J395" s="17" t="s">
        <v>218</v>
      </c>
      <c r="K395" s="58">
        <v>4800</v>
      </c>
      <c r="L395" s="58" t="s">
        <v>1863</v>
      </c>
      <c r="M395" s="17" t="s">
        <v>1334</v>
      </c>
      <c r="N395" s="17" t="s">
        <v>1818</v>
      </c>
      <c r="O395" s="93" t="s">
        <v>1336</v>
      </c>
      <c r="P395" s="17" t="s">
        <v>1857</v>
      </c>
      <c r="Q395" s="101" t="s">
        <v>317</v>
      </c>
      <c r="R395" s="101"/>
      <c r="S395" s="209"/>
      <c r="T395" s="209"/>
      <c r="U395" s="209"/>
      <c r="V395" s="17" t="s">
        <v>1095</v>
      </c>
      <c r="W395" s="17" t="s">
        <v>1095</v>
      </c>
      <c r="X395" s="17" t="s">
        <v>1095</v>
      </c>
      <c r="Y395" s="21">
        <v>0</v>
      </c>
      <c r="Z395" s="21">
        <v>0</v>
      </c>
      <c r="AA395" s="21">
        <v>0</v>
      </c>
      <c r="AB395" s="21">
        <v>0</v>
      </c>
      <c r="AC395" s="21">
        <v>0</v>
      </c>
      <c r="AD395" s="21">
        <v>0</v>
      </c>
      <c r="AE395" s="17" t="s">
        <v>1863</v>
      </c>
      <c r="AF395" s="58" t="s">
        <v>129</v>
      </c>
      <c r="AG395" s="58"/>
      <c r="AH395" s="58"/>
      <c r="AI395" s="58"/>
      <c r="AJ395" s="21">
        <v>0</v>
      </c>
      <c r="AK395" s="21">
        <v>0</v>
      </c>
      <c r="AL395" s="21">
        <v>0</v>
      </c>
      <c r="AM395" s="58">
        <f t="shared" si="222"/>
        <v>0</v>
      </c>
      <c r="AN395" s="21">
        <f>IF(Table1[[#This Row],[Sustainability Check 1 (2017-2018) Status]]="Continued", Table1[[#This Row],[Students Per Summer]], 0)</f>
        <v>0</v>
      </c>
      <c r="AO395" s="21">
        <v>0</v>
      </c>
      <c r="AP395" s="21">
        <f>IF(Table1[[#This Row],[Sustainability Check 1 (2017-2018) Status]]="Continued", Table1[[#This Row],[Students Per Fall]], 0)</f>
        <v>0</v>
      </c>
      <c r="AQ395" s="21">
        <v>0</v>
      </c>
      <c r="AR395" s="21">
        <v>0</v>
      </c>
      <c r="AS395" s="21">
        <v>0</v>
      </c>
      <c r="AT395" s="21">
        <v>0</v>
      </c>
      <c r="AU395" s="58">
        <f t="shared" si="225"/>
        <v>0</v>
      </c>
      <c r="AV395" s="21">
        <v>0</v>
      </c>
      <c r="AW395" s="21">
        <v>0</v>
      </c>
      <c r="AX395" s="21">
        <v>0</v>
      </c>
      <c r="AY395" s="21">
        <v>0</v>
      </c>
      <c r="AZ395" s="21">
        <v>0</v>
      </c>
      <c r="BA395" s="21">
        <v>0</v>
      </c>
      <c r="BB395" s="21">
        <v>0</v>
      </c>
      <c r="BC395" s="21">
        <v>0</v>
      </c>
      <c r="BD395" s="21">
        <v>0</v>
      </c>
      <c r="BE395" s="21">
        <v>0</v>
      </c>
      <c r="BF395" s="21">
        <v>0</v>
      </c>
      <c r="BG395" s="21">
        <v>0</v>
      </c>
      <c r="BH395" s="21">
        <v>0</v>
      </c>
      <c r="BI395" s="21">
        <v>0</v>
      </c>
      <c r="BJ395" s="21">
        <v>0</v>
      </c>
      <c r="BK395" s="21">
        <v>0</v>
      </c>
      <c r="BL395" s="17" t="s">
        <v>964</v>
      </c>
      <c r="BM395" s="21">
        <v>0</v>
      </c>
      <c r="BN395" s="21">
        <v>0</v>
      </c>
      <c r="BO395" s="21">
        <v>0</v>
      </c>
      <c r="BP395" s="21">
        <v>0</v>
      </c>
      <c r="BQ395" s="21">
        <v>0</v>
      </c>
      <c r="BR395" s="21">
        <v>0</v>
      </c>
      <c r="BS395" s="21">
        <v>0</v>
      </c>
      <c r="BT395" s="21">
        <v>0</v>
      </c>
      <c r="BU395" s="21">
        <v>0</v>
      </c>
      <c r="BV395" s="21">
        <v>0</v>
      </c>
      <c r="BW395" s="21">
        <v>0</v>
      </c>
      <c r="BX395" s="131">
        <f>Table1[[#This Row],[Summer 2018 Price Check]]*Table1[[#This Row],[Spring 2019 Students]]</f>
        <v>0</v>
      </c>
      <c r="BY395" s="31">
        <f t="shared" si="226"/>
        <v>0</v>
      </c>
      <c r="BZ395" s="58">
        <f t="shared" si="227"/>
        <v>0</v>
      </c>
      <c r="CA395" s="58" t="s">
        <v>964</v>
      </c>
      <c r="CB395" s="31">
        <f t="shared" si="228"/>
        <v>0</v>
      </c>
      <c r="CC395" s="31">
        <v>0</v>
      </c>
      <c r="CD395" s="31">
        <f t="shared" si="229"/>
        <v>0</v>
      </c>
      <c r="CE395" s="31">
        <v>0</v>
      </c>
      <c r="CF395" s="31">
        <v>0</v>
      </c>
      <c r="CG395" s="131">
        <f t="shared" si="233"/>
        <v>0</v>
      </c>
      <c r="CH395" s="17" t="s">
        <v>1863</v>
      </c>
      <c r="CI395" s="132">
        <f>IF(Table1[[#This Row],[Check 3 Status]]="Continued", Table1[[#This Row],[Check 3 Students Summer]], 0)</f>
        <v>0</v>
      </c>
      <c r="CJ395" s="131">
        <f>Table1[[#This Row],[Check 3 Per Student Savings]]*CI395</f>
        <v>0</v>
      </c>
      <c r="CK395" s="132">
        <f>IF(Table1[[#This Row],[Check 3 Status]]="Continued", Table1[[#This Row],[Check 3 Students Fall]], 0)</f>
        <v>0</v>
      </c>
      <c r="CL395" s="131">
        <f>Table1[[#This Row],[Check 3 Per Student Savings]]*CK395</f>
        <v>0</v>
      </c>
      <c r="CM395" s="124">
        <f>IF(Table1[[#This Row],[Check 3 Status]]="Continued", Table1[[#This Row],[Check 3 Students Spring]], 0)</f>
        <v>0</v>
      </c>
      <c r="CN395" s="123">
        <f>Table1[[#This Row],[Check 3 Per Student Savings]]*CM395</f>
        <v>0</v>
      </c>
      <c r="CO395" s="124">
        <f t="shared" si="231"/>
        <v>0</v>
      </c>
      <c r="CP395" s="123">
        <f t="shared" si="232"/>
        <v>0</v>
      </c>
      <c r="CQ395" s="123" t="s">
        <v>964</v>
      </c>
      <c r="CR395" s="124">
        <v>0</v>
      </c>
      <c r="CS395" s="124">
        <v>0</v>
      </c>
      <c r="CT395" s="124">
        <v>0</v>
      </c>
      <c r="CU395" s="124">
        <f t="shared" si="238"/>
        <v>0</v>
      </c>
      <c r="CV395" s="123">
        <v>0</v>
      </c>
      <c r="CW395" s="123">
        <f t="shared" si="235"/>
        <v>0</v>
      </c>
      <c r="CX395" s="17" t="s">
        <v>1863</v>
      </c>
      <c r="CY395" s="124">
        <v>0</v>
      </c>
      <c r="CZ395" s="58">
        <f>Table1[[#This Row],[Check 4 Per Student Savings]]*CY395</f>
        <v>0</v>
      </c>
      <c r="DA395" s="124">
        <v>0</v>
      </c>
      <c r="DB395" s="123">
        <f>Table1[[#This Row],[Check 4 Per Student Savings]]*DA395</f>
        <v>0</v>
      </c>
      <c r="DC395" s="21">
        <f>IF(Table1[[#This Row],[Check 4 Status]]="Continued", Table1[[#This Row],[Check 4 Students Spring]], 0)</f>
        <v>0</v>
      </c>
      <c r="DD395" s="58">
        <f>Table1[[#This Row],[Check 4 Per Student Savings]]*DC395</f>
        <v>0</v>
      </c>
      <c r="DE395" s="58">
        <f t="shared" si="236"/>
        <v>0</v>
      </c>
      <c r="DF395" s="58">
        <f t="shared" si="237"/>
        <v>0</v>
      </c>
      <c r="DG39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9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95" s="111">
        <f>Table1[[#This Row],[Grand Total Savings]]/Table1[[#This Row],[Total Award]]</f>
        <v>0</v>
      </c>
      <c r="DJ395" s="31"/>
      <c r="DL395" s="31"/>
      <c r="DM395" s="207"/>
      <c r="DN395" s="58"/>
      <c r="DO395" s="31"/>
      <c r="DP395" s="58"/>
      <c r="DQ395" s="58"/>
      <c r="EC395" s="17"/>
      <c r="ED395" s="17"/>
      <c r="EE395" s="17"/>
      <c r="EF395" s="17"/>
      <c r="EG395" s="21"/>
      <c r="EH395" s="58"/>
      <c r="EI395" s="21"/>
      <c r="EJ395" s="21"/>
    </row>
    <row r="396" spans="1:140" ht="16.5" thickTop="1" thickBot="1" x14ac:dyDescent="0.3">
      <c r="A396" s="128" t="s">
        <v>1788</v>
      </c>
      <c r="B396" s="128"/>
      <c r="C396" s="128"/>
      <c r="D396" s="129">
        <v>517815</v>
      </c>
      <c r="E396" s="130"/>
      <c r="F396" s="130"/>
      <c r="G396" s="200" t="s">
        <v>1862</v>
      </c>
      <c r="H396" s="95" t="s">
        <v>5</v>
      </c>
      <c r="I396" s="17" t="s">
        <v>962</v>
      </c>
      <c r="J396" s="17" t="s">
        <v>499</v>
      </c>
      <c r="K396" s="58">
        <v>4800</v>
      </c>
      <c r="L396" s="58" t="s">
        <v>498</v>
      </c>
      <c r="M396" s="17" t="s">
        <v>1819</v>
      </c>
      <c r="N396" s="17" t="s">
        <v>1820</v>
      </c>
      <c r="O396" s="93" t="s">
        <v>1841</v>
      </c>
      <c r="P396" s="17" t="s">
        <v>529</v>
      </c>
      <c r="Q396" s="101" t="s">
        <v>530</v>
      </c>
      <c r="R396" s="101"/>
      <c r="S396" s="209"/>
      <c r="T396" s="209"/>
      <c r="U396" s="209"/>
      <c r="V396" s="17" t="s">
        <v>1095</v>
      </c>
      <c r="W396" s="17" t="s">
        <v>1095</v>
      </c>
      <c r="X396" s="17" t="s">
        <v>1095</v>
      </c>
      <c r="Y396" s="21">
        <v>0</v>
      </c>
      <c r="Z396" s="21">
        <v>0</v>
      </c>
      <c r="AA396" s="21">
        <v>0</v>
      </c>
      <c r="AB396" s="21">
        <v>0</v>
      </c>
      <c r="AC396" s="21">
        <v>0</v>
      </c>
      <c r="AD396" s="21">
        <v>0</v>
      </c>
      <c r="AE396" s="17" t="s">
        <v>498</v>
      </c>
      <c r="AF396" s="58" t="s">
        <v>129</v>
      </c>
      <c r="AG396" s="58"/>
      <c r="AH396" s="58"/>
      <c r="AI396" s="58"/>
      <c r="AJ396" s="21">
        <v>0</v>
      </c>
      <c r="AK396" s="21">
        <v>0</v>
      </c>
      <c r="AL396" s="21">
        <v>0</v>
      </c>
      <c r="AM396" s="58">
        <f t="shared" si="222"/>
        <v>0</v>
      </c>
      <c r="AN396" s="21">
        <f>IF(Table1[[#This Row],[Sustainability Check 1 (2017-2018) Status]]="Continued", Table1[[#This Row],[Students Per Summer]], 0)</f>
        <v>0</v>
      </c>
      <c r="AO396" s="21">
        <v>0</v>
      </c>
      <c r="AP396" s="21">
        <f>IF(Table1[[#This Row],[Sustainability Check 1 (2017-2018) Status]]="Continued", Table1[[#This Row],[Students Per Fall]], 0)</f>
        <v>0</v>
      </c>
      <c r="AQ396" s="21">
        <v>0</v>
      </c>
      <c r="AR396" s="21">
        <v>0</v>
      </c>
      <c r="AS396" s="21">
        <v>0</v>
      </c>
      <c r="AT396" s="21">
        <v>0</v>
      </c>
      <c r="AU396" s="58">
        <f t="shared" si="225"/>
        <v>0</v>
      </c>
      <c r="AV396" s="21">
        <v>0</v>
      </c>
      <c r="AW396" s="21">
        <v>0</v>
      </c>
      <c r="AX396" s="21">
        <v>0</v>
      </c>
      <c r="AY396" s="21">
        <v>0</v>
      </c>
      <c r="AZ396" s="21">
        <v>0</v>
      </c>
      <c r="BA396" s="21">
        <v>0</v>
      </c>
      <c r="BB396" s="21">
        <v>0</v>
      </c>
      <c r="BC396" s="21">
        <v>0</v>
      </c>
      <c r="BD396" s="21">
        <v>0</v>
      </c>
      <c r="BE396" s="21">
        <v>0</v>
      </c>
      <c r="BF396" s="21">
        <v>0</v>
      </c>
      <c r="BG396" s="21">
        <v>0</v>
      </c>
      <c r="BH396" s="21">
        <v>0</v>
      </c>
      <c r="BI396" s="21">
        <v>0</v>
      </c>
      <c r="BJ396" s="21">
        <v>0</v>
      </c>
      <c r="BK396" s="21">
        <v>0</v>
      </c>
      <c r="BL396" s="17" t="s">
        <v>964</v>
      </c>
      <c r="BM396" s="21">
        <v>0</v>
      </c>
      <c r="BN396" s="21">
        <v>0</v>
      </c>
      <c r="BO396" s="21">
        <v>0</v>
      </c>
      <c r="BP396" s="21">
        <v>0</v>
      </c>
      <c r="BQ396" s="21">
        <v>0</v>
      </c>
      <c r="BR396" s="21">
        <v>0</v>
      </c>
      <c r="BS396" s="21">
        <v>0</v>
      </c>
      <c r="BT396" s="21">
        <v>0</v>
      </c>
      <c r="BU396" s="21">
        <v>0</v>
      </c>
      <c r="BV396" s="21">
        <v>0</v>
      </c>
      <c r="BW396" s="21">
        <v>0</v>
      </c>
      <c r="BX396" s="131">
        <f>Table1[[#This Row],[Summer 2018 Price Check]]*Table1[[#This Row],[Spring 2019 Students]]</f>
        <v>0</v>
      </c>
      <c r="BY396" s="31">
        <f t="shared" si="226"/>
        <v>0</v>
      </c>
      <c r="BZ396" s="58">
        <f t="shared" si="227"/>
        <v>0</v>
      </c>
      <c r="CA396" s="58" t="s">
        <v>964</v>
      </c>
      <c r="CB396" s="31">
        <f t="shared" si="228"/>
        <v>0</v>
      </c>
      <c r="CC396" s="31">
        <v>0</v>
      </c>
      <c r="CD396" s="31">
        <f t="shared" si="229"/>
        <v>0</v>
      </c>
      <c r="CE396" s="31">
        <v>0</v>
      </c>
      <c r="CF396" s="31">
        <v>0</v>
      </c>
      <c r="CG396" s="131">
        <f t="shared" si="233"/>
        <v>0</v>
      </c>
      <c r="CH396" s="17" t="s">
        <v>498</v>
      </c>
      <c r="CI396" s="132">
        <f>IF(Table1[[#This Row],[Check 3 Status]]="Continued", Table1[[#This Row],[Check 3 Students Summer]], 0)</f>
        <v>0</v>
      </c>
      <c r="CJ396" s="131">
        <f>Table1[[#This Row],[Check 3 Per Student Savings]]*CI396</f>
        <v>0</v>
      </c>
      <c r="CK396" s="132">
        <f>IF(Table1[[#This Row],[Check 3 Status]]="Continued", Table1[[#This Row],[Check 3 Students Fall]], 0)</f>
        <v>0</v>
      </c>
      <c r="CL396" s="131">
        <f>Table1[[#This Row],[Check 3 Per Student Savings]]*CK396</f>
        <v>0</v>
      </c>
      <c r="CM396" s="124">
        <f>IF(Table1[[#This Row],[Check 3 Status]]="Continued", Table1[[#This Row],[Check 3 Students Spring]], 0)</f>
        <v>0</v>
      </c>
      <c r="CN396" s="123">
        <f>Table1[[#This Row],[Check 3 Per Student Savings]]*CM396</f>
        <v>0</v>
      </c>
      <c r="CO396" s="124">
        <f t="shared" si="231"/>
        <v>0</v>
      </c>
      <c r="CP396" s="123">
        <f t="shared" si="232"/>
        <v>0</v>
      </c>
      <c r="CQ396" s="123" t="s">
        <v>964</v>
      </c>
      <c r="CR396" s="124">
        <v>0</v>
      </c>
      <c r="CS396" s="124">
        <v>0</v>
      </c>
      <c r="CT396" s="124">
        <v>0</v>
      </c>
      <c r="CU396" s="124">
        <f t="shared" si="238"/>
        <v>0</v>
      </c>
      <c r="CV396" s="123">
        <v>0</v>
      </c>
      <c r="CW396" s="123">
        <f t="shared" si="235"/>
        <v>0</v>
      </c>
      <c r="CX396" s="17" t="s">
        <v>498</v>
      </c>
      <c r="CY396" s="124">
        <v>0</v>
      </c>
      <c r="CZ396" s="58">
        <f>Table1[[#This Row],[Check 4 Per Student Savings]]*CY396</f>
        <v>0</v>
      </c>
      <c r="DA396" s="124">
        <v>0</v>
      </c>
      <c r="DB396" s="123">
        <f>Table1[[#This Row],[Check 4 Per Student Savings]]*DA396</f>
        <v>0</v>
      </c>
      <c r="DC396" s="21">
        <f>IF(Table1[[#This Row],[Check 4 Status]]="Continued", Table1[[#This Row],[Check 4 Students Spring]], 0)</f>
        <v>0</v>
      </c>
      <c r="DD396" s="58">
        <f>Table1[[#This Row],[Check 4 Per Student Savings]]*DC396</f>
        <v>0</v>
      </c>
      <c r="DE396" s="58">
        <f t="shared" si="236"/>
        <v>0</v>
      </c>
      <c r="DF396" s="58">
        <f t="shared" si="237"/>
        <v>0</v>
      </c>
      <c r="DG39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9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96" s="111">
        <f>Table1[[#This Row],[Grand Total Savings]]/Table1[[#This Row],[Total Award]]</f>
        <v>0</v>
      </c>
      <c r="DJ396" s="31"/>
      <c r="DL396" s="31"/>
      <c r="DM396" s="207"/>
      <c r="DN396" s="58"/>
      <c r="DO396" s="31"/>
      <c r="DP396" s="58"/>
      <c r="DQ396" s="58"/>
      <c r="EC396" s="17"/>
      <c r="ED396" s="17"/>
      <c r="EE396" s="17"/>
      <c r="EF396" s="17"/>
      <c r="EG396" s="21"/>
      <c r="EH396" s="58"/>
      <c r="EI396" s="21"/>
      <c r="EJ396" s="21"/>
    </row>
    <row r="397" spans="1:140" ht="16.5" thickTop="1" thickBot="1" x14ac:dyDescent="0.3">
      <c r="A397" s="128" t="s">
        <v>1789</v>
      </c>
      <c r="B397" s="128"/>
      <c r="C397" s="128"/>
      <c r="D397" s="129">
        <v>517620</v>
      </c>
      <c r="E397" s="130"/>
      <c r="F397" s="130"/>
      <c r="G397" s="200" t="s">
        <v>1862</v>
      </c>
      <c r="H397" s="95" t="s">
        <v>5</v>
      </c>
      <c r="I397" s="17" t="s">
        <v>962</v>
      </c>
      <c r="J397" s="17" t="s">
        <v>574</v>
      </c>
      <c r="K397" s="58">
        <v>2800</v>
      </c>
      <c r="L397" s="58" t="s">
        <v>1863</v>
      </c>
      <c r="M397" s="17" t="s">
        <v>1821</v>
      </c>
      <c r="N397" s="128" t="s">
        <v>1822</v>
      </c>
      <c r="O397" s="93" t="s">
        <v>1842</v>
      </c>
      <c r="P397" s="17" t="s">
        <v>1858</v>
      </c>
      <c r="Q397" s="101" t="s">
        <v>206</v>
      </c>
      <c r="R397" s="101"/>
      <c r="S397" s="209"/>
      <c r="T397" s="209"/>
      <c r="U397" s="209"/>
      <c r="V397" s="17" t="s">
        <v>1095</v>
      </c>
      <c r="W397" s="17" t="s">
        <v>1095</v>
      </c>
      <c r="X397" s="17" t="s">
        <v>1095</v>
      </c>
      <c r="Y397" s="21">
        <v>0</v>
      </c>
      <c r="Z397" s="21">
        <v>0</v>
      </c>
      <c r="AA397" s="21">
        <v>0</v>
      </c>
      <c r="AB397" s="21">
        <v>0</v>
      </c>
      <c r="AC397" s="21">
        <v>0</v>
      </c>
      <c r="AD397" s="21">
        <v>0</v>
      </c>
      <c r="AE397" s="17" t="s">
        <v>1863</v>
      </c>
      <c r="AF397" s="58" t="s">
        <v>129</v>
      </c>
      <c r="AG397" s="58"/>
      <c r="AH397" s="58"/>
      <c r="AI397" s="58"/>
      <c r="AJ397" s="21">
        <v>0</v>
      </c>
      <c r="AK397" s="21">
        <v>0</v>
      </c>
      <c r="AL397" s="21">
        <v>0</v>
      </c>
      <c r="AM397" s="58">
        <f t="shared" si="222"/>
        <v>0</v>
      </c>
      <c r="AN397" s="21">
        <f>IF(Table1[[#This Row],[Sustainability Check 1 (2017-2018) Status]]="Continued", Table1[[#This Row],[Students Per Summer]], 0)</f>
        <v>0</v>
      </c>
      <c r="AO397" s="21">
        <v>0</v>
      </c>
      <c r="AP397" s="21">
        <f>IF(Table1[[#This Row],[Sustainability Check 1 (2017-2018) Status]]="Continued", Table1[[#This Row],[Students Per Fall]], 0)</f>
        <v>0</v>
      </c>
      <c r="AQ397" s="21">
        <v>0</v>
      </c>
      <c r="AR397" s="21">
        <v>0</v>
      </c>
      <c r="AS397" s="21">
        <v>0</v>
      </c>
      <c r="AT397" s="21">
        <v>0</v>
      </c>
      <c r="AU397" s="58">
        <f t="shared" si="225"/>
        <v>0</v>
      </c>
      <c r="AV397" s="21">
        <v>0</v>
      </c>
      <c r="AW397" s="21">
        <v>0</v>
      </c>
      <c r="AX397" s="21">
        <v>0</v>
      </c>
      <c r="AY397" s="21">
        <v>0</v>
      </c>
      <c r="AZ397" s="21">
        <v>0</v>
      </c>
      <c r="BA397" s="21">
        <v>0</v>
      </c>
      <c r="BB397" s="21">
        <v>0</v>
      </c>
      <c r="BC397" s="21">
        <v>0</v>
      </c>
      <c r="BD397" s="21">
        <v>0</v>
      </c>
      <c r="BE397" s="21">
        <v>0</v>
      </c>
      <c r="BF397" s="21">
        <v>0</v>
      </c>
      <c r="BG397" s="21">
        <v>0</v>
      </c>
      <c r="BH397" s="21">
        <v>0</v>
      </c>
      <c r="BI397" s="21">
        <v>0</v>
      </c>
      <c r="BJ397" s="21">
        <v>0</v>
      </c>
      <c r="BK397" s="21">
        <v>0</v>
      </c>
      <c r="BL397" s="17" t="s">
        <v>964</v>
      </c>
      <c r="BM397" s="21">
        <v>0</v>
      </c>
      <c r="BN397" s="21">
        <v>0</v>
      </c>
      <c r="BO397" s="21">
        <v>0</v>
      </c>
      <c r="BP397" s="21">
        <v>0</v>
      </c>
      <c r="BQ397" s="21">
        <v>0</v>
      </c>
      <c r="BR397" s="21">
        <v>0</v>
      </c>
      <c r="BS397" s="21">
        <v>0</v>
      </c>
      <c r="BT397" s="21">
        <v>0</v>
      </c>
      <c r="BU397" s="21">
        <v>0</v>
      </c>
      <c r="BV397" s="21">
        <v>0</v>
      </c>
      <c r="BW397" s="21">
        <v>0</v>
      </c>
      <c r="BX397" s="131">
        <f>Table1[[#This Row],[Summer 2018 Price Check]]*Table1[[#This Row],[Spring 2019 Students]]</f>
        <v>0</v>
      </c>
      <c r="BY397" s="31">
        <f t="shared" si="226"/>
        <v>0</v>
      </c>
      <c r="BZ397" s="58">
        <f t="shared" si="227"/>
        <v>0</v>
      </c>
      <c r="CA397" s="58" t="s">
        <v>964</v>
      </c>
      <c r="CB397" s="31">
        <f t="shared" si="228"/>
        <v>0</v>
      </c>
      <c r="CC397" s="31">
        <v>0</v>
      </c>
      <c r="CD397" s="31">
        <f t="shared" si="229"/>
        <v>0</v>
      </c>
      <c r="CE397" s="31">
        <v>0</v>
      </c>
      <c r="CF397" s="31">
        <v>0</v>
      </c>
      <c r="CG397" s="131">
        <f t="shared" si="233"/>
        <v>0</v>
      </c>
      <c r="CH397" s="17" t="s">
        <v>1863</v>
      </c>
      <c r="CI397" s="132">
        <f>IF(Table1[[#This Row],[Check 3 Status]]="Continued", Table1[[#This Row],[Check 3 Students Summer]], 0)</f>
        <v>0</v>
      </c>
      <c r="CJ397" s="131">
        <f>Table1[[#This Row],[Check 3 Per Student Savings]]*CI397</f>
        <v>0</v>
      </c>
      <c r="CK397" s="132">
        <f>IF(Table1[[#This Row],[Check 3 Status]]="Continued", Table1[[#This Row],[Check 3 Students Fall]], 0)</f>
        <v>0</v>
      </c>
      <c r="CL397" s="131">
        <f>Table1[[#This Row],[Check 3 Per Student Savings]]*CK397</f>
        <v>0</v>
      </c>
      <c r="CM397" s="124">
        <f>IF(Table1[[#This Row],[Check 3 Status]]="Continued", Table1[[#This Row],[Check 3 Students Spring]], 0)</f>
        <v>0</v>
      </c>
      <c r="CN397" s="123">
        <f>Table1[[#This Row],[Check 3 Per Student Savings]]*CM397</f>
        <v>0</v>
      </c>
      <c r="CO397" s="124">
        <f t="shared" si="231"/>
        <v>0</v>
      </c>
      <c r="CP397" s="123">
        <f t="shared" si="232"/>
        <v>0</v>
      </c>
      <c r="CQ397" s="123" t="s">
        <v>964</v>
      </c>
      <c r="CR397" s="124">
        <v>0</v>
      </c>
      <c r="CS397" s="124">
        <v>0</v>
      </c>
      <c r="CT397" s="124">
        <v>0</v>
      </c>
      <c r="CU397" s="124">
        <f t="shared" si="238"/>
        <v>0</v>
      </c>
      <c r="CV397" s="123">
        <v>0</v>
      </c>
      <c r="CW397" s="123">
        <f t="shared" si="235"/>
        <v>0</v>
      </c>
      <c r="CX397" s="17" t="s">
        <v>1863</v>
      </c>
      <c r="CY397" s="124">
        <v>0</v>
      </c>
      <c r="CZ397" s="58">
        <f>Table1[[#This Row],[Check 4 Per Student Savings]]*CY397</f>
        <v>0</v>
      </c>
      <c r="DA397" s="124">
        <v>0</v>
      </c>
      <c r="DB397" s="123">
        <f>Table1[[#This Row],[Check 4 Per Student Savings]]*DA397</f>
        <v>0</v>
      </c>
      <c r="DC397" s="21">
        <f>IF(Table1[[#This Row],[Check 4 Status]]="Continued", Table1[[#This Row],[Check 4 Students Spring]], 0)</f>
        <v>0</v>
      </c>
      <c r="DD397" s="58">
        <f>Table1[[#This Row],[Check 4 Per Student Savings]]*DC397</f>
        <v>0</v>
      </c>
      <c r="DE397" s="58">
        <f t="shared" si="236"/>
        <v>0</v>
      </c>
      <c r="DF397" s="58">
        <f t="shared" si="237"/>
        <v>0</v>
      </c>
      <c r="DG39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9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97" s="111">
        <f>Table1[[#This Row],[Grand Total Savings]]/Table1[[#This Row],[Total Award]]</f>
        <v>0</v>
      </c>
      <c r="DJ397" s="31"/>
      <c r="DL397" s="31"/>
      <c r="DM397" s="207"/>
      <c r="DN397" s="58"/>
      <c r="DO397" s="31"/>
      <c r="DP397" s="58"/>
      <c r="DQ397" s="58"/>
      <c r="EC397" s="17"/>
      <c r="ED397" s="17"/>
      <c r="EE397" s="17"/>
      <c r="EF397" s="17"/>
      <c r="EG397" s="21"/>
      <c r="EH397" s="58"/>
      <c r="EI397" s="21"/>
      <c r="EJ397" s="21"/>
    </row>
    <row r="398" spans="1:140" ht="16.5" thickTop="1" thickBot="1" x14ac:dyDescent="0.3">
      <c r="A398" s="128" t="s">
        <v>1790</v>
      </c>
      <c r="B398" s="128"/>
      <c r="C398" s="128"/>
      <c r="D398" s="129">
        <v>518110</v>
      </c>
      <c r="E398" s="130"/>
      <c r="F398" s="130"/>
      <c r="G398" s="200" t="s">
        <v>1862</v>
      </c>
      <c r="H398" s="95" t="s">
        <v>5</v>
      </c>
      <c r="I398" s="17" t="s">
        <v>962</v>
      </c>
      <c r="J398" s="17" t="s">
        <v>388</v>
      </c>
      <c r="K398" s="58">
        <v>4800</v>
      </c>
      <c r="L398" s="58" t="s">
        <v>498</v>
      </c>
      <c r="M398" s="17" t="s">
        <v>1823</v>
      </c>
      <c r="N398" s="17" t="s">
        <v>1824</v>
      </c>
      <c r="O398" s="93" t="s">
        <v>465</v>
      </c>
      <c r="P398" s="17" t="s">
        <v>466</v>
      </c>
      <c r="Q398" s="101" t="s">
        <v>467</v>
      </c>
      <c r="R398" s="101"/>
      <c r="S398" s="209"/>
      <c r="T398" s="209"/>
      <c r="U398" s="209"/>
      <c r="V398" s="17" t="s">
        <v>1095</v>
      </c>
      <c r="W398" s="17" t="s">
        <v>1095</v>
      </c>
      <c r="X398" s="17" t="s">
        <v>1095</v>
      </c>
      <c r="Y398" s="21">
        <v>0</v>
      </c>
      <c r="Z398" s="21">
        <v>0</v>
      </c>
      <c r="AA398" s="21">
        <v>0</v>
      </c>
      <c r="AB398" s="21">
        <v>0</v>
      </c>
      <c r="AC398" s="21">
        <v>0</v>
      </c>
      <c r="AD398" s="21">
        <v>0</v>
      </c>
      <c r="AE398" s="17" t="s">
        <v>498</v>
      </c>
      <c r="AF398" s="58" t="s">
        <v>129</v>
      </c>
      <c r="AG398" s="58"/>
      <c r="AH398" s="58"/>
      <c r="AI398" s="58"/>
      <c r="AJ398" s="21">
        <v>0</v>
      </c>
      <c r="AK398" s="21">
        <v>0</v>
      </c>
      <c r="AL398" s="21">
        <v>0</v>
      </c>
      <c r="AM398" s="58">
        <f t="shared" si="222"/>
        <v>0</v>
      </c>
      <c r="AN398" s="21">
        <f>IF(Table1[[#This Row],[Sustainability Check 1 (2017-2018) Status]]="Continued", Table1[[#This Row],[Students Per Summer]], 0)</f>
        <v>0</v>
      </c>
      <c r="AO398" s="21">
        <v>0</v>
      </c>
      <c r="AP398" s="21">
        <f>IF(Table1[[#This Row],[Sustainability Check 1 (2017-2018) Status]]="Continued", Table1[[#This Row],[Students Per Fall]], 0)</f>
        <v>0</v>
      </c>
      <c r="AQ398" s="21">
        <v>0</v>
      </c>
      <c r="AR398" s="21">
        <v>0</v>
      </c>
      <c r="AS398" s="21">
        <v>0</v>
      </c>
      <c r="AT398" s="21">
        <v>0</v>
      </c>
      <c r="AU398" s="58">
        <f t="shared" si="225"/>
        <v>0</v>
      </c>
      <c r="AV398" s="21">
        <v>0</v>
      </c>
      <c r="AW398" s="21">
        <v>0</v>
      </c>
      <c r="AX398" s="21">
        <v>0</v>
      </c>
      <c r="AY398" s="21">
        <v>0</v>
      </c>
      <c r="AZ398" s="21">
        <v>0</v>
      </c>
      <c r="BA398" s="21">
        <v>0</v>
      </c>
      <c r="BB398" s="21">
        <v>0</v>
      </c>
      <c r="BC398" s="21">
        <v>0</v>
      </c>
      <c r="BD398" s="21">
        <v>0</v>
      </c>
      <c r="BE398" s="21">
        <v>0</v>
      </c>
      <c r="BF398" s="21">
        <v>0</v>
      </c>
      <c r="BG398" s="21">
        <v>0</v>
      </c>
      <c r="BH398" s="21">
        <v>0</v>
      </c>
      <c r="BI398" s="21">
        <v>0</v>
      </c>
      <c r="BJ398" s="21">
        <v>0</v>
      </c>
      <c r="BK398" s="21">
        <v>0</v>
      </c>
      <c r="BL398" s="17" t="s">
        <v>964</v>
      </c>
      <c r="BM398" s="21">
        <v>0</v>
      </c>
      <c r="BN398" s="21">
        <v>0</v>
      </c>
      <c r="BO398" s="21">
        <v>0</v>
      </c>
      <c r="BP398" s="21">
        <v>0</v>
      </c>
      <c r="BQ398" s="21">
        <v>0</v>
      </c>
      <c r="BR398" s="21">
        <v>0</v>
      </c>
      <c r="BS398" s="21">
        <v>0</v>
      </c>
      <c r="BT398" s="21">
        <v>0</v>
      </c>
      <c r="BU398" s="21">
        <v>0</v>
      </c>
      <c r="BV398" s="21">
        <v>0</v>
      </c>
      <c r="BW398" s="21">
        <v>0</v>
      </c>
      <c r="BX398" s="131">
        <f>Table1[[#This Row],[Summer 2018 Price Check]]*Table1[[#This Row],[Spring 2019 Students]]</f>
        <v>0</v>
      </c>
      <c r="BY398" s="31">
        <f t="shared" si="226"/>
        <v>0</v>
      </c>
      <c r="BZ398" s="58">
        <f t="shared" si="227"/>
        <v>0</v>
      </c>
      <c r="CA398" s="58" t="s">
        <v>964</v>
      </c>
      <c r="CB398" s="31">
        <f t="shared" si="228"/>
        <v>0</v>
      </c>
      <c r="CC398" s="31">
        <v>0</v>
      </c>
      <c r="CD398" s="31">
        <f t="shared" si="229"/>
        <v>0</v>
      </c>
      <c r="CE398" s="31">
        <v>0</v>
      </c>
      <c r="CF398" s="31">
        <v>0</v>
      </c>
      <c r="CG398" s="131">
        <f t="shared" si="233"/>
        <v>0</v>
      </c>
      <c r="CH398" s="17" t="s">
        <v>498</v>
      </c>
      <c r="CI398" s="132">
        <f>IF(Table1[[#This Row],[Check 3 Status]]="Continued", Table1[[#This Row],[Check 3 Students Summer]], 0)</f>
        <v>0</v>
      </c>
      <c r="CJ398" s="131">
        <f>Table1[[#This Row],[Check 3 Per Student Savings]]*CI398</f>
        <v>0</v>
      </c>
      <c r="CK398" s="132">
        <f>IF(Table1[[#This Row],[Check 3 Status]]="Continued", Table1[[#This Row],[Check 3 Students Fall]], 0)</f>
        <v>0</v>
      </c>
      <c r="CL398" s="131">
        <f>Table1[[#This Row],[Check 3 Per Student Savings]]*CK398</f>
        <v>0</v>
      </c>
      <c r="CM398" s="124">
        <f>IF(Table1[[#This Row],[Check 3 Status]]="Continued", Table1[[#This Row],[Check 3 Students Spring]], 0)</f>
        <v>0</v>
      </c>
      <c r="CN398" s="123">
        <f>Table1[[#This Row],[Check 3 Per Student Savings]]*CM398</f>
        <v>0</v>
      </c>
      <c r="CO398" s="124">
        <f t="shared" si="231"/>
        <v>0</v>
      </c>
      <c r="CP398" s="123">
        <f t="shared" si="232"/>
        <v>0</v>
      </c>
      <c r="CQ398" s="123" t="s">
        <v>964</v>
      </c>
      <c r="CR398" s="124">
        <v>0</v>
      </c>
      <c r="CS398" s="124">
        <v>0</v>
      </c>
      <c r="CT398" s="124">
        <v>0</v>
      </c>
      <c r="CU398" s="124">
        <f t="shared" si="238"/>
        <v>0</v>
      </c>
      <c r="CV398" s="123">
        <v>0</v>
      </c>
      <c r="CW398" s="123">
        <f t="shared" si="235"/>
        <v>0</v>
      </c>
      <c r="CX398" s="17" t="s">
        <v>498</v>
      </c>
      <c r="CY398" s="124">
        <v>0</v>
      </c>
      <c r="CZ398" s="58">
        <f>Table1[[#This Row],[Check 4 Per Student Savings]]*CY398</f>
        <v>0</v>
      </c>
      <c r="DA398" s="124">
        <v>0</v>
      </c>
      <c r="DB398" s="123">
        <f>Table1[[#This Row],[Check 4 Per Student Savings]]*DA398</f>
        <v>0</v>
      </c>
      <c r="DC398" s="21">
        <f>IF(Table1[[#This Row],[Check 4 Status]]="Continued", Table1[[#This Row],[Check 4 Students Spring]], 0)</f>
        <v>0</v>
      </c>
      <c r="DD398" s="58">
        <f>Table1[[#This Row],[Check 4 Per Student Savings]]*DC398</f>
        <v>0</v>
      </c>
      <c r="DE398" s="58">
        <f t="shared" si="236"/>
        <v>0</v>
      </c>
      <c r="DF398" s="58">
        <f t="shared" si="237"/>
        <v>0</v>
      </c>
      <c r="DG39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9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98" s="111">
        <f>Table1[[#This Row],[Grand Total Savings]]/Table1[[#This Row],[Total Award]]</f>
        <v>0</v>
      </c>
      <c r="DJ398" s="31"/>
      <c r="DL398" s="31"/>
      <c r="DM398" s="207"/>
      <c r="DN398" s="58"/>
      <c r="DO398" s="31"/>
      <c r="DP398" s="58"/>
      <c r="DQ398" s="58"/>
      <c r="EC398" s="17"/>
      <c r="ED398" s="17"/>
      <c r="EE398" s="17"/>
      <c r="EF398" s="17"/>
      <c r="EG398" s="21"/>
      <c r="EH398" s="58"/>
      <c r="EI398" s="21"/>
      <c r="EJ398" s="21"/>
    </row>
    <row r="399" spans="1:140" ht="16.5" thickTop="1" thickBot="1" x14ac:dyDescent="0.3">
      <c r="A399" s="128" t="s">
        <v>1791</v>
      </c>
      <c r="B399" s="128"/>
      <c r="C399" s="128"/>
      <c r="D399" s="129">
        <v>517893</v>
      </c>
      <c r="E399" s="130"/>
      <c r="F399" s="130"/>
      <c r="G399" s="200" t="s">
        <v>1862</v>
      </c>
      <c r="H399" s="95" t="s">
        <v>5</v>
      </c>
      <c r="I399" s="17" t="s">
        <v>962</v>
      </c>
      <c r="J399" s="17" t="s">
        <v>276</v>
      </c>
      <c r="K399" s="58">
        <v>4800</v>
      </c>
      <c r="L399" s="58" t="s">
        <v>498</v>
      </c>
      <c r="M399" s="17" t="s">
        <v>1825</v>
      </c>
      <c r="N399" s="17" t="s">
        <v>1826</v>
      </c>
      <c r="O399" s="93" t="s">
        <v>1843</v>
      </c>
      <c r="P399" s="17" t="s">
        <v>1859</v>
      </c>
      <c r="Q399" s="101" t="s">
        <v>148</v>
      </c>
      <c r="R399" s="101"/>
      <c r="S399" s="209"/>
      <c r="T399" s="209"/>
      <c r="U399" s="209"/>
      <c r="V399" s="17" t="s">
        <v>1095</v>
      </c>
      <c r="W399" s="17" t="s">
        <v>1095</v>
      </c>
      <c r="X399" s="17" t="s">
        <v>1095</v>
      </c>
      <c r="Y399" s="21">
        <v>0</v>
      </c>
      <c r="Z399" s="21">
        <v>0</v>
      </c>
      <c r="AA399" s="21">
        <v>0</v>
      </c>
      <c r="AB399" s="21">
        <v>0</v>
      </c>
      <c r="AC399" s="21">
        <v>0</v>
      </c>
      <c r="AD399" s="21">
        <v>0</v>
      </c>
      <c r="AE399" s="17" t="s">
        <v>498</v>
      </c>
      <c r="AF399" s="58" t="s">
        <v>129</v>
      </c>
      <c r="AG399" s="58"/>
      <c r="AH399" s="58"/>
      <c r="AI399" s="58"/>
      <c r="AJ399" s="21">
        <v>0</v>
      </c>
      <c r="AK399" s="21">
        <v>0</v>
      </c>
      <c r="AL399" s="21">
        <v>0</v>
      </c>
      <c r="AM399" s="58">
        <f t="shared" si="222"/>
        <v>0</v>
      </c>
      <c r="AN399" s="21">
        <f>IF(Table1[[#This Row],[Sustainability Check 1 (2017-2018) Status]]="Continued", Table1[[#This Row],[Students Per Summer]], 0)</f>
        <v>0</v>
      </c>
      <c r="AO399" s="21">
        <v>0</v>
      </c>
      <c r="AP399" s="21">
        <f>IF(Table1[[#This Row],[Sustainability Check 1 (2017-2018) Status]]="Continued", Table1[[#This Row],[Students Per Fall]], 0)</f>
        <v>0</v>
      </c>
      <c r="AQ399" s="21">
        <v>0</v>
      </c>
      <c r="AR399" s="21">
        <v>0</v>
      </c>
      <c r="AS399" s="21">
        <v>0</v>
      </c>
      <c r="AT399" s="21">
        <v>0</v>
      </c>
      <c r="AU399" s="58">
        <f t="shared" si="225"/>
        <v>0</v>
      </c>
      <c r="AV399" s="21">
        <v>0</v>
      </c>
      <c r="AW399" s="21">
        <v>0</v>
      </c>
      <c r="AX399" s="21">
        <v>0</v>
      </c>
      <c r="AY399" s="21">
        <v>0</v>
      </c>
      <c r="AZ399" s="21">
        <v>0</v>
      </c>
      <c r="BA399" s="21">
        <v>0</v>
      </c>
      <c r="BB399" s="21">
        <v>0</v>
      </c>
      <c r="BC399" s="21">
        <v>0</v>
      </c>
      <c r="BD399" s="21">
        <v>0</v>
      </c>
      <c r="BE399" s="21">
        <v>0</v>
      </c>
      <c r="BF399" s="21">
        <v>0</v>
      </c>
      <c r="BG399" s="21">
        <v>0</v>
      </c>
      <c r="BH399" s="21">
        <v>0</v>
      </c>
      <c r="BI399" s="21">
        <v>0</v>
      </c>
      <c r="BJ399" s="21">
        <v>0</v>
      </c>
      <c r="BK399" s="21">
        <v>0</v>
      </c>
      <c r="BL399" s="17" t="s">
        <v>964</v>
      </c>
      <c r="BM399" s="21">
        <v>0</v>
      </c>
      <c r="BN399" s="21">
        <v>0</v>
      </c>
      <c r="BO399" s="21">
        <v>0</v>
      </c>
      <c r="BP399" s="21">
        <v>0</v>
      </c>
      <c r="BQ399" s="21">
        <v>0</v>
      </c>
      <c r="BR399" s="21">
        <v>0</v>
      </c>
      <c r="BS399" s="21">
        <v>0</v>
      </c>
      <c r="BT399" s="21">
        <v>0</v>
      </c>
      <c r="BU399" s="21">
        <v>0</v>
      </c>
      <c r="BV399" s="21">
        <v>0</v>
      </c>
      <c r="BW399" s="21">
        <v>0</v>
      </c>
      <c r="BX399" s="131">
        <f>Table1[[#This Row],[Summer 2018 Price Check]]*Table1[[#This Row],[Spring 2019 Students]]</f>
        <v>0</v>
      </c>
      <c r="BY399" s="31">
        <f t="shared" si="226"/>
        <v>0</v>
      </c>
      <c r="BZ399" s="58">
        <f t="shared" si="227"/>
        <v>0</v>
      </c>
      <c r="CA399" s="58" t="s">
        <v>964</v>
      </c>
      <c r="CB399" s="31">
        <f t="shared" si="228"/>
        <v>0</v>
      </c>
      <c r="CC399" s="31">
        <v>0</v>
      </c>
      <c r="CD399" s="31">
        <f t="shared" si="229"/>
        <v>0</v>
      </c>
      <c r="CE399" s="31">
        <v>0</v>
      </c>
      <c r="CF399" s="31">
        <v>0</v>
      </c>
      <c r="CG399" s="131">
        <f t="shared" si="233"/>
        <v>0</v>
      </c>
      <c r="CH399" s="17" t="s">
        <v>498</v>
      </c>
      <c r="CI399" s="132">
        <f>IF(Table1[[#This Row],[Check 3 Status]]="Continued", Table1[[#This Row],[Check 3 Students Summer]], 0)</f>
        <v>0</v>
      </c>
      <c r="CJ399" s="131">
        <f>Table1[[#This Row],[Check 3 Per Student Savings]]*CI399</f>
        <v>0</v>
      </c>
      <c r="CK399" s="132">
        <f>IF(Table1[[#This Row],[Check 3 Status]]="Continued", Table1[[#This Row],[Check 3 Students Fall]], 0)</f>
        <v>0</v>
      </c>
      <c r="CL399" s="131">
        <f>Table1[[#This Row],[Check 3 Per Student Savings]]*CK399</f>
        <v>0</v>
      </c>
      <c r="CM399" s="124">
        <f>IF(Table1[[#This Row],[Check 3 Status]]="Continued", Table1[[#This Row],[Check 3 Students Spring]], 0)</f>
        <v>0</v>
      </c>
      <c r="CN399" s="123">
        <f>Table1[[#This Row],[Check 3 Per Student Savings]]*CM399</f>
        <v>0</v>
      </c>
      <c r="CO399" s="124">
        <f t="shared" si="231"/>
        <v>0</v>
      </c>
      <c r="CP399" s="123">
        <f t="shared" si="232"/>
        <v>0</v>
      </c>
      <c r="CQ399" s="123" t="s">
        <v>964</v>
      </c>
      <c r="CR399" s="124">
        <v>0</v>
      </c>
      <c r="CS399" s="124">
        <v>0</v>
      </c>
      <c r="CT399" s="124">
        <v>0</v>
      </c>
      <c r="CU399" s="124">
        <f t="shared" si="238"/>
        <v>0</v>
      </c>
      <c r="CV399" s="123">
        <v>0</v>
      </c>
      <c r="CW399" s="123">
        <f t="shared" si="235"/>
        <v>0</v>
      </c>
      <c r="CX399" s="17" t="s">
        <v>498</v>
      </c>
      <c r="CY399" s="124">
        <v>0</v>
      </c>
      <c r="CZ399" s="58">
        <f>Table1[[#This Row],[Check 4 Per Student Savings]]*CY399</f>
        <v>0</v>
      </c>
      <c r="DA399" s="124">
        <v>0</v>
      </c>
      <c r="DB399" s="123">
        <f>Table1[[#This Row],[Check 4 Per Student Savings]]*DA399</f>
        <v>0</v>
      </c>
      <c r="DC399" s="21">
        <f>IF(Table1[[#This Row],[Check 4 Status]]="Continued", Table1[[#This Row],[Check 4 Students Spring]], 0)</f>
        <v>0</v>
      </c>
      <c r="DD399" s="58">
        <f>Table1[[#This Row],[Check 4 Per Student Savings]]*DC399</f>
        <v>0</v>
      </c>
      <c r="DE399" s="58">
        <f t="shared" si="236"/>
        <v>0</v>
      </c>
      <c r="DF399" s="58">
        <f t="shared" si="237"/>
        <v>0</v>
      </c>
      <c r="DG39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39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399" s="111">
        <f>Table1[[#This Row],[Grand Total Savings]]/Table1[[#This Row],[Total Award]]</f>
        <v>0</v>
      </c>
      <c r="DJ399" s="31"/>
      <c r="DL399" s="31"/>
      <c r="DM399" s="207"/>
      <c r="DN399" s="58"/>
      <c r="DO399" s="31"/>
      <c r="DP399" s="58"/>
      <c r="DQ399" s="58"/>
      <c r="EC399" s="17"/>
      <c r="ED399" s="17"/>
      <c r="EE399" s="17"/>
      <c r="EF399" s="17"/>
      <c r="EG399" s="21"/>
      <c r="EH399" s="58"/>
      <c r="EI399" s="21"/>
      <c r="EJ399" s="21"/>
    </row>
    <row r="400" spans="1:140" ht="16.5" thickTop="1" thickBot="1" x14ac:dyDescent="0.3">
      <c r="A400" s="128" t="s">
        <v>1792</v>
      </c>
      <c r="B400" s="128"/>
      <c r="C400" s="128"/>
      <c r="D400" s="129"/>
      <c r="E400" s="130"/>
      <c r="F400" s="130"/>
      <c r="G400" s="200" t="s">
        <v>1862</v>
      </c>
      <c r="H400" s="95" t="s">
        <v>5</v>
      </c>
      <c r="I400" s="17" t="s">
        <v>962</v>
      </c>
      <c r="J400" s="17" t="s">
        <v>132</v>
      </c>
      <c r="K400" s="58">
        <v>4800</v>
      </c>
      <c r="L400" s="58" t="s">
        <v>1863</v>
      </c>
      <c r="M400" s="17" t="s">
        <v>919</v>
      </c>
      <c r="N400" s="17" t="s">
        <v>920</v>
      </c>
      <c r="O400" s="93" t="s">
        <v>1844</v>
      </c>
      <c r="P400" s="17" t="s">
        <v>1860</v>
      </c>
      <c r="Q400" s="101" t="s">
        <v>177</v>
      </c>
      <c r="R400" s="101"/>
      <c r="S400" s="209"/>
      <c r="T400" s="209"/>
      <c r="U400" s="209"/>
      <c r="V400" s="17" t="s">
        <v>1095</v>
      </c>
      <c r="W400" s="17" t="s">
        <v>1095</v>
      </c>
      <c r="X400" s="17" t="s">
        <v>1095</v>
      </c>
      <c r="Y400" s="21">
        <v>0</v>
      </c>
      <c r="Z400" s="21">
        <v>0</v>
      </c>
      <c r="AA400" s="21">
        <v>0</v>
      </c>
      <c r="AB400" s="21">
        <v>0</v>
      </c>
      <c r="AC400" s="21">
        <v>0</v>
      </c>
      <c r="AD400" s="21">
        <v>0</v>
      </c>
      <c r="AE400" s="17" t="s">
        <v>1863</v>
      </c>
      <c r="AF400" s="58" t="s">
        <v>129</v>
      </c>
      <c r="AG400" s="58"/>
      <c r="AH400" s="58"/>
      <c r="AI400" s="58"/>
      <c r="AJ400" s="21">
        <v>0</v>
      </c>
      <c r="AK400" s="21">
        <v>0</v>
      </c>
      <c r="AL400" s="21">
        <v>0</v>
      </c>
      <c r="AM400" s="58">
        <f t="shared" si="222"/>
        <v>0</v>
      </c>
      <c r="AN400" s="21">
        <f>IF(Table1[[#This Row],[Sustainability Check 1 (2017-2018) Status]]="Continued", Table1[[#This Row],[Students Per Summer]], 0)</f>
        <v>0</v>
      </c>
      <c r="AO400" s="21">
        <v>0</v>
      </c>
      <c r="AP400" s="21">
        <f>IF(Table1[[#This Row],[Sustainability Check 1 (2017-2018) Status]]="Continued", Table1[[#This Row],[Students Per Fall]], 0)</f>
        <v>0</v>
      </c>
      <c r="AQ400" s="21">
        <v>0</v>
      </c>
      <c r="AR400" s="21">
        <v>0</v>
      </c>
      <c r="AS400" s="21">
        <v>0</v>
      </c>
      <c r="AT400" s="21">
        <v>0</v>
      </c>
      <c r="AU400" s="58">
        <f t="shared" si="225"/>
        <v>0</v>
      </c>
      <c r="AV400" s="21">
        <v>0</v>
      </c>
      <c r="AW400" s="21">
        <v>0</v>
      </c>
      <c r="AX400" s="21">
        <v>0</v>
      </c>
      <c r="AY400" s="21">
        <v>0</v>
      </c>
      <c r="AZ400" s="21">
        <v>0</v>
      </c>
      <c r="BA400" s="21">
        <v>0</v>
      </c>
      <c r="BB400" s="21">
        <v>0</v>
      </c>
      <c r="BC400" s="21">
        <v>0</v>
      </c>
      <c r="BD400" s="21">
        <v>0</v>
      </c>
      <c r="BE400" s="21">
        <v>0</v>
      </c>
      <c r="BF400" s="21">
        <v>0</v>
      </c>
      <c r="BG400" s="21">
        <v>0</v>
      </c>
      <c r="BH400" s="21">
        <v>0</v>
      </c>
      <c r="BI400" s="21">
        <v>0</v>
      </c>
      <c r="BJ400" s="21">
        <v>0</v>
      </c>
      <c r="BK400" s="21">
        <v>0</v>
      </c>
      <c r="BL400" s="17" t="s">
        <v>964</v>
      </c>
      <c r="BM400" s="21">
        <v>0</v>
      </c>
      <c r="BN400" s="21">
        <v>0</v>
      </c>
      <c r="BO400" s="21">
        <v>0</v>
      </c>
      <c r="BP400" s="21">
        <v>0</v>
      </c>
      <c r="BQ400" s="21">
        <v>0</v>
      </c>
      <c r="BR400" s="21">
        <v>0</v>
      </c>
      <c r="BS400" s="21">
        <v>0</v>
      </c>
      <c r="BT400" s="21">
        <v>0</v>
      </c>
      <c r="BU400" s="21">
        <v>0</v>
      </c>
      <c r="BV400" s="21">
        <v>0</v>
      </c>
      <c r="BW400" s="21">
        <v>0</v>
      </c>
      <c r="BX400" s="131">
        <f>Table1[[#This Row],[Summer 2018 Price Check]]*Table1[[#This Row],[Spring 2019 Students]]</f>
        <v>0</v>
      </c>
      <c r="BY400" s="31">
        <f t="shared" si="226"/>
        <v>0</v>
      </c>
      <c r="BZ400" s="58">
        <f t="shared" si="227"/>
        <v>0</v>
      </c>
      <c r="CA400" s="58" t="s">
        <v>964</v>
      </c>
      <c r="CB400" s="31">
        <f t="shared" si="228"/>
        <v>0</v>
      </c>
      <c r="CC400" s="31">
        <v>0</v>
      </c>
      <c r="CD400" s="31">
        <f t="shared" si="229"/>
        <v>0</v>
      </c>
      <c r="CE400" s="31">
        <v>0</v>
      </c>
      <c r="CF400" s="31">
        <v>0</v>
      </c>
      <c r="CG400" s="131">
        <f t="shared" si="233"/>
        <v>0</v>
      </c>
      <c r="CH400" s="17" t="s">
        <v>1863</v>
      </c>
      <c r="CI400" s="132">
        <f>IF(Table1[[#This Row],[Check 3 Status]]="Continued", Table1[[#This Row],[Check 3 Students Summer]], 0)</f>
        <v>0</v>
      </c>
      <c r="CJ400" s="131">
        <f>Table1[[#This Row],[Check 3 Per Student Savings]]*CI400</f>
        <v>0</v>
      </c>
      <c r="CK400" s="132">
        <f>IF(Table1[[#This Row],[Check 3 Status]]="Continued", Table1[[#This Row],[Check 3 Students Fall]], 0)</f>
        <v>0</v>
      </c>
      <c r="CL400" s="131">
        <f>Table1[[#This Row],[Check 3 Per Student Savings]]*CK400</f>
        <v>0</v>
      </c>
      <c r="CM400" s="124">
        <f>IF(Table1[[#This Row],[Check 3 Status]]="Continued", Table1[[#This Row],[Check 3 Students Spring]], 0)</f>
        <v>0</v>
      </c>
      <c r="CN400" s="123">
        <f>Table1[[#This Row],[Check 3 Per Student Savings]]*CM400</f>
        <v>0</v>
      </c>
      <c r="CO400" s="124">
        <f t="shared" si="231"/>
        <v>0</v>
      </c>
      <c r="CP400" s="123">
        <f t="shared" si="232"/>
        <v>0</v>
      </c>
      <c r="CQ400" s="123" t="s">
        <v>964</v>
      </c>
      <c r="CR400" s="124">
        <v>0</v>
      </c>
      <c r="CS400" s="124">
        <v>0</v>
      </c>
      <c r="CT400" s="124">
        <v>0</v>
      </c>
      <c r="CU400" s="124">
        <f t="shared" si="238"/>
        <v>0</v>
      </c>
      <c r="CV400" s="123">
        <v>0</v>
      </c>
      <c r="CW400" s="123">
        <f t="shared" si="235"/>
        <v>0</v>
      </c>
      <c r="CX400" s="17" t="s">
        <v>1863</v>
      </c>
      <c r="CY400" s="124">
        <v>0</v>
      </c>
      <c r="CZ400" s="58">
        <f>Table1[[#This Row],[Check 4 Per Student Savings]]*CY400</f>
        <v>0</v>
      </c>
      <c r="DA400" s="124">
        <v>0</v>
      </c>
      <c r="DB400" s="123">
        <f>Table1[[#This Row],[Check 4 Per Student Savings]]*DA400</f>
        <v>0</v>
      </c>
      <c r="DC400" s="21">
        <f>IF(Table1[[#This Row],[Check 4 Status]]="Continued", Table1[[#This Row],[Check 4 Students Spring]], 0)</f>
        <v>0</v>
      </c>
      <c r="DD400" s="58">
        <f>Table1[[#This Row],[Check 4 Per Student Savings]]*DC400</f>
        <v>0</v>
      </c>
      <c r="DE400" s="58">
        <f t="shared" si="236"/>
        <v>0</v>
      </c>
      <c r="DF400" s="58">
        <f t="shared" si="237"/>
        <v>0</v>
      </c>
      <c r="DG40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0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00" s="111">
        <f>Table1[[#This Row],[Grand Total Savings]]/Table1[[#This Row],[Total Award]]</f>
        <v>0</v>
      </c>
      <c r="DJ400" s="31"/>
      <c r="DL400" s="31"/>
      <c r="DM400" s="207"/>
      <c r="DN400" s="58"/>
      <c r="DO400" s="31"/>
      <c r="DP400" s="58"/>
      <c r="DQ400" s="58"/>
      <c r="EC400" s="17"/>
      <c r="ED400" s="17"/>
      <c r="EE400" s="17"/>
      <c r="EF400" s="17"/>
      <c r="EG400" s="21"/>
      <c r="EH400" s="58"/>
      <c r="EI400" s="21"/>
      <c r="EJ400" s="21"/>
    </row>
    <row r="401" spans="1:140" ht="16.5" thickTop="1" thickBot="1" x14ac:dyDescent="0.3">
      <c r="A401" s="128" t="s">
        <v>1793</v>
      </c>
      <c r="B401" s="128"/>
      <c r="C401" s="128"/>
      <c r="D401" s="129">
        <v>517621</v>
      </c>
      <c r="E401" s="130"/>
      <c r="F401" s="130"/>
      <c r="G401" s="200" t="s">
        <v>1862</v>
      </c>
      <c r="H401" s="95" t="s">
        <v>5</v>
      </c>
      <c r="I401" s="17" t="s">
        <v>962</v>
      </c>
      <c r="J401" s="17" t="s">
        <v>210</v>
      </c>
      <c r="K401" s="58">
        <v>4800</v>
      </c>
      <c r="L401" s="58" t="s">
        <v>498</v>
      </c>
      <c r="M401" s="17" t="s">
        <v>1827</v>
      </c>
      <c r="N401" s="17" t="s">
        <v>1828</v>
      </c>
      <c r="O401" s="93" t="s">
        <v>639</v>
      </c>
      <c r="P401" s="17" t="s">
        <v>640</v>
      </c>
      <c r="Q401" s="101" t="s">
        <v>641</v>
      </c>
      <c r="R401" s="101"/>
      <c r="S401" s="209"/>
      <c r="T401" s="209"/>
      <c r="U401" s="209"/>
      <c r="V401" s="17" t="s">
        <v>1095</v>
      </c>
      <c r="W401" s="17" t="s">
        <v>1095</v>
      </c>
      <c r="X401" s="17" t="s">
        <v>1095</v>
      </c>
      <c r="Y401" s="21">
        <v>0</v>
      </c>
      <c r="Z401" s="21">
        <v>0</v>
      </c>
      <c r="AA401" s="21">
        <v>0</v>
      </c>
      <c r="AB401" s="21">
        <v>0</v>
      </c>
      <c r="AC401" s="21">
        <v>0</v>
      </c>
      <c r="AD401" s="21">
        <v>0</v>
      </c>
      <c r="AE401" s="17" t="s">
        <v>498</v>
      </c>
      <c r="AF401" s="58" t="s">
        <v>129</v>
      </c>
      <c r="AG401" s="58"/>
      <c r="AH401" s="58"/>
      <c r="AI401" s="58"/>
      <c r="AJ401" s="21">
        <v>0</v>
      </c>
      <c r="AK401" s="21">
        <v>0</v>
      </c>
      <c r="AL401" s="21">
        <v>0</v>
      </c>
      <c r="AM401" s="58">
        <f t="shared" si="222"/>
        <v>0</v>
      </c>
      <c r="AN401" s="21">
        <f>IF(Table1[[#This Row],[Sustainability Check 1 (2017-2018) Status]]="Continued", Table1[[#This Row],[Students Per Summer]], 0)</f>
        <v>0</v>
      </c>
      <c r="AO401" s="21">
        <v>0</v>
      </c>
      <c r="AP401" s="21">
        <f>IF(Table1[[#This Row],[Sustainability Check 1 (2017-2018) Status]]="Continued", Table1[[#This Row],[Students Per Fall]], 0)</f>
        <v>0</v>
      </c>
      <c r="AQ401" s="21">
        <v>0</v>
      </c>
      <c r="AR401" s="21">
        <v>0</v>
      </c>
      <c r="AS401" s="21">
        <v>0</v>
      </c>
      <c r="AT401" s="21">
        <v>0</v>
      </c>
      <c r="AU401" s="58">
        <f t="shared" si="225"/>
        <v>0</v>
      </c>
      <c r="AV401" s="21">
        <v>0</v>
      </c>
      <c r="AW401" s="21">
        <v>0</v>
      </c>
      <c r="AX401" s="21">
        <v>0</v>
      </c>
      <c r="AY401" s="21">
        <v>0</v>
      </c>
      <c r="AZ401" s="21">
        <v>0</v>
      </c>
      <c r="BA401" s="21">
        <v>0</v>
      </c>
      <c r="BB401" s="21">
        <v>0</v>
      </c>
      <c r="BC401" s="21">
        <v>0</v>
      </c>
      <c r="BD401" s="21">
        <v>0</v>
      </c>
      <c r="BE401" s="21">
        <v>0</v>
      </c>
      <c r="BF401" s="21">
        <v>0</v>
      </c>
      <c r="BG401" s="21">
        <v>0</v>
      </c>
      <c r="BH401" s="21">
        <v>0</v>
      </c>
      <c r="BI401" s="21">
        <v>0</v>
      </c>
      <c r="BJ401" s="21">
        <v>0</v>
      </c>
      <c r="BK401" s="21">
        <v>0</v>
      </c>
      <c r="BL401" s="17" t="s">
        <v>964</v>
      </c>
      <c r="BM401" s="21">
        <v>0</v>
      </c>
      <c r="BN401" s="21">
        <v>0</v>
      </c>
      <c r="BO401" s="21">
        <v>0</v>
      </c>
      <c r="BP401" s="21">
        <v>0</v>
      </c>
      <c r="BQ401" s="21">
        <v>0</v>
      </c>
      <c r="BR401" s="21">
        <v>0</v>
      </c>
      <c r="BS401" s="21">
        <v>0</v>
      </c>
      <c r="BT401" s="21">
        <v>0</v>
      </c>
      <c r="BU401" s="21">
        <v>0</v>
      </c>
      <c r="BV401" s="21">
        <v>0</v>
      </c>
      <c r="BW401" s="21">
        <v>0</v>
      </c>
      <c r="BX401" s="131">
        <f>Table1[[#This Row],[Summer 2018 Price Check]]*Table1[[#This Row],[Spring 2019 Students]]</f>
        <v>0</v>
      </c>
      <c r="BY401" s="31">
        <f t="shared" si="226"/>
        <v>0</v>
      </c>
      <c r="BZ401" s="58">
        <f t="shared" si="227"/>
        <v>0</v>
      </c>
      <c r="CA401" s="58" t="s">
        <v>964</v>
      </c>
      <c r="CB401" s="31">
        <f t="shared" si="228"/>
        <v>0</v>
      </c>
      <c r="CC401" s="31">
        <v>0</v>
      </c>
      <c r="CD401" s="31">
        <f t="shared" si="229"/>
        <v>0</v>
      </c>
      <c r="CE401" s="31">
        <v>0</v>
      </c>
      <c r="CF401" s="31">
        <v>0</v>
      </c>
      <c r="CG401" s="131">
        <f t="shared" si="233"/>
        <v>0</v>
      </c>
      <c r="CH401" s="17" t="s">
        <v>498</v>
      </c>
      <c r="CI401" s="132">
        <f>IF(Table1[[#This Row],[Check 3 Status]]="Continued", Table1[[#This Row],[Check 3 Students Summer]], 0)</f>
        <v>0</v>
      </c>
      <c r="CJ401" s="131">
        <f>Table1[[#This Row],[Check 3 Per Student Savings]]*CI401</f>
        <v>0</v>
      </c>
      <c r="CK401" s="132">
        <f>IF(Table1[[#This Row],[Check 3 Status]]="Continued", Table1[[#This Row],[Check 3 Students Fall]], 0)</f>
        <v>0</v>
      </c>
      <c r="CL401" s="131">
        <f>Table1[[#This Row],[Check 3 Per Student Savings]]*CK401</f>
        <v>0</v>
      </c>
      <c r="CM401" s="124">
        <f>IF(Table1[[#This Row],[Check 3 Status]]="Continued", Table1[[#This Row],[Check 3 Students Spring]], 0)</f>
        <v>0</v>
      </c>
      <c r="CN401" s="123">
        <f>Table1[[#This Row],[Check 3 Per Student Savings]]*CM401</f>
        <v>0</v>
      </c>
      <c r="CO401" s="124">
        <f t="shared" si="231"/>
        <v>0</v>
      </c>
      <c r="CP401" s="123">
        <f t="shared" si="232"/>
        <v>0</v>
      </c>
      <c r="CQ401" s="123" t="s">
        <v>964</v>
      </c>
      <c r="CR401" s="124">
        <v>0</v>
      </c>
      <c r="CS401" s="124">
        <v>0</v>
      </c>
      <c r="CT401" s="124">
        <v>0</v>
      </c>
      <c r="CU401" s="124">
        <f t="shared" si="238"/>
        <v>0</v>
      </c>
      <c r="CV401" s="123">
        <v>0</v>
      </c>
      <c r="CW401" s="123">
        <f t="shared" si="235"/>
        <v>0</v>
      </c>
      <c r="CX401" s="17" t="s">
        <v>498</v>
      </c>
      <c r="CY401" s="124">
        <v>0</v>
      </c>
      <c r="CZ401" s="58">
        <f>Table1[[#This Row],[Check 4 Per Student Savings]]*CY401</f>
        <v>0</v>
      </c>
      <c r="DA401" s="124">
        <v>0</v>
      </c>
      <c r="DB401" s="123">
        <f>Table1[[#This Row],[Check 4 Per Student Savings]]*DA401</f>
        <v>0</v>
      </c>
      <c r="DC401" s="21">
        <f>IF(Table1[[#This Row],[Check 4 Status]]="Continued", Table1[[#This Row],[Check 4 Students Spring]], 0)</f>
        <v>0</v>
      </c>
      <c r="DD401" s="58">
        <f>Table1[[#This Row],[Check 4 Per Student Savings]]*DC401</f>
        <v>0</v>
      </c>
      <c r="DE401" s="58">
        <f t="shared" si="236"/>
        <v>0</v>
      </c>
      <c r="DF401" s="58">
        <f t="shared" si="237"/>
        <v>0</v>
      </c>
      <c r="DG40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0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01" s="111">
        <f>Table1[[#This Row],[Grand Total Savings]]/Table1[[#This Row],[Total Award]]</f>
        <v>0</v>
      </c>
      <c r="DJ401" s="31"/>
      <c r="DL401" s="31"/>
      <c r="DM401" s="207"/>
      <c r="DN401" s="58"/>
      <c r="DO401" s="31"/>
      <c r="DP401" s="58"/>
      <c r="DQ401" s="58"/>
      <c r="EC401" s="17"/>
      <c r="ED401" s="17"/>
      <c r="EE401" s="17"/>
      <c r="EF401" s="17"/>
      <c r="EG401" s="21"/>
      <c r="EH401" s="58"/>
      <c r="EI401" s="21"/>
      <c r="EJ401" s="21"/>
    </row>
    <row r="402" spans="1:140" ht="16.5" thickTop="1" thickBot="1" x14ac:dyDescent="0.3">
      <c r="A402" s="128" t="s">
        <v>1794</v>
      </c>
      <c r="B402" s="128"/>
      <c r="C402" s="128"/>
      <c r="D402" s="129">
        <v>517621</v>
      </c>
      <c r="E402" s="130"/>
      <c r="F402" s="130"/>
      <c r="G402" s="200" t="s">
        <v>1862</v>
      </c>
      <c r="H402" s="95" t="s">
        <v>5</v>
      </c>
      <c r="I402" s="17" t="s">
        <v>962</v>
      </c>
      <c r="J402" s="17" t="s">
        <v>574</v>
      </c>
      <c r="K402" s="58">
        <v>4800</v>
      </c>
      <c r="L402" s="58" t="s">
        <v>1863</v>
      </c>
      <c r="M402" s="17" t="s">
        <v>1829</v>
      </c>
      <c r="N402" s="17" t="s">
        <v>1830</v>
      </c>
      <c r="O402" s="93" t="s">
        <v>1845</v>
      </c>
      <c r="P402" s="17" t="s">
        <v>1861</v>
      </c>
      <c r="Q402" s="101" t="s">
        <v>234</v>
      </c>
      <c r="R402" s="101"/>
      <c r="S402" s="17" t="s">
        <v>1095</v>
      </c>
      <c r="T402" s="209"/>
      <c r="U402" s="209"/>
      <c r="V402" s="17" t="s">
        <v>1095</v>
      </c>
      <c r="W402" s="17" t="s">
        <v>1095</v>
      </c>
      <c r="X402" s="17" t="s">
        <v>1095</v>
      </c>
      <c r="Y402" s="21">
        <v>0</v>
      </c>
      <c r="Z402" s="21">
        <v>0</v>
      </c>
      <c r="AA402" s="21">
        <v>0</v>
      </c>
      <c r="AB402" s="21">
        <v>0</v>
      </c>
      <c r="AC402" s="21">
        <v>0</v>
      </c>
      <c r="AD402" s="21">
        <v>0</v>
      </c>
      <c r="AE402" s="17" t="s">
        <v>1863</v>
      </c>
      <c r="AF402" s="58" t="s">
        <v>129</v>
      </c>
      <c r="AG402" s="58"/>
      <c r="AH402" s="58"/>
      <c r="AI402" s="58"/>
      <c r="AJ402" s="21">
        <v>0</v>
      </c>
      <c r="AK402" s="21">
        <v>0</v>
      </c>
      <c r="AL402" s="21">
        <v>0</v>
      </c>
      <c r="AM402" s="58">
        <f t="shared" si="222"/>
        <v>0</v>
      </c>
      <c r="AN402" s="21">
        <f>IF(Table1[[#This Row],[Sustainability Check 1 (2017-2018) Status]]="Continued", Table1[[#This Row],[Students Per Summer]], 0)</f>
        <v>0</v>
      </c>
      <c r="AO402" s="21">
        <v>0</v>
      </c>
      <c r="AP402" s="21">
        <f>IF(Table1[[#This Row],[Sustainability Check 1 (2017-2018) Status]]="Continued", Table1[[#This Row],[Students Per Fall]], 0)</f>
        <v>0</v>
      </c>
      <c r="AQ402" s="21">
        <v>0</v>
      </c>
      <c r="AR402" s="21">
        <v>0</v>
      </c>
      <c r="AS402" s="21">
        <v>0</v>
      </c>
      <c r="AT402" s="21">
        <v>0</v>
      </c>
      <c r="AU402" s="58">
        <f t="shared" si="225"/>
        <v>0</v>
      </c>
      <c r="AV402" s="21">
        <v>0</v>
      </c>
      <c r="AW402" s="21">
        <v>0</v>
      </c>
      <c r="AX402" s="21">
        <v>0</v>
      </c>
      <c r="AY402" s="21">
        <v>0</v>
      </c>
      <c r="AZ402" s="21">
        <v>0</v>
      </c>
      <c r="BA402" s="21">
        <v>0</v>
      </c>
      <c r="BB402" s="21">
        <v>0</v>
      </c>
      <c r="BC402" s="21">
        <v>0</v>
      </c>
      <c r="BD402" s="21">
        <v>0</v>
      </c>
      <c r="BE402" s="21">
        <v>0</v>
      </c>
      <c r="BF402" s="21">
        <v>0</v>
      </c>
      <c r="BG402" s="21">
        <v>0</v>
      </c>
      <c r="BH402" s="21">
        <v>0</v>
      </c>
      <c r="BI402" s="21">
        <v>0</v>
      </c>
      <c r="BJ402" s="21">
        <v>0</v>
      </c>
      <c r="BK402" s="21">
        <v>0</v>
      </c>
      <c r="BL402" s="17" t="s">
        <v>964</v>
      </c>
      <c r="BM402" s="21">
        <v>0</v>
      </c>
      <c r="BN402" s="21">
        <v>0</v>
      </c>
      <c r="BO402" s="21">
        <v>0</v>
      </c>
      <c r="BP402" s="21">
        <v>0</v>
      </c>
      <c r="BQ402" s="21">
        <v>0</v>
      </c>
      <c r="BR402" s="21">
        <v>0</v>
      </c>
      <c r="BS402" s="21">
        <v>0</v>
      </c>
      <c r="BT402" s="21">
        <v>0</v>
      </c>
      <c r="BU402" s="21">
        <v>0</v>
      </c>
      <c r="BV402" s="21">
        <v>0</v>
      </c>
      <c r="BW402" s="21">
        <v>0</v>
      </c>
      <c r="BX402" s="131">
        <f>Table1[[#This Row],[Summer 2018 Price Check]]*Table1[[#This Row],[Spring 2019 Students]]</f>
        <v>0</v>
      </c>
      <c r="BY402" s="31">
        <f t="shared" si="226"/>
        <v>0</v>
      </c>
      <c r="BZ402" s="58">
        <f t="shared" si="227"/>
        <v>0</v>
      </c>
      <c r="CA402" s="58" t="s">
        <v>964</v>
      </c>
      <c r="CB402" s="31">
        <f t="shared" si="228"/>
        <v>0</v>
      </c>
      <c r="CC402" s="31">
        <v>0</v>
      </c>
      <c r="CD402" s="31">
        <f t="shared" si="229"/>
        <v>0</v>
      </c>
      <c r="CE402" s="31">
        <v>0</v>
      </c>
      <c r="CF402" s="31">
        <v>0</v>
      </c>
      <c r="CG402" s="131">
        <f t="shared" si="233"/>
        <v>0</v>
      </c>
      <c r="CH402" s="17" t="s">
        <v>1863</v>
      </c>
      <c r="CI402" s="132">
        <f>IF(Table1[[#This Row],[Check 3 Status]]="Continued", Table1[[#This Row],[Check 3 Students Summer]], 0)</f>
        <v>0</v>
      </c>
      <c r="CJ402" s="131">
        <f>Table1[[#This Row],[Check 3 Per Student Savings]]*CI402</f>
        <v>0</v>
      </c>
      <c r="CK402" s="132">
        <f>IF(Table1[[#This Row],[Check 3 Status]]="Continued", Table1[[#This Row],[Check 3 Students Fall]], 0)</f>
        <v>0</v>
      </c>
      <c r="CL402" s="131">
        <f>Table1[[#This Row],[Check 3 Per Student Savings]]*CK402</f>
        <v>0</v>
      </c>
      <c r="CM402" s="124">
        <f>IF(Table1[[#This Row],[Check 3 Status]]="Continued", Table1[[#This Row],[Check 3 Students Spring]], 0)</f>
        <v>0</v>
      </c>
      <c r="CN402" s="123">
        <f>Table1[[#This Row],[Check 3 Per Student Savings]]*CM402</f>
        <v>0</v>
      </c>
      <c r="CO402" s="124">
        <f t="shared" si="231"/>
        <v>0</v>
      </c>
      <c r="CP402" s="123">
        <f t="shared" si="232"/>
        <v>0</v>
      </c>
      <c r="CQ402" s="123" t="s">
        <v>964</v>
      </c>
      <c r="CR402" s="124">
        <v>0</v>
      </c>
      <c r="CS402" s="124">
        <v>0</v>
      </c>
      <c r="CT402" s="124">
        <v>0</v>
      </c>
      <c r="CU402" s="124">
        <f t="shared" si="238"/>
        <v>0</v>
      </c>
      <c r="CV402" s="123">
        <v>0</v>
      </c>
      <c r="CW402" s="123">
        <f t="shared" si="235"/>
        <v>0</v>
      </c>
      <c r="CX402" s="17" t="s">
        <v>1863</v>
      </c>
      <c r="CY402" s="124">
        <v>0</v>
      </c>
      <c r="CZ402" s="58">
        <f>Table1[[#This Row],[Check 4 Per Student Savings]]*CY402</f>
        <v>0</v>
      </c>
      <c r="DA402" s="124">
        <v>0</v>
      </c>
      <c r="DB402" s="123">
        <f>Table1[[#This Row],[Check 4 Per Student Savings]]*DA402</f>
        <v>0</v>
      </c>
      <c r="DC402" s="21">
        <f>IF(Table1[[#This Row],[Check 4 Status]]="Continued", Table1[[#This Row],[Check 4 Students Spring]], 0)</f>
        <v>0</v>
      </c>
      <c r="DD402" s="58">
        <f>Table1[[#This Row],[Check 4 Per Student Savings]]*DC402</f>
        <v>0</v>
      </c>
      <c r="DE402" s="58">
        <f t="shared" si="236"/>
        <v>0</v>
      </c>
      <c r="DF402" s="58">
        <f t="shared" si="237"/>
        <v>0</v>
      </c>
      <c r="DG40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0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02" s="111">
        <f>Table1[[#This Row],[Grand Total Savings]]/Table1[[#This Row],[Total Award]]</f>
        <v>0</v>
      </c>
      <c r="DJ402" s="31"/>
      <c r="DL402" s="31"/>
      <c r="DM402" s="207"/>
      <c r="DN402" s="58"/>
      <c r="DO402" s="31"/>
      <c r="DP402" s="58"/>
      <c r="DQ402" s="58"/>
      <c r="EC402" s="17"/>
      <c r="ED402" s="17"/>
      <c r="EE402" s="17"/>
      <c r="EF402" s="17"/>
      <c r="EG402" s="21"/>
      <c r="EH402" s="58"/>
      <c r="EI402" s="21"/>
      <c r="EJ402" s="21"/>
    </row>
    <row r="403" spans="1:140" ht="31.5" thickTop="1" thickBot="1" x14ac:dyDescent="0.3">
      <c r="A403" s="133">
        <v>523</v>
      </c>
      <c r="B403" s="128"/>
      <c r="C403" s="128"/>
      <c r="D403" s="134"/>
      <c r="E403" s="135"/>
      <c r="F403" s="135"/>
      <c r="G403" s="200" t="s">
        <v>2024</v>
      </c>
      <c r="H403" s="95" t="s">
        <v>5</v>
      </c>
      <c r="I403" s="226" t="s">
        <v>118</v>
      </c>
      <c r="J403" s="17" t="s">
        <v>499</v>
      </c>
      <c r="K403" s="58">
        <v>25800</v>
      </c>
      <c r="L403" s="58" t="s">
        <v>2086</v>
      </c>
      <c r="M403" s="17" t="s">
        <v>2025</v>
      </c>
      <c r="N403" s="17" t="s">
        <v>2040</v>
      </c>
      <c r="O403" s="93" t="s">
        <v>2066</v>
      </c>
      <c r="P403" s="17" t="s">
        <v>2067</v>
      </c>
      <c r="Q403" s="101" t="s">
        <v>148</v>
      </c>
      <c r="R403" s="101"/>
      <c r="S403" s="17" t="s">
        <v>1095</v>
      </c>
      <c r="T403" s="210"/>
      <c r="U403" s="17" t="s">
        <v>1095</v>
      </c>
      <c r="V403" s="17" t="s">
        <v>1095</v>
      </c>
      <c r="W403" s="17" t="s">
        <v>1095</v>
      </c>
      <c r="X403" s="17" t="s">
        <v>1095</v>
      </c>
      <c r="Y403" s="58">
        <v>441025</v>
      </c>
      <c r="Z403" s="21" t="s">
        <v>2091</v>
      </c>
      <c r="AA403" s="58">
        <v>135.69999999999999</v>
      </c>
      <c r="AB403" s="21">
        <v>340</v>
      </c>
      <c r="AC403" s="21" t="s">
        <v>2094</v>
      </c>
      <c r="AD403" s="21" t="s">
        <v>2095</v>
      </c>
      <c r="AE403" s="21" t="s">
        <v>2086</v>
      </c>
      <c r="AF403" s="58"/>
      <c r="AG403" s="58"/>
      <c r="AH403" s="58"/>
      <c r="AI403" s="58"/>
      <c r="AJ403" s="21">
        <v>0</v>
      </c>
      <c r="AK403" s="21">
        <v>0</v>
      </c>
      <c r="AL403" s="21">
        <v>0</v>
      </c>
      <c r="AM403" s="58">
        <f t="shared" ref="AM403:AM415" si="239">AK403</f>
        <v>0</v>
      </c>
      <c r="AN403" s="21">
        <f>IF(Table1[[#This Row],[Sustainability Check 1 (2017-2018) Status]]="Continued", Table1[[#This Row],[Students Per Summer]], 0)</f>
        <v>0</v>
      </c>
      <c r="AO403" s="58">
        <f t="shared" ref="AO403:AO415" si="240">$AB403*AN403</f>
        <v>0</v>
      </c>
      <c r="AP403" s="21">
        <f>IF(Table1[[#This Row],[Sustainability Check 1 (2017-2018) Status]]="Continued", Table1[[#This Row],[Students Per Fall]], 0)</f>
        <v>0</v>
      </c>
      <c r="AQ403" s="58">
        <f t="shared" ref="AQ403:AQ415" si="241">$AB403*AP403</f>
        <v>0</v>
      </c>
      <c r="AR403" s="21">
        <v>0</v>
      </c>
      <c r="AS403" s="58">
        <f t="shared" ref="AS403:AS415" si="242">$AB403*AR403</f>
        <v>0</v>
      </c>
      <c r="AT403" s="21">
        <v>0</v>
      </c>
      <c r="AU403" s="58">
        <f t="shared" ref="AU403:AU415" si="243">AO403+AQ403+AS403</f>
        <v>0</v>
      </c>
      <c r="AV403" s="21">
        <v>0</v>
      </c>
      <c r="AW403" s="21">
        <v>0</v>
      </c>
      <c r="AX403" s="21">
        <v>0</v>
      </c>
      <c r="AY403" s="21">
        <v>0</v>
      </c>
      <c r="AZ403" s="21">
        <v>0</v>
      </c>
      <c r="BA403" s="21">
        <v>0</v>
      </c>
      <c r="BB403" s="21">
        <v>0</v>
      </c>
      <c r="BC403" s="21">
        <v>0</v>
      </c>
      <c r="BD403" s="21">
        <v>0</v>
      </c>
      <c r="BE403" s="21">
        <v>0</v>
      </c>
      <c r="BF403" s="21">
        <v>0</v>
      </c>
      <c r="BG403" s="21">
        <v>0</v>
      </c>
      <c r="BH403" s="21">
        <v>0</v>
      </c>
      <c r="BI403" s="21">
        <v>0</v>
      </c>
      <c r="BJ403" s="21">
        <v>0</v>
      </c>
      <c r="BK403" s="21">
        <v>0</v>
      </c>
      <c r="BL403" s="17" t="s">
        <v>130</v>
      </c>
      <c r="BM403" s="21">
        <v>0</v>
      </c>
      <c r="BN403" s="21">
        <v>0</v>
      </c>
      <c r="BO403" s="21">
        <v>0</v>
      </c>
      <c r="BP403" s="21">
        <v>0</v>
      </c>
      <c r="BQ403" s="21">
        <v>0</v>
      </c>
      <c r="BR403" s="21">
        <v>0</v>
      </c>
      <c r="BS403" s="21">
        <v>0</v>
      </c>
      <c r="BT403" s="21">
        <v>0</v>
      </c>
      <c r="BU403" s="21">
        <v>0</v>
      </c>
      <c r="BV403" s="21">
        <v>0</v>
      </c>
      <c r="BW403" s="21">
        <v>0</v>
      </c>
      <c r="BX403" s="136">
        <f>Table1[[#This Row],[Summer 2018 Price Check]]*Table1[[#This Row],[Spring 2019 Students]]</f>
        <v>0</v>
      </c>
      <c r="BY403" s="31">
        <f t="shared" ref="BY403:BY424" si="244">BS403+BU403+BW403</f>
        <v>0</v>
      </c>
      <c r="BZ403" s="58">
        <f t="shared" ref="BZ403:BZ424" si="245">BT403+BV403+BX403</f>
        <v>0</v>
      </c>
      <c r="CA403" s="58" t="s">
        <v>130</v>
      </c>
      <c r="CB403" s="211">
        <v>340</v>
      </c>
      <c r="CC403" s="212" t="s">
        <v>2094</v>
      </c>
      <c r="CD403" s="212" t="s">
        <v>2095</v>
      </c>
      <c r="CE403" s="21" t="str">
        <f t="shared" ref="CE403:CE424" si="246">Z403</f>
        <v>4,250</v>
      </c>
      <c r="CF403" s="58">
        <v>135.69999999999999</v>
      </c>
      <c r="CG403" s="136">
        <f t="shared" ref="CG403:CG415" si="247">(CE403*CF403)</f>
        <v>576725</v>
      </c>
      <c r="CH403" s="58" t="s">
        <v>2086</v>
      </c>
      <c r="CI403" s="137">
        <v>0</v>
      </c>
      <c r="CJ403" s="136">
        <f>Table1[[#This Row],[Check 3 Per Student Savings]]*CI403</f>
        <v>0</v>
      </c>
      <c r="CK403" s="137">
        <v>0</v>
      </c>
      <c r="CL403" s="137">
        <v>0</v>
      </c>
      <c r="CM403" s="137">
        <v>0</v>
      </c>
      <c r="CN403" s="137">
        <v>0</v>
      </c>
      <c r="CO403" s="137">
        <v>0</v>
      </c>
      <c r="CP403" s="137">
        <v>0</v>
      </c>
      <c r="CQ403" s="137" t="s">
        <v>130</v>
      </c>
      <c r="CR403" s="137">
        <v>340</v>
      </c>
      <c r="CS403" s="137" t="s">
        <v>2094</v>
      </c>
      <c r="CT403" s="137" t="s">
        <v>2095</v>
      </c>
      <c r="CU403" s="137">
        <f t="shared" si="238"/>
        <v>4250</v>
      </c>
      <c r="CV403" s="136">
        <v>135.69999999999999</v>
      </c>
      <c r="CW403" s="137">
        <f t="shared" si="235"/>
        <v>576725</v>
      </c>
      <c r="CX403" s="58" t="s">
        <v>2086</v>
      </c>
      <c r="CY403" s="124">
        <v>0</v>
      </c>
      <c r="CZ403" s="58">
        <f>Table1[[#This Row],[Check 4 Per Student Savings]]*CY403</f>
        <v>0</v>
      </c>
      <c r="DA403" s="124">
        <v>0</v>
      </c>
      <c r="DB403" s="137">
        <f>Table1[[#This Row],[Check 4 Per Student Savings]]*DA403</f>
        <v>0</v>
      </c>
      <c r="DC403" s="124">
        <v>0</v>
      </c>
      <c r="DD403" s="58">
        <f>Table1[[#This Row],[Check 4 Per Student Savings]]*DC403</f>
        <v>0</v>
      </c>
      <c r="DE403" s="58">
        <f t="shared" si="236"/>
        <v>0</v>
      </c>
      <c r="DF403" s="58">
        <f t="shared" si="237"/>
        <v>0</v>
      </c>
      <c r="DG40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0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03" s="111">
        <f>Table1[[#This Row],[Grand Total Savings]]/Table1[[#This Row],[Total Award]]</f>
        <v>0</v>
      </c>
      <c r="DJ403" s="31"/>
      <c r="DL403" s="31"/>
      <c r="DM403" s="207"/>
      <c r="DN403" s="58"/>
      <c r="DO403" s="31"/>
      <c r="DP403" s="58"/>
      <c r="DQ403" s="58"/>
      <c r="EC403" s="17"/>
      <c r="ED403" s="17"/>
      <c r="EE403" s="17"/>
      <c r="EF403" s="17"/>
      <c r="EG403" s="21"/>
      <c r="EH403" s="58"/>
      <c r="EI403" s="21"/>
      <c r="EJ403" s="21"/>
    </row>
    <row r="404" spans="1:140" ht="16.5" thickTop="1" thickBot="1" x14ac:dyDescent="0.3">
      <c r="A404" s="133">
        <v>524</v>
      </c>
      <c r="B404" s="138"/>
      <c r="C404" s="138"/>
      <c r="D404" s="134"/>
      <c r="E404" s="135"/>
      <c r="F404" s="135"/>
      <c r="G404" s="200" t="s">
        <v>2024</v>
      </c>
      <c r="H404" s="95" t="s">
        <v>5</v>
      </c>
      <c r="I404" s="226" t="s">
        <v>118</v>
      </c>
      <c r="J404" s="17" t="s">
        <v>499</v>
      </c>
      <c r="K404" s="58">
        <v>30000</v>
      </c>
      <c r="L404" s="58" t="s">
        <v>2086</v>
      </c>
      <c r="M404" s="17" t="s">
        <v>1281</v>
      </c>
      <c r="N404" s="17" t="s">
        <v>1282</v>
      </c>
      <c r="O404" s="93" t="s">
        <v>2055</v>
      </c>
      <c r="P404" s="17" t="s">
        <v>2068</v>
      </c>
      <c r="Q404" s="101" t="s">
        <v>177</v>
      </c>
      <c r="R404" s="101"/>
      <c r="S404" s="17" t="s">
        <v>1095</v>
      </c>
      <c r="T404" s="210"/>
      <c r="U404" s="17" t="s">
        <v>1095</v>
      </c>
      <c r="V404" s="17" t="s">
        <v>1095</v>
      </c>
      <c r="W404" s="17" t="s">
        <v>1095</v>
      </c>
      <c r="X404" s="17" t="s">
        <v>1095</v>
      </c>
      <c r="Y404" s="58">
        <v>87353.279999999999</v>
      </c>
      <c r="Z404" s="21">
        <v>504</v>
      </c>
      <c r="AA404" s="58">
        <v>173.32</v>
      </c>
      <c r="AB404" s="21">
        <v>48</v>
      </c>
      <c r="AC404" s="21">
        <v>216</v>
      </c>
      <c r="AD404" s="21">
        <v>240</v>
      </c>
      <c r="AE404" s="139" t="s">
        <v>2086</v>
      </c>
      <c r="AF404" s="58"/>
      <c r="AG404" s="58"/>
      <c r="AH404" s="58"/>
      <c r="AI404" s="58"/>
      <c r="AJ404" s="21">
        <v>0</v>
      </c>
      <c r="AK404" s="21">
        <v>0</v>
      </c>
      <c r="AL404" s="21">
        <v>0</v>
      </c>
      <c r="AM404" s="58">
        <f t="shared" si="239"/>
        <v>0</v>
      </c>
      <c r="AN404" s="21">
        <f>IF(Table1[[#This Row],[Sustainability Check 1 (2017-2018) Status]]="Continued", Table1[[#This Row],[Students Per Summer]], 0)</f>
        <v>0</v>
      </c>
      <c r="AO404" s="58">
        <f t="shared" si="240"/>
        <v>0</v>
      </c>
      <c r="AP404" s="21">
        <f>IF(Table1[[#This Row],[Sustainability Check 1 (2017-2018) Status]]="Continued", Table1[[#This Row],[Students Per Fall]], 0)</f>
        <v>0</v>
      </c>
      <c r="AQ404" s="58">
        <f t="shared" si="241"/>
        <v>0</v>
      </c>
      <c r="AR404" s="21">
        <v>0</v>
      </c>
      <c r="AS404" s="58">
        <f t="shared" si="242"/>
        <v>0</v>
      </c>
      <c r="AT404" s="21">
        <v>0</v>
      </c>
      <c r="AU404" s="58">
        <f t="shared" si="243"/>
        <v>0</v>
      </c>
      <c r="AV404" s="21">
        <v>0</v>
      </c>
      <c r="AW404" s="21">
        <v>0</v>
      </c>
      <c r="AX404" s="21">
        <v>0</v>
      </c>
      <c r="AY404" s="21">
        <v>0</v>
      </c>
      <c r="AZ404" s="21">
        <v>0</v>
      </c>
      <c r="BA404" s="21">
        <v>0</v>
      </c>
      <c r="BB404" s="21">
        <v>0</v>
      </c>
      <c r="BC404" s="21">
        <v>0</v>
      </c>
      <c r="BD404" s="21">
        <v>0</v>
      </c>
      <c r="BE404" s="21">
        <v>0</v>
      </c>
      <c r="BF404" s="21">
        <v>0</v>
      </c>
      <c r="BG404" s="21">
        <v>0</v>
      </c>
      <c r="BH404" s="21">
        <v>0</v>
      </c>
      <c r="BI404" s="21">
        <v>0</v>
      </c>
      <c r="BJ404" s="21">
        <v>0</v>
      </c>
      <c r="BK404" s="21">
        <v>0</v>
      </c>
      <c r="BL404" s="17" t="s">
        <v>130</v>
      </c>
      <c r="BM404" s="21">
        <v>0</v>
      </c>
      <c r="BN404" s="21">
        <v>0</v>
      </c>
      <c r="BO404" s="21">
        <v>0</v>
      </c>
      <c r="BP404" s="21">
        <v>0</v>
      </c>
      <c r="BQ404" s="21">
        <v>0</v>
      </c>
      <c r="BR404" s="21">
        <v>0</v>
      </c>
      <c r="BS404" s="21">
        <v>0</v>
      </c>
      <c r="BT404" s="21">
        <v>0</v>
      </c>
      <c r="BU404" s="21">
        <v>0</v>
      </c>
      <c r="BV404" s="21">
        <v>0</v>
      </c>
      <c r="BW404" s="21">
        <v>0</v>
      </c>
      <c r="BX404" s="136">
        <f>Table1[[#This Row],[Summer 2018 Price Check]]*Table1[[#This Row],[Spring 2019 Students]]</f>
        <v>0</v>
      </c>
      <c r="BY404" s="31">
        <f t="shared" si="244"/>
        <v>0</v>
      </c>
      <c r="BZ404" s="58">
        <f t="shared" si="245"/>
        <v>0</v>
      </c>
      <c r="CA404" s="58" t="s">
        <v>130</v>
      </c>
      <c r="CB404" s="211">
        <v>48</v>
      </c>
      <c r="CC404" s="212">
        <v>216</v>
      </c>
      <c r="CD404" s="212">
        <v>240</v>
      </c>
      <c r="CE404" s="21">
        <f t="shared" si="246"/>
        <v>504</v>
      </c>
      <c r="CF404" s="58">
        <v>173.32</v>
      </c>
      <c r="CG404" s="136">
        <f t="shared" si="247"/>
        <v>87353.279999999999</v>
      </c>
      <c r="CH404" s="58" t="s">
        <v>2086</v>
      </c>
      <c r="CI404" s="137">
        <f>IF(Table1[[#This Row],[Check 3 Status]]="Continued", Table1[[#This Row],[Check 3 Students Summer]], 0)</f>
        <v>48</v>
      </c>
      <c r="CJ404" s="137">
        <v>0</v>
      </c>
      <c r="CK404" s="137">
        <v>0</v>
      </c>
      <c r="CL404" s="137">
        <v>0</v>
      </c>
      <c r="CM404" s="137">
        <v>0</v>
      </c>
      <c r="CN404" s="137">
        <v>0</v>
      </c>
      <c r="CO404" s="137">
        <v>0</v>
      </c>
      <c r="CP404" s="137">
        <v>0</v>
      </c>
      <c r="CQ404" s="137" t="s">
        <v>130</v>
      </c>
      <c r="CR404" s="137">
        <v>48</v>
      </c>
      <c r="CS404" s="137">
        <v>216</v>
      </c>
      <c r="CT404" s="137">
        <v>240</v>
      </c>
      <c r="CU404" s="137">
        <f t="shared" si="238"/>
        <v>504</v>
      </c>
      <c r="CV404" s="136">
        <v>173.32</v>
      </c>
      <c r="CW404" s="137">
        <f t="shared" si="235"/>
        <v>87353.279999999999</v>
      </c>
      <c r="CX404" s="58" t="s">
        <v>2086</v>
      </c>
      <c r="CY404" s="124">
        <v>0</v>
      </c>
      <c r="CZ404" s="58">
        <f>Table1[[#This Row],[Check 4 Per Student Savings]]*CY404</f>
        <v>0</v>
      </c>
      <c r="DA404" s="124">
        <v>0</v>
      </c>
      <c r="DB404" s="137">
        <f>Table1[[#This Row],[Check 4 Per Student Savings]]*DA404</f>
        <v>0</v>
      </c>
      <c r="DC404" s="124">
        <v>0</v>
      </c>
      <c r="DD404" s="58">
        <f>Table1[[#This Row],[Check 4 Per Student Savings]]*DC404</f>
        <v>0</v>
      </c>
      <c r="DE404" s="58">
        <f t="shared" si="236"/>
        <v>0</v>
      </c>
      <c r="DF404" s="58">
        <f t="shared" si="237"/>
        <v>0</v>
      </c>
      <c r="DG40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0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04" s="111">
        <f>Table1[[#This Row],[Grand Total Savings]]/Table1[[#This Row],[Total Award]]</f>
        <v>0</v>
      </c>
      <c r="DJ404" s="31"/>
      <c r="DK404" s="207"/>
      <c r="DM404" s="31"/>
      <c r="DN404" s="58"/>
      <c r="DO404" s="58"/>
      <c r="EC404" s="17"/>
      <c r="ED404" s="17"/>
      <c r="EF404" s="58"/>
      <c r="EG404" s="21"/>
      <c r="EH404" s="21"/>
    </row>
    <row r="405" spans="1:140" ht="16.5" thickTop="1" thickBot="1" x14ac:dyDescent="0.3">
      <c r="A405" s="133">
        <v>525</v>
      </c>
      <c r="B405" s="138"/>
      <c r="C405" s="138"/>
      <c r="D405" s="134"/>
      <c r="E405" s="135"/>
      <c r="F405" s="135"/>
      <c r="G405" s="200" t="s">
        <v>2024</v>
      </c>
      <c r="H405" s="95" t="s">
        <v>5</v>
      </c>
      <c r="I405" s="226" t="s">
        <v>118</v>
      </c>
      <c r="J405" s="17" t="s">
        <v>172</v>
      </c>
      <c r="K405" s="58">
        <v>10000</v>
      </c>
      <c r="L405" s="58" t="s">
        <v>2086</v>
      </c>
      <c r="M405" s="17" t="s">
        <v>2026</v>
      </c>
      <c r="N405" s="17" t="s">
        <v>2041</v>
      </c>
      <c r="O405" s="93" t="s">
        <v>2007</v>
      </c>
      <c r="P405" s="17" t="s">
        <v>2069</v>
      </c>
      <c r="Q405" s="101" t="s">
        <v>2301</v>
      </c>
      <c r="R405" s="101"/>
      <c r="S405" s="17" t="s">
        <v>1095</v>
      </c>
      <c r="T405" s="210"/>
      <c r="U405" s="17" t="s">
        <v>1095</v>
      </c>
      <c r="V405" s="17" t="s">
        <v>1095</v>
      </c>
      <c r="W405" s="17" t="s">
        <v>1095</v>
      </c>
      <c r="X405" s="17" t="s">
        <v>1095</v>
      </c>
      <c r="Y405" s="58">
        <v>67068.543999999994</v>
      </c>
      <c r="Z405" s="21">
        <v>662</v>
      </c>
      <c r="AA405" s="58">
        <v>101.312</v>
      </c>
      <c r="AB405" s="21">
        <v>30</v>
      </c>
      <c r="AC405" s="21">
        <v>367</v>
      </c>
      <c r="AD405" s="21">
        <v>265</v>
      </c>
      <c r="AE405" s="139" t="s">
        <v>2086</v>
      </c>
      <c r="AF405" s="58"/>
      <c r="AG405" s="58"/>
      <c r="AH405" s="58"/>
      <c r="AI405" s="58"/>
      <c r="AJ405" s="21">
        <v>0</v>
      </c>
      <c r="AK405" s="21">
        <v>0</v>
      </c>
      <c r="AL405" s="21">
        <v>0</v>
      </c>
      <c r="AM405" s="58">
        <f t="shared" si="239"/>
        <v>0</v>
      </c>
      <c r="AN405" s="21">
        <f>IF(Table1[[#This Row],[Sustainability Check 1 (2017-2018) Status]]="Continued", Table1[[#This Row],[Students Per Summer]], 0)</f>
        <v>0</v>
      </c>
      <c r="AO405" s="58">
        <f t="shared" si="240"/>
        <v>0</v>
      </c>
      <c r="AP405" s="21">
        <f>IF(Table1[[#This Row],[Sustainability Check 1 (2017-2018) Status]]="Continued", Table1[[#This Row],[Students Per Fall]], 0)</f>
        <v>0</v>
      </c>
      <c r="AQ405" s="58">
        <f t="shared" si="241"/>
        <v>0</v>
      </c>
      <c r="AR405" s="21">
        <v>0</v>
      </c>
      <c r="AS405" s="58">
        <f t="shared" si="242"/>
        <v>0</v>
      </c>
      <c r="AT405" s="21">
        <v>0</v>
      </c>
      <c r="AU405" s="58">
        <f t="shared" si="243"/>
        <v>0</v>
      </c>
      <c r="AV405" s="21">
        <v>0</v>
      </c>
      <c r="AW405" s="21">
        <v>0</v>
      </c>
      <c r="AX405" s="21">
        <v>0</v>
      </c>
      <c r="AY405" s="21">
        <v>0</v>
      </c>
      <c r="AZ405" s="21">
        <v>0</v>
      </c>
      <c r="BA405" s="21">
        <v>0</v>
      </c>
      <c r="BB405" s="21">
        <v>0</v>
      </c>
      <c r="BC405" s="21">
        <v>0</v>
      </c>
      <c r="BD405" s="21">
        <v>0</v>
      </c>
      <c r="BE405" s="21">
        <v>0</v>
      </c>
      <c r="BF405" s="21">
        <v>0</v>
      </c>
      <c r="BG405" s="21">
        <v>0</v>
      </c>
      <c r="BH405" s="21">
        <v>0</v>
      </c>
      <c r="BI405" s="21">
        <v>0</v>
      </c>
      <c r="BJ405" s="21">
        <v>0</v>
      </c>
      <c r="BK405" s="21">
        <v>0</v>
      </c>
      <c r="BL405" s="17" t="s">
        <v>130</v>
      </c>
      <c r="BM405" s="21">
        <v>0</v>
      </c>
      <c r="BN405" s="21">
        <v>0</v>
      </c>
      <c r="BO405" s="21">
        <v>0</v>
      </c>
      <c r="BP405" s="21">
        <v>0</v>
      </c>
      <c r="BQ405" s="21">
        <v>0</v>
      </c>
      <c r="BR405" s="21">
        <v>0</v>
      </c>
      <c r="BS405" s="21">
        <v>0</v>
      </c>
      <c r="BT405" s="21">
        <v>0</v>
      </c>
      <c r="BU405" s="21">
        <v>0</v>
      </c>
      <c r="BV405" s="21">
        <v>0</v>
      </c>
      <c r="BW405" s="21">
        <v>0</v>
      </c>
      <c r="BX405" s="136">
        <f>Table1[[#This Row],[Summer 2018 Price Check]]*Table1[[#This Row],[Spring 2019 Students]]</f>
        <v>0</v>
      </c>
      <c r="BY405" s="31">
        <f t="shared" si="244"/>
        <v>0</v>
      </c>
      <c r="BZ405" s="58">
        <f t="shared" si="245"/>
        <v>0</v>
      </c>
      <c r="CA405" s="58" t="s">
        <v>130</v>
      </c>
      <c r="CB405" s="211">
        <v>30</v>
      </c>
      <c r="CC405" s="212">
        <v>367</v>
      </c>
      <c r="CD405" s="212">
        <v>265</v>
      </c>
      <c r="CE405" s="21">
        <f t="shared" si="246"/>
        <v>662</v>
      </c>
      <c r="CF405" s="58">
        <v>101.312</v>
      </c>
      <c r="CG405" s="136">
        <f t="shared" si="247"/>
        <v>67068.543999999994</v>
      </c>
      <c r="CH405" s="58" t="s">
        <v>2086</v>
      </c>
      <c r="CI405" s="137">
        <f>IF(Table1[[#This Row],[Check 3 Status]]="Continued", Table1[[#This Row],[Check 3 Students Summer]], 0)</f>
        <v>30</v>
      </c>
      <c r="CJ405" s="137">
        <v>0</v>
      </c>
      <c r="CK405" s="137">
        <v>0</v>
      </c>
      <c r="CL405" s="137">
        <v>0</v>
      </c>
      <c r="CM405" s="137">
        <v>0</v>
      </c>
      <c r="CN405" s="137">
        <v>0</v>
      </c>
      <c r="CO405" s="137">
        <v>0</v>
      </c>
      <c r="CP405" s="137">
        <v>0</v>
      </c>
      <c r="CQ405" s="137" t="s">
        <v>130</v>
      </c>
      <c r="CR405" s="137">
        <v>30</v>
      </c>
      <c r="CS405" s="137">
        <v>367</v>
      </c>
      <c r="CT405" s="137">
        <v>265</v>
      </c>
      <c r="CU405" s="137">
        <f t="shared" si="238"/>
        <v>662</v>
      </c>
      <c r="CV405" s="136">
        <v>101.312</v>
      </c>
      <c r="CW405" s="137">
        <f t="shared" si="235"/>
        <v>67068.543999999994</v>
      </c>
      <c r="CX405" s="58" t="s">
        <v>2086</v>
      </c>
      <c r="CY405" s="124">
        <v>0</v>
      </c>
      <c r="CZ405" s="58">
        <f>Table1[[#This Row],[Check 4 Per Student Savings]]*CY405</f>
        <v>0</v>
      </c>
      <c r="DA405" s="124">
        <v>0</v>
      </c>
      <c r="DB405" s="137">
        <f>Table1[[#This Row],[Check 4 Per Student Savings]]*DA405</f>
        <v>0</v>
      </c>
      <c r="DC405" s="124">
        <v>0</v>
      </c>
      <c r="DD405" s="58">
        <f>Table1[[#This Row],[Check 4 Per Student Savings]]*DC405</f>
        <v>0</v>
      </c>
      <c r="DE405" s="58">
        <f t="shared" si="236"/>
        <v>0</v>
      </c>
      <c r="DF405" s="58">
        <f t="shared" si="237"/>
        <v>0</v>
      </c>
      <c r="DG40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0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05" s="111">
        <f>Table1[[#This Row],[Grand Total Savings]]/Table1[[#This Row],[Total Award]]</f>
        <v>0</v>
      </c>
      <c r="DJ405" s="31"/>
      <c r="DK405" s="207"/>
      <c r="DM405" s="31"/>
      <c r="DN405" s="58"/>
      <c r="DO405" s="58"/>
      <c r="EC405" s="17"/>
      <c r="ED405" s="17"/>
      <c r="EF405" s="58"/>
      <c r="EG405" s="21"/>
      <c r="EH405" s="21"/>
    </row>
    <row r="406" spans="1:140" ht="16.5" thickTop="1" thickBot="1" x14ac:dyDescent="0.3">
      <c r="A406" s="133">
        <v>526</v>
      </c>
      <c r="B406" s="138"/>
      <c r="C406" s="138"/>
      <c r="D406" s="134"/>
      <c r="E406" s="135"/>
      <c r="F406" s="135"/>
      <c r="G406" s="200" t="s">
        <v>2024</v>
      </c>
      <c r="H406" s="95" t="s">
        <v>5</v>
      </c>
      <c r="I406" s="226" t="s">
        <v>118</v>
      </c>
      <c r="J406" s="17" t="s">
        <v>172</v>
      </c>
      <c r="K406" s="58">
        <v>10800</v>
      </c>
      <c r="L406" s="58" t="s">
        <v>2086</v>
      </c>
      <c r="M406" s="17" t="s">
        <v>1137</v>
      </c>
      <c r="N406" s="17" t="s">
        <v>1138</v>
      </c>
      <c r="O406" s="93" t="s">
        <v>2005</v>
      </c>
      <c r="P406" s="17" t="s">
        <v>2070</v>
      </c>
      <c r="Q406" s="101" t="s">
        <v>304</v>
      </c>
      <c r="R406" s="101"/>
      <c r="S406" s="17" t="s">
        <v>1095</v>
      </c>
      <c r="T406" s="210"/>
      <c r="U406" s="17" t="s">
        <v>1095</v>
      </c>
      <c r="V406" s="17" t="s">
        <v>1095</v>
      </c>
      <c r="W406" s="17" t="s">
        <v>1095</v>
      </c>
      <c r="X406" s="17" t="s">
        <v>1095</v>
      </c>
      <c r="Y406" s="58">
        <v>102019.75</v>
      </c>
      <c r="Z406" s="21">
        <v>601</v>
      </c>
      <c r="AA406" s="58">
        <v>169.75</v>
      </c>
      <c r="AB406" s="21">
        <v>98</v>
      </c>
      <c r="AC406" s="21">
        <v>301</v>
      </c>
      <c r="AD406" s="21">
        <v>300</v>
      </c>
      <c r="AE406" s="139" t="s">
        <v>2086</v>
      </c>
      <c r="AF406" s="58"/>
      <c r="AG406" s="58"/>
      <c r="AH406" s="58"/>
      <c r="AI406" s="58"/>
      <c r="AJ406" s="21">
        <v>0</v>
      </c>
      <c r="AK406" s="21">
        <v>0</v>
      </c>
      <c r="AL406" s="21">
        <v>0</v>
      </c>
      <c r="AM406" s="58">
        <f t="shared" si="239"/>
        <v>0</v>
      </c>
      <c r="AN406" s="21">
        <f>IF(Table1[[#This Row],[Sustainability Check 1 (2017-2018) Status]]="Continued", Table1[[#This Row],[Students Per Summer]], 0)</f>
        <v>0</v>
      </c>
      <c r="AO406" s="58">
        <f t="shared" si="240"/>
        <v>0</v>
      </c>
      <c r="AP406" s="21">
        <f>IF(Table1[[#This Row],[Sustainability Check 1 (2017-2018) Status]]="Continued", Table1[[#This Row],[Students Per Fall]], 0)</f>
        <v>0</v>
      </c>
      <c r="AQ406" s="58">
        <f t="shared" si="241"/>
        <v>0</v>
      </c>
      <c r="AR406" s="21">
        <v>0</v>
      </c>
      <c r="AS406" s="58">
        <f t="shared" si="242"/>
        <v>0</v>
      </c>
      <c r="AT406" s="21">
        <v>0</v>
      </c>
      <c r="AU406" s="58">
        <f t="shared" si="243"/>
        <v>0</v>
      </c>
      <c r="AV406" s="21">
        <v>0</v>
      </c>
      <c r="AW406" s="21">
        <v>0</v>
      </c>
      <c r="AX406" s="21">
        <v>0</v>
      </c>
      <c r="AY406" s="21">
        <v>0</v>
      </c>
      <c r="AZ406" s="21">
        <v>0</v>
      </c>
      <c r="BA406" s="21">
        <v>0</v>
      </c>
      <c r="BB406" s="21">
        <v>0</v>
      </c>
      <c r="BC406" s="21">
        <v>0</v>
      </c>
      <c r="BD406" s="21">
        <v>0</v>
      </c>
      <c r="BE406" s="21">
        <v>0</v>
      </c>
      <c r="BF406" s="21">
        <v>0</v>
      </c>
      <c r="BG406" s="21">
        <v>0</v>
      </c>
      <c r="BH406" s="21">
        <v>0</v>
      </c>
      <c r="BI406" s="21">
        <v>0</v>
      </c>
      <c r="BJ406" s="21">
        <v>0</v>
      </c>
      <c r="BK406" s="21">
        <v>0</v>
      </c>
      <c r="BL406" s="17" t="s">
        <v>130</v>
      </c>
      <c r="BM406" s="21">
        <v>0</v>
      </c>
      <c r="BN406" s="21">
        <v>0</v>
      </c>
      <c r="BO406" s="21">
        <v>0</v>
      </c>
      <c r="BP406" s="21">
        <v>0</v>
      </c>
      <c r="BQ406" s="21">
        <v>0</v>
      </c>
      <c r="BR406" s="21">
        <v>0</v>
      </c>
      <c r="BS406" s="21">
        <v>0</v>
      </c>
      <c r="BT406" s="21">
        <v>0</v>
      </c>
      <c r="BU406" s="21">
        <v>0</v>
      </c>
      <c r="BV406" s="21">
        <v>0</v>
      </c>
      <c r="BW406" s="21">
        <v>0</v>
      </c>
      <c r="BX406" s="136">
        <f>Table1[[#This Row],[Summer 2018 Price Check]]*Table1[[#This Row],[Spring 2019 Students]]</f>
        <v>0</v>
      </c>
      <c r="BY406" s="31">
        <f t="shared" si="244"/>
        <v>0</v>
      </c>
      <c r="BZ406" s="58">
        <f t="shared" si="245"/>
        <v>0</v>
      </c>
      <c r="CA406" s="58" t="s">
        <v>130</v>
      </c>
      <c r="CB406" s="211">
        <v>98</v>
      </c>
      <c r="CC406" s="212">
        <v>301</v>
      </c>
      <c r="CD406" s="212">
        <v>300</v>
      </c>
      <c r="CE406" s="21">
        <f t="shared" si="246"/>
        <v>601</v>
      </c>
      <c r="CF406" s="58">
        <v>169.75</v>
      </c>
      <c r="CG406" s="136">
        <f t="shared" si="247"/>
        <v>102019.75</v>
      </c>
      <c r="CH406" s="58" t="s">
        <v>2086</v>
      </c>
      <c r="CI406" s="137">
        <f>IF(Table1[[#This Row],[Check 3 Status]]="Continued", Table1[[#This Row],[Check 3 Students Summer]], 0)</f>
        <v>98</v>
      </c>
      <c r="CJ406" s="137">
        <v>0</v>
      </c>
      <c r="CK406" s="137">
        <v>0</v>
      </c>
      <c r="CL406" s="137">
        <v>0</v>
      </c>
      <c r="CM406" s="137">
        <v>0</v>
      </c>
      <c r="CN406" s="137">
        <v>0</v>
      </c>
      <c r="CO406" s="137">
        <v>0</v>
      </c>
      <c r="CP406" s="137">
        <v>0</v>
      </c>
      <c r="CQ406" s="137" t="s">
        <v>130</v>
      </c>
      <c r="CR406" s="137">
        <v>98</v>
      </c>
      <c r="CS406" s="137">
        <v>301</v>
      </c>
      <c r="CT406" s="137">
        <v>300</v>
      </c>
      <c r="CU406" s="137">
        <f t="shared" si="238"/>
        <v>699</v>
      </c>
      <c r="CV406" s="136">
        <v>169.75</v>
      </c>
      <c r="CW406" s="137">
        <f t="shared" si="235"/>
        <v>118655.25</v>
      </c>
      <c r="CX406" s="58" t="s">
        <v>2086</v>
      </c>
      <c r="CY406" s="124">
        <v>0</v>
      </c>
      <c r="CZ406" s="58">
        <f>Table1[[#This Row],[Check 4 Per Student Savings]]*CY406</f>
        <v>0</v>
      </c>
      <c r="DA406" s="124">
        <v>0</v>
      </c>
      <c r="DB406" s="137">
        <f>Table1[[#This Row],[Check 4 Per Student Savings]]*DA406</f>
        <v>0</v>
      </c>
      <c r="DC406" s="124">
        <v>0</v>
      </c>
      <c r="DD406" s="58">
        <f>Table1[[#This Row],[Check 4 Per Student Savings]]*DC406</f>
        <v>0</v>
      </c>
      <c r="DE406" s="58">
        <f t="shared" si="236"/>
        <v>0</v>
      </c>
      <c r="DF406" s="58">
        <f t="shared" si="237"/>
        <v>0</v>
      </c>
      <c r="DG40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0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06" s="111">
        <f>Table1[[#This Row],[Grand Total Savings]]/Table1[[#This Row],[Total Award]]</f>
        <v>0</v>
      </c>
      <c r="DJ406" s="31"/>
      <c r="DK406" s="207"/>
      <c r="DM406" s="31"/>
      <c r="DN406" s="58"/>
      <c r="DO406" s="58"/>
      <c r="EC406" s="17"/>
      <c r="ED406" s="17"/>
      <c r="EF406" s="58"/>
      <c r="EG406" s="21"/>
      <c r="EH406" s="21"/>
    </row>
    <row r="407" spans="1:140" ht="31.5" thickTop="1" thickBot="1" x14ac:dyDescent="0.3">
      <c r="A407" s="133">
        <v>527</v>
      </c>
      <c r="B407" s="138"/>
      <c r="C407" s="138"/>
      <c r="D407" s="134"/>
      <c r="E407" s="135"/>
      <c r="F407" s="135"/>
      <c r="G407" s="200" t="s">
        <v>2024</v>
      </c>
      <c r="H407" s="95" t="s">
        <v>5</v>
      </c>
      <c r="I407" s="226" t="s">
        <v>118</v>
      </c>
      <c r="J407" s="17" t="s">
        <v>585</v>
      </c>
      <c r="K407" s="58">
        <v>10000</v>
      </c>
      <c r="L407" s="58" t="s">
        <v>2086</v>
      </c>
      <c r="M407" s="17" t="s">
        <v>2027</v>
      </c>
      <c r="N407" s="17" t="s">
        <v>2042</v>
      </c>
      <c r="O407" s="93" t="s">
        <v>2056</v>
      </c>
      <c r="P407" s="17" t="s">
        <v>2071</v>
      </c>
      <c r="Q407" s="101" t="s">
        <v>234</v>
      </c>
      <c r="R407" s="101"/>
      <c r="S407" s="17" t="s">
        <v>1095</v>
      </c>
      <c r="T407" s="210"/>
      <c r="U407" s="17" t="s">
        <v>1095</v>
      </c>
      <c r="V407" s="17" t="s">
        <v>1095</v>
      </c>
      <c r="W407" s="17" t="s">
        <v>1095</v>
      </c>
      <c r="X407" s="17" t="s">
        <v>1095</v>
      </c>
      <c r="Y407" s="58">
        <v>24321</v>
      </c>
      <c r="Z407" s="21">
        <v>330</v>
      </c>
      <c r="AA407" s="58">
        <v>73.7</v>
      </c>
      <c r="AB407" s="21">
        <v>90</v>
      </c>
      <c r="AC407" s="21">
        <v>120</v>
      </c>
      <c r="AD407" s="21">
        <v>120</v>
      </c>
      <c r="AE407" s="139" t="s">
        <v>2086</v>
      </c>
      <c r="AF407" s="58"/>
      <c r="AG407" s="58"/>
      <c r="AH407" s="58"/>
      <c r="AI407" s="58"/>
      <c r="AJ407" s="21">
        <v>0</v>
      </c>
      <c r="AK407" s="21">
        <v>0</v>
      </c>
      <c r="AL407" s="21">
        <v>0</v>
      </c>
      <c r="AM407" s="58">
        <f t="shared" si="239"/>
        <v>0</v>
      </c>
      <c r="AN407" s="21">
        <f>IF(Table1[[#This Row],[Sustainability Check 1 (2017-2018) Status]]="Continued", Table1[[#This Row],[Students Per Summer]], 0)</f>
        <v>0</v>
      </c>
      <c r="AO407" s="58">
        <f t="shared" si="240"/>
        <v>0</v>
      </c>
      <c r="AP407" s="21">
        <f>IF(Table1[[#This Row],[Sustainability Check 1 (2017-2018) Status]]="Continued", Table1[[#This Row],[Students Per Fall]], 0)</f>
        <v>0</v>
      </c>
      <c r="AQ407" s="58">
        <f t="shared" si="241"/>
        <v>0</v>
      </c>
      <c r="AR407" s="21">
        <v>0</v>
      </c>
      <c r="AS407" s="58">
        <f t="shared" si="242"/>
        <v>0</v>
      </c>
      <c r="AT407" s="21">
        <v>0</v>
      </c>
      <c r="AU407" s="58">
        <f t="shared" si="243"/>
        <v>0</v>
      </c>
      <c r="AV407" s="21">
        <v>0</v>
      </c>
      <c r="AW407" s="21">
        <v>0</v>
      </c>
      <c r="AX407" s="21">
        <v>0</v>
      </c>
      <c r="AY407" s="21">
        <v>0</v>
      </c>
      <c r="AZ407" s="21">
        <v>0</v>
      </c>
      <c r="BA407" s="21">
        <v>0</v>
      </c>
      <c r="BB407" s="21">
        <v>0</v>
      </c>
      <c r="BC407" s="21">
        <v>0</v>
      </c>
      <c r="BD407" s="21">
        <v>0</v>
      </c>
      <c r="BE407" s="21">
        <v>0</v>
      </c>
      <c r="BF407" s="21">
        <v>0</v>
      </c>
      <c r="BG407" s="21">
        <v>0</v>
      </c>
      <c r="BH407" s="21">
        <v>0</v>
      </c>
      <c r="BI407" s="21">
        <v>0</v>
      </c>
      <c r="BJ407" s="21">
        <v>0</v>
      </c>
      <c r="BK407" s="21">
        <v>0</v>
      </c>
      <c r="BL407" s="17" t="s">
        <v>130</v>
      </c>
      <c r="BM407" s="21">
        <v>0</v>
      </c>
      <c r="BN407" s="21">
        <v>0</v>
      </c>
      <c r="BO407" s="21">
        <v>0</v>
      </c>
      <c r="BP407" s="21">
        <v>0</v>
      </c>
      <c r="BQ407" s="21">
        <v>0</v>
      </c>
      <c r="BR407" s="21">
        <v>0</v>
      </c>
      <c r="BS407" s="21">
        <v>0</v>
      </c>
      <c r="BT407" s="21">
        <v>0</v>
      </c>
      <c r="BU407" s="21">
        <v>0</v>
      </c>
      <c r="BV407" s="21">
        <v>0</v>
      </c>
      <c r="BW407" s="21">
        <v>0</v>
      </c>
      <c r="BX407" s="136">
        <f>Table1[[#This Row],[Summer 2018 Price Check]]*Table1[[#This Row],[Spring 2019 Students]]</f>
        <v>0</v>
      </c>
      <c r="BY407" s="31">
        <f t="shared" si="244"/>
        <v>0</v>
      </c>
      <c r="BZ407" s="58">
        <f t="shared" si="245"/>
        <v>0</v>
      </c>
      <c r="CA407" s="58" t="s">
        <v>130</v>
      </c>
      <c r="CB407" s="211">
        <v>90</v>
      </c>
      <c r="CC407" s="212">
        <v>120</v>
      </c>
      <c r="CD407" s="212">
        <v>120</v>
      </c>
      <c r="CE407" s="21">
        <f t="shared" si="246"/>
        <v>330</v>
      </c>
      <c r="CF407" s="58">
        <v>73.7</v>
      </c>
      <c r="CG407" s="136">
        <f t="shared" si="247"/>
        <v>24321</v>
      </c>
      <c r="CH407" s="58" t="s">
        <v>2086</v>
      </c>
      <c r="CI407" s="137">
        <f>IF(Table1[[#This Row],[Check 3 Status]]="Continued", Table1[[#This Row],[Check 3 Students Summer]], 0)</f>
        <v>90</v>
      </c>
      <c r="CJ407" s="137">
        <v>0</v>
      </c>
      <c r="CK407" s="137">
        <v>0</v>
      </c>
      <c r="CL407" s="137">
        <v>0</v>
      </c>
      <c r="CM407" s="137">
        <v>0</v>
      </c>
      <c r="CN407" s="137">
        <v>0</v>
      </c>
      <c r="CO407" s="137">
        <v>0</v>
      </c>
      <c r="CP407" s="137">
        <v>0</v>
      </c>
      <c r="CQ407" s="137" t="s">
        <v>130</v>
      </c>
      <c r="CR407" s="137">
        <v>90</v>
      </c>
      <c r="CS407" s="137">
        <v>120</v>
      </c>
      <c r="CT407" s="137">
        <v>120</v>
      </c>
      <c r="CU407" s="137">
        <f t="shared" si="238"/>
        <v>330</v>
      </c>
      <c r="CV407" s="136">
        <v>73.7</v>
      </c>
      <c r="CW407" s="137">
        <f t="shared" si="235"/>
        <v>24321</v>
      </c>
      <c r="CX407" s="58" t="s">
        <v>2086</v>
      </c>
      <c r="CY407" s="124">
        <v>0</v>
      </c>
      <c r="CZ407" s="58">
        <f>Table1[[#This Row],[Check 4 Per Student Savings]]*CY407</f>
        <v>0</v>
      </c>
      <c r="DA407" s="124">
        <v>0</v>
      </c>
      <c r="DB407" s="137">
        <f>Table1[[#This Row],[Check 4 Per Student Savings]]*DA407</f>
        <v>0</v>
      </c>
      <c r="DC407" s="124">
        <v>0</v>
      </c>
      <c r="DD407" s="58">
        <f>Table1[[#This Row],[Check 4 Per Student Savings]]*DC407</f>
        <v>0</v>
      </c>
      <c r="DE407" s="58">
        <f t="shared" si="236"/>
        <v>0</v>
      </c>
      <c r="DF407" s="58">
        <f t="shared" si="237"/>
        <v>0</v>
      </c>
      <c r="DG40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0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07" s="111">
        <f>Table1[[#This Row],[Grand Total Savings]]/Table1[[#This Row],[Total Award]]</f>
        <v>0</v>
      </c>
      <c r="DJ407" s="31"/>
      <c r="DK407" s="207"/>
      <c r="DM407" s="31"/>
      <c r="DN407" s="58"/>
      <c r="DO407" s="58"/>
      <c r="EC407" s="17"/>
      <c r="ED407" s="17"/>
      <c r="EF407" s="58"/>
      <c r="EG407" s="21"/>
      <c r="EH407" s="21"/>
    </row>
    <row r="408" spans="1:140" ht="46.5" thickTop="1" thickBot="1" x14ac:dyDescent="0.3">
      <c r="A408" s="133">
        <v>528</v>
      </c>
      <c r="B408" s="138"/>
      <c r="C408" s="138"/>
      <c r="D408" s="134"/>
      <c r="E408" s="135"/>
      <c r="F408" s="135"/>
      <c r="G408" s="200" t="s">
        <v>2024</v>
      </c>
      <c r="H408" s="95" t="s">
        <v>5</v>
      </c>
      <c r="I408" s="226" t="s">
        <v>118</v>
      </c>
      <c r="J408" s="17" t="s">
        <v>585</v>
      </c>
      <c r="K408" s="58">
        <v>30000</v>
      </c>
      <c r="L408" s="58" t="s">
        <v>2086</v>
      </c>
      <c r="M408" s="17" t="s">
        <v>2028</v>
      </c>
      <c r="N408" s="17" t="s">
        <v>2043</v>
      </c>
      <c r="O408" s="93" t="s">
        <v>2057</v>
      </c>
      <c r="P408" s="17" t="s">
        <v>2072</v>
      </c>
      <c r="Q408" s="101" t="s">
        <v>148</v>
      </c>
      <c r="R408" s="101"/>
      <c r="S408" s="17" t="s">
        <v>1095</v>
      </c>
      <c r="T408" s="210"/>
      <c r="U408" s="17" t="s">
        <v>1095</v>
      </c>
      <c r="V408" s="17" t="s">
        <v>1095</v>
      </c>
      <c r="W408" s="17" t="s">
        <v>1095</v>
      </c>
      <c r="X408" s="17" t="s">
        <v>1095</v>
      </c>
      <c r="Y408" s="58">
        <v>234652</v>
      </c>
      <c r="Z408" s="21" t="s">
        <v>2092</v>
      </c>
      <c r="AA408" s="58">
        <v>213.32</v>
      </c>
      <c r="AB408" s="21">
        <v>50</v>
      </c>
      <c r="AC408" s="21">
        <v>700</v>
      </c>
      <c r="AD408" s="21">
        <v>350</v>
      </c>
      <c r="AE408" s="139" t="s">
        <v>2086</v>
      </c>
      <c r="AF408" s="58"/>
      <c r="AG408" s="58"/>
      <c r="AH408" s="58"/>
      <c r="AI408" s="58"/>
      <c r="AJ408" s="21">
        <v>0</v>
      </c>
      <c r="AK408" s="21">
        <v>0</v>
      </c>
      <c r="AL408" s="21">
        <v>0</v>
      </c>
      <c r="AM408" s="58">
        <f t="shared" si="239"/>
        <v>0</v>
      </c>
      <c r="AN408" s="21">
        <f>IF(Table1[[#This Row],[Sustainability Check 1 (2017-2018) Status]]="Continued", Table1[[#This Row],[Students Per Summer]], 0)</f>
        <v>0</v>
      </c>
      <c r="AO408" s="58">
        <f t="shared" si="240"/>
        <v>0</v>
      </c>
      <c r="AP408" s="21">
        <f>IF(Table1[[#This Row],[Sustainability Check 1 (2017-2018) Status]]="Continued", Table1[[#This Row],[Students Per Fall]], 0)</f>
        <v>0</v>
      </c>
      <c r="AQ408" s="58">
        <f t="shared" si="241"/>
        <v>0</v>
      </c>
      <c r="AR408" s="21">
        <v>0</v>
      </c>
      <c r="AS408" s="58">
        <f t="shared" si="242"/>
        <v>0</v>
      </c>
      <c r="AT408" s="21">
        <v>0</v>
      </c>
      <c r="AU408" s="58">
        <f t="shared" si="243"/>
        <v>0</v>
      </c>
      <c r="AV408" s="21">
        <v>0</v>
      </c>
      <c r="AW408" s="21">
        <v>0</v>
      </c>
      <c r="AX408" s="21">
        <v>0</v>
      </c>
      <c r="AY408" s="21">
        <v>0</v>
      </c>
      <c r="AZ408" s="21">
        <v>0</v>
      </c>
      <c r="BA408" s="21">
        <v>0</v>
      </c>
      <c r="BB408" s="21">
        <v>0</v>
      </c>
      <c r="BC408" s="21">
        <v>0</v>
      </c>
      <c r="BD408" s="21">
        <v>0</v>
      </c>
      <c r="BE408" s="21">
        <v>0</v>
      </c>
      <c r="BF408" s="21">
        <v>0</v>
      </c>
      <c r="BG408" s="21">
        <v>0</v>
      </c>
      <c r="BH408" s="21">
        <v>0</v>
      </c>
      <c r="BI408" s="21">
        <v>0</v>
      </c>
      <c r="BJ408" s="21">
        <v>0</v>
      </c>
      <c r="BK408" s="21">
        <v>0</v>
      </c>
      <c r="BL408" s="17" t="s">
        <v>130</v>
      </c>
      <c r="BM408" s="21">
        <v>0</v>
      </c>
      <c r="BN408" s="21">
        <v>0</v>
      </c>
      <c r="BO408" s="21">
        <v>0</v>
      </c>
      <c r="BP408" s="21">
        <v>0</v>
      </c>
      <c r="BQ408" s="21">
        <v>0</v>
      </c>
      <c r="BR408" s="21">
        <v>0</v>
      </c>
      <c r="BS408" s="21">
        <v>0</v>
      </c>
      <c r="BT408" s="21">
        <v>0</v>
      </c>
      <c r="BU408" s="21">
        <v>0</v>
      </c>
      <c r="BV408" s="21">
        <v>0</v>
      </c>
      <c r="BW408" s="21">
        <v>0</v>
      </c>
      <c r="BX408" s="136">
        <f>Table1[[#This Row],[Summer 2018 Price Check]]*Table1[[#This Row],[Spring 2019 Students]]</f>
        <v>0</v>
      </c>
      <c r="BY408" s="31">
        <f t="shared" si="244"/>
        <v>0</v>
      </c>
      <c r="BZ408" s="58">
        <f t="shared" si="245"/>
        <v>0</v>
      </c>
      <c r="CA408" s="58" t="s">
        <v>130</v>
      </c>
      <c r="CB408" s="211">
        <v>50</v>
      </c>
      <c r="CC408" s="212">
        <v>700</v>
      </c>
      <c r="CD408" s="212">
        <v>350</v>
      </c>
      <c r="CE408" s="21" t="str">
        <f t="shared" si="246"/>
        <v>1,100</v>
      </c>
      <c r="CF408" s="58">
        <v>213.32</v>
      </c>
      <c r="CG408" s="136">
        <f t="shared" si="247"/>
        <v>234652</v>
      </c>
      <c r="CH408" s="58" t="s">
        <v>2086</v>
      </c>
      <c r="CI408" s="137">
        <f>IF(Table1[[#This Row],[Check 3 Status]]="Continued", Table1[[#This Row],[Check 3 Students Summer]], 0)</f>
        <v>50</v>
      </c>
      <c r="CJ408" s="137">
        <v>0</v>
      </c>
      <c r="CK408" s="137">
        <v>0</v>
      </c>
      <c r="CL408" s="137">
        <v>0</v>
      </c>
      <c r="CM408" s="137">
        <v>0</v>
      </c>
      <c r="CN408" s="137">
        <v>0</v>
      </c>
      <c r="CO408" s="137">
        <v>0</v>
      </c>
      <c r="CP408" s="137">
        <v>0</v>
      </c>
      <c r="CQ408" s="137" t="s">
        <v>130</v>
      </c>
      <c r="CR408" s="137">
        <v>50</v>
      </c>
      <c r="CS408" s="137">
        <v>700</v>
      </c>
      <c r="CT408" s="137">
        <v>350</v>
      </c>
      <c r="CU408" s="137">
        <f t="shared" si="238"/>
        <v>1100</v>
      </c>
      <c r="CV408" s="136">
        <v>213.32</v>
      </c>
      <c r="CW408" s="137">
        <f t="shared" si="235"/>
        <v>234652</v>
      </c>
      <c r="CX408" s="58" t="s">
        <v>2086</v>
      </c>
      <c r="CY408" s="124">
        <v>0</v>
      </c>
      <c r="CZ408" s="58">
        <f>Table1[[#This Row],[Check 4 Per Student Savings]]*CY408</f>
        <v>0</v>
      </c>
      <c r="DA408" s="124">
        <v>0</v>
      </c>
      <c r="DB408" s="137">
        <f>Table1[[#This Row],[Check 4 Per Student Savings]]*DA408</f>
        <v>0</v>
      </c>
      <c r="DC408" s="124">
        <v>0</v>
      </c>
      <c r="DD408" s="58">
        <f>Table1[[#This Row],[Check 4 Per Student Savings]]*DC408</f>
        <v>0</v>
      </c>
      <c r="DE408" s="58">
        <f t="shared" si="236"/>
        <v>0</v>
      </c>
      <c r="DF408" s="58">
        <f t="shared" si="237"/>
        <v>0</v>
      </c>
      <c r="DG40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0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08" s="111">
        <f>Table1[[#This Row],[Grand Total Savings]]/Table1[[#This Row],[Total Award]]</f>
        <v>0</v>
      </c>
      <c r="DJ408" s="31"/>
      <c r="DK408" s="207"/>
      <c r="DM408" s="31"/>
      <c r="DN408" s="58"/>
      <c r="DO408" s="58"/>
      <c r="EC408" s="17"/>
      <c r="ED408" s="17"/>
      <c r="EF408" s="58"/>
      <c r="EG408" s="21"/>
      <c r="EH408" s="21"/>
    </row>
    <row r="409" spans="1:140" ht="16.5" thickTop="1" thickBot="1" x14ac:dyDescent="0.3">
      <c r="A409" s="133">
        <v>532</v>
      </c>
      <c r="B409" s="138"/>
      <c r="C409" s="138"/>
      <c r="D409" s="134"/>
      <c r="E409" s="135"/>
      <c r="F409" s="135"/>
      <c r="G409" s="200" t="s">
        <v>2024</v>
      </c>
      <c r="H409" s="95" t="s">
        <v>5</v>
      </c>
      <c r="I409" s="226" t="s">
        <v>118</v>
      </c>
      <c r="J409" s="17" t="s">
        <v>172</v>
      </c>
      <c r="K409" s="58">
        <v>10800</v>
      </c>
      <c r="L409" s="58" t="s">
        <v>2086</v>
      </c>
      <c r="M409" s="17" t="s">
        <v>1473</v>
      </c>
      <c r="N409" s="17" t="s">
        <v>1474</v>
      </c>
      <c r="O409" s="93" t="s">
        <v>2006</v>
      </c>
      <c r="P409" s="17" t="s">
        <v>2073</v>
      </c>
      <c r="Q409" s="101" t="s">
        <v>543</v>
      </c>
      <c r="R409" s="101"/>
      <c r="S409" s="17" t="s">
        <v>1095</v>
      </c>
      <c r="T409" s="210"/>
      <c r="U409" s="17" t="s">
        <v>1095</v>
      </c>
      <c r="V409" s="17" t="s">
        <v>1095</v>
      </c>
      <c r="W409" s="17" t="s">
        <v>1095</v>
      </c>
      <c r="X409" s="17" t="s">
        <v>1095</v>
      </c>
      <c r="Y409" s="58">
        <v>35700</v>
      </c>
      <c r="Z409" s="21">
        <v>300</v>
      </c>
      <c r="AA409" s="58">
        <v>119</v>
      </c>
      <c r="AB409" s="21">
        <v>100</v>
      </c>
      <c r="AC409" s="21">
        <v>100</v>
      </c>
      <c r="AD409" s="21">
        <v>100</v>
      </c>
      <c r="AE409" s="139" t="s">
        <v>2086</v>
      </c>
      <c r="AF409" s="58"/>
      <c r="AG409" s="58"/>
      <c r="AH409" s="58"/>
      <c r="AI409" s="58"/>
      <c r="AJ409" s="21">
        <v>0</v>
      </c>
      <c r="AK409" s="21">
        <v>0</v>
      </c>
      <c r="AL409" s="21">
        <v>0</v>
      </c>
      <c r="AM409" s="58">
        <f t="shared" si="239"/>
        <v>0</v>
      </c>
      <c r="AN409" s="21">
        <f>IF(Table1[[#This Row],[Sustainability Check 1 (2017-2018) Status]]="Continued", Table1[[#This Row],[Students Per Summer]], 0)</f>
        <v>0</v>
      </c>
      <c r="AO409" s="58">
        <f t="shared" si="240"/>
        <v>0</v>
      </c>
      <c r="AP409" s="21">
        <f>IF(Table1[[#This Row],[Sustainability Check 1 (2017-2018) Status]]="Continued", Table1[[#This Row],[Students Per Fall]], 0)</f>
        <v>0</v>
      </c>
      <c r="AQ409" s="58">
        <f t="shared" si="241"/>
        <v>0</v>
      </c>
      <c r="AR409" s="21">
        <v>0</v>
      </c>
      <c r="AS409" s="58">
        <f t="shared" si="242"/>
        <v>0</v>
      </c>
      <c r="AT409" s="21">
        <v>0</v>
      </c>
      <c r="AU409" s="58">
        <f t="shared" si="243"/>
        <v>0</v>
      </c>
      <c r="AV409" s="21">
        <v>0</v>
      </c>
      <c r="AW409" s="21">
        <v>0</v>
      </c>
      <c r="AX409" s="21">
        <v>0</v>
      </c>
      <c r="AY409" s="21">
        <v>0</v>
      </c>
      <c r="AZ409" s="21">
        <v>0</v>
      </c>
      <c r="BA409" s="21">
        <v>0</v>
      </c>
      <c r="BB409" s="21">
        <v>0</v>
      </c>
      <c r="BC409" s="21">
        <v>0</v>
      </c>
      <c r="BD409" s="21">
        <v>0</v>
      </c>
      <c r="BE409" s="21">
        <v>0</v>
      </c>
      <c r="BF409" s="21">
        <v>0</v>
      </c>
      <c r="BG409" s="21">
        <v>0</v>
      </c>
      <c r="BH409" s="21">
        <v>0</v>
      </c>
      <c r="BI409" s="21">
        <v>0</v>
      </c>
      <c r="BJ409" s="21">
        <v>0</v>
      </c>
      <c r="BK409" s="21">
        <v>0</v>
      </c>
      <c r="BL409" s="17" t="s">
        <v>130</v>
      </c>
      <c r="BM409" s="21">
        <v>0</v>
      </c>
      <c r="BN409" s="21">
        <v>0</v>
      </c>
      <c r="BO409" s="21">
        <v>0</v>
      </c>
      <c r="BP409" s="21">
        <v>0</v>
      </c>
      <c r="BQ409" s="21">
        <v>0</v>
      </c>
      <c r="BR409" s="21">
        <v>0</v>
      </c>
      <c r="BS409" s="21">
        <v>0</v>
      </c>
      <c r="BT409" s="21">
        <v>0</v>
      </c>
      <c r="BU409" s="21">
        <v>0</v>
      </c>
      <c r="BV409" s="21">
        <v>0</v>
      </c>
      <c r="BW409" s="21">
        <v>0</v>
      </c>
      <c r="BX409" s="136">
        <f>Table1[[#This Row],[Summer 2018 Price Check]]*Table1[[#This Row],[Spring 2019 Students]]</f>
        <v>0</v>
      </c>
      <c r="BY409" s="31">
        <f t="shared" si="244"/>
        <v>0</v>
      </c>
      <c r="BZ409" s="58">
        <f t="shared" si="245"/>
        <v>0</v>
      </c>
      <c r="CA409" s="58" t="s">
        <v>130</v>
      </c>
      <c r="CB409" s="211">
        <v>100</v>
      </c>
      <c r="CC409" s="212">
        <v>100</v>
      </c>
      <c r="CD409" s="212">
        <v>100</v>
      </c>
      <c r="CE409" s="21">
        <f t="shared" si="246"/>
        <v>300</v>
      </c>
      <c r="CF409" s="58">
        <v>119</v>
      </c>
      <c r="CG409" s="136">
        <f t="shared" si="247"/>
        <v>35700</v>
      </c>
      <c r="CH409" s="58" t="s">
        <v>2086</v>
      </c>
      <c r="CI409" s="137">
        <f>IF(Table1[[#This Row],[Check 3 Status]]="Continued", Table1[[#This Row],[Check 3 Students Summer]], 0)</f>
        <v>100</v>
      </c>
      <c r="CJ409" s="137">
        <v>0</v>
      </c>
      <c r="CK409" s="137">
        <v>0</v>
      </c>
      <c r="CL409" s="137">
        <v>0</v>
      </c>
      <c r="CM409" s="137">
        <v>0</v>
      </c>
      <c r="CN409" s="137">
        <v>0</v>
      </c>
      <c r="CO409" s="137">
        <v>0</v>
      </c>
      <c r="CP409" s="137">
        <v>0</v>
      </c>
      <c r="CQ409" s="137" t="s">
        <v>130</v>
      </c>
      <c r="CR409" s="137">
        <v>100</v>
      </c>
      <c r="CS409" s="137">
        <v>100</v>
      </c>
      <c r="CT409" s="137">
        <v>100</v>
      </c>
      <c r="CU409" s="137">
        <f t="shared" si="238"/>
        <v>300</v>
      </c>
      <c r="CV409" s="136">
        <v>119</v>
      </c>
      <c r="CW409" s="137">
        <f t="shared" si="235"/>
        <v>35700</v>
      </c>
      <c r="CX409" s="58" t="s">
        <v>2086</v>
      </c>
      <c r="CY409" s="124">
        <v>0</v>
      </c>
      <c r="CZ409" s="58">
        <f>Table1[[#This Row],[Check 4 Per Student Savings]]*CY409</f>
        <v>0</v>
      </c>
      <c r="DA409" s="124">
        <v>0</v>
      </c>
      <c r="DB409" s="137">
        <f>Table1[[#This Row],[Check 4 Per Student Savings]]*DA409</f>
        <v>0</v>
      </c>
      <c r="DC409" s="124">
        <v>0</v>
      </c>
      <c r="DD409" s="58">
        <f>Table1[[#This Row],[Check 4 Per Student Savings]]*DC409</f>
        <v>0</v>
      </c>
      <c r="DE409" s="58">
        <f t="shared" si="236"/>
        <v>0</v>
      </c>
      <c r="DF409" s="58">
        <f t="shared" si="237"/>
        <v>0</v>
      </c>
      <c r="DG40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0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09" s="111">
        <f>Table1[[#This Row],[Grand Total Savings]]/Table1[[#This Row],[Total Award]]</f>
        <v>0</v>
      </c>
      <c r="DJ409" s="31"/>
      <c r="DK409" s="207"/>
      <c r="DM409" s="31"/>
      <c r="DN409" s="58"/>
      <c r="DO409" s="58"/>
      <c r="EC409" s="17"/>
      <c r="ED409" s="17"/>
      <c r="EF409" s="58"/>
      <c r="EG409" s="21"/>
      <c r="EH409" s="21"/>
    </row>
    <row r="410" spans="1:140" ht="16.5" thickTop="1" thickBot="1" x14ac:dyDescent="0.3">
      <c r="A410" s="133">
        <v>534</v>
      </c>
      <c r="B410" s="138"/>
      <c r="C410" s="138"/>
      <c r="D410" s="134"/>
      <c r="E410" s="135"/>
      <c r="F410" s="135"/>
      <c r="G410" s="200" t="s">
        <v>2024</v>
      </c>
      <c r="H410" s="95" t="s">
        <v>5</v>
      </c>
      <c r="I410" s="226" t="s">
        <v>118</v>
      </c>
      <c r="J410" s="17" t="s">
        <v>585</v>
      </c>
      <c r="K410" s="58">
        <v>10000</v>
      </c>
      <c r="L410" s="58" t="s">
        <v>2086</v>
      </c>
      <c r="M410" s="17" t="s">
        <v>2029</v>
      </c>
      <c r="N410" s="17" t="s">
        <v>2044</v>
      </c>
      <c r="O410" s="93" t="s">
        <v>2058</v>
      </c>
      <c r="P410" s="17" t="s">
        <v>2074</v>
      </c>
      <c r="Q410" s="101" t="s">
        <v>1298</v>
      </c>
      <c r="R410" s="101"/>
      <c r="S410" s="17" t="s">
        <v>1095</v>
      </c>
      <c r="T410" s="210"/>
      <c r="U410" s="17" t="s">
        <v>1095</v>
      </c>
      <c r="V410" s="17" t="s">
        <v>1095</v>
      </c>
      <c r="W410" s="17" t="s">
        <v>1095</v>
      </c>
      <c r="X410" s="17" t="s">
        <v>1095</v>
      </c>
      <c r="Y410" s="58">
        <v>64478.499999999993</v>
      </c>
      <c r="Z410" s="21">
        <v>430</v>
      </c>
      <c r="AA410" s="58">
        <v>149.94999999999999</v>
      </c>
      <c r="AB410" s="21">
        <v>70</v>
      </c>
      <c r="AC410" s="21">
        <v>180</v>
      </c>
      <c r="AD410" s="21">
        <v>180</v>
      </c>
      <c r="AE410" s="139" t="s">
        <v>2086</v>
      </c>
      <c r="AF410" s="58"/>
      <c r="AG410" s="58"/>
      <c r="AH410" s="58"/>
      <c r="AI410" s="58"/>
      <c r="AJ410" s="21">
        <v>0</v>
      </c>
      <c r="AK410" s="21">
        <v>0</v>
      </c>
      <c r="AL410" s="21">
        <v>0</v>
      </c>
      <c r="AM410" s="58">
        <f t="shared" si="239"/>
        <v>0</v>
      </c>
      <c r="AN410" s="21">
        <f>IF(Table1[[#This Row],[Sustainability Check 1 (2017-2018) Status]]="Continued", Table1[[#This Row],[Students Per Summer]], 0)</f>
        <v>0</v>
      </c>
      <c r="AO410" s="58">
        <f t="shared" si="240"/>
        <v>0</v>
      </c>
      <c r="AP410" s="21">
        <f>IF(Table1[[#This Row],[Sustainability Check 1 (2017-2018) Status]]="Continued", Table1[[#This Row],[Students Per Fall]], 0)</f>
        <v>0</v>
      </c>
      <c r="AQ410" s="58">
        <f t="shared" si="241"/>
        <v>0</v>
      </c>
      <c r="AR410" s="21">
        <v>0</v>
      </c>
      <c r="AS410" s="58">
        <f t="shared" si="242"/>
        <v>0</v>
      </c>
      <c r="AT410" s="21">
        <v>0</v>
      </c>
      <c r="AU410" s="58">
        <f t="shared" si="243"/>
        <v>0</v>
      </c>
      <c r="AV410" s="21">
        <v>0</v>
      </c>
      <c r="AW410" s="21">
        <v>0</v>
      </c>
      <c r="AX410" s="21">
        <v>0</v>
      </c>
      <c r="AY410" s="21">
        <v>0</v>
      </c>
      <c r="AZ410" s="21">
        <v>0</v>
      </c>
      <c r="BA410" s="21">
        <v>0</v>
      </c>
      <c r="BB410" s="21">
        <v>0</v>
      </c>
      <c r="BC410" s="21">
        <v>0</v>
      </c>
      <c r="BD410" s="21">
        <v>0</v>
      </c>
      <c r="BE410" s="21">
        <v>0</v>
      </c>
      <c r="BF410" s="21">
        <v>0</v>
      </c>
      <c r="BG410" s="21">
        <v>0</v>
      </c>
      <c r="BH410" s="21">
        <v>0</v>
      </c>
      <c r="BI410" s="21">
        <v>0</v>
      </c>
      <c r="BJ410" s="21">
        <v>0</v>
      </c>
      <c r="BK410" s="21">
        <v>0</v>
      </c>
      <c r="BL410" s="17" t="s">
        <v>130</v>
      </c>
      <c r="BM410" s="21">
        <v>0</v>
      </c>
      <c r="BN410" s="21">
        <v>0</v>
      </c>
      <c r="BO410" s="21">
        <v>0</v>
      </c>
      <c r="BP410" s="21">
        <v>0</v>
      </c>
      <c r="BQ410" s="21">
        <v>0</v>
      </c>
      <c r="BR410" s="21">
        <v>0</v>
      </c>
      <c r="BS410" s="21">
        <v>0</v>
      </c>
      <c r="BT410" s="21">
        <v>0</v>
      </c>
      <c r="BU410" s="21">
        <v>0</v>
      </c>
      <c r="BV410" s="21">
        <v>0</v>
      </c>
      <c r="BW410" s="21">
        <v>0</v>
      </c>
      <c r="BX410" s="136">
        <f>Table1[[#This Row],[Summer 2018 Price Check]]*Table1[[#This Row],[Spring 2019 Students]]</f>
        <v>0</v>
      </c>
      <c r="BY410" s="31">
        <f t="shared" si="244"/>
        <v>0</v>
      </c>
      <c r="BZ410" s="58">
        <f t="shared" si="245"/>
        <v>0</v>
      </c>
      <c r="CA410" s="58" t="s">
        <v>130</v>
      </c>
      <c r="CB410" s="211">
        <v>70</v>
      </c>
      <c r="CC410" s="212">
        <v>180</v>
      </c>
      <c r="CD410" s="212">
        <v>180</v>
      </c>
      <c r="CE410" s="21">
        <f t="shared" si="246"/>
        <v>430</v>
      </c>
      <c r="CF410" s="58">
        <v>149.94999999999999</v>
      </c>
      <c r="CG410" s="136">
        <f t="shared" si="247"/>
        <v>64478.499999999993</v>
      </c>
      <c r="CH410" s="58" t="s">
        <v>2086</v>
      </c>
      <c r="CI410" s="137">
        <f>IF(Table1[[#This Row],[Check 3 Status]]="Continued", Table1[[#This Row],[Check 3 Students Summer]], 0)</f>
        <v>70</v>
      </c>
      <c r="CJ410" s="137">
        <v>0</v>
      </c>
      <c r="CK410" s="137">
        <v>0</v>
      </c>
      <c r="CL410" s="137">
        <v>0</v>
      </c>
      <c r="CM410" s="137">
        <v>0</v>
      </c>
      <c r="CN410" s="137">
        <v>0</v>
      </c>
      <c r="CO410" s="137">
        <v>0</v>
      </c>
      <c r="CP410" s="137">
        <v>0</v>
      </c>
      <c r="CQ410" s="137" t="s">
        <v>130</v>
      </c>
      <c r="CR410" s="137">
        <v>70</v>
      </c>
      <c r="CS410" s="137">
        <v>180</v>
      </c>
      <c r="CT410" s="137">
        <v>180</v>
      </c>
      <c r="CU410" s="137">
        <f t="shared" si="238"/>
        <v>430</v>
      </c>
      <c r="CV410" s="136">
        <v>149.94999999999999</v>
      </c>
      <c r="CW410" s="137">
        <f t="shared" si="235"/>
        <v>64478.499999999993</v>
      </c>
      <c r="CX410" s="58" t="s">
        <v>2086</v>
      </c>
      <c r="CY410" s="124">
        <v>0</v>
      </c>
      <c r="CZ410" s="58">
        <f>Table1[[#This Row],[Check 4 Per Student Savings]]*CY410</f>
        <v>0</v>
      </c>
      <c r="DA410" s="124">
        <v>0</v>
      </c>
      <c r="DB410" s="137">
        <f>Table1[[#This Row],[Check 4 Per Student Savings]]*DA410</f>
        <v>0</v>
      </c>
      <c r="DC410" s="124">
        <v>0</v>
      </c>
      <c r="DD410" s="58">
        <f>Table1[[#This Row],[Check 4 Per Student Savings]]*DC410</f>
        <v>0</v>
      </c>
      <c r="DE410" s="58">
        <f t="shared" si="236"/>
        <v>0</v>
      </c>
      <c r="DF410" s="58">
        <f t="shared" si="237"/>
        <v>0</v>
      </c>
      <c r="DG41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1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10" s="111">
        <f>Table1[[#This Row],[Grand Total Savings]]/Table1[[#This Row],[Total Award]]</f>
        <v>0</v>
      </c>
      <c r="DJ410" s="31"/>
      <c r="DK410" s="207"/>
      <c r="DM410" s="31"/>
      <c r="DN410" s="58"/>
      <c r="DO410" s="58"/>
      <c r="EC410" s="17"/>
      <c r="ED410" s="17"/>
      <c r="EF410" s="58"/>
      <c r="EG410" s="21"/>
      <c r="EH410" s="21"/>
    </row>
    <row r="411" spans="1:140" ht="31.5" thickTop="1" thickBot="1" x14ac:dyDescent="0.3">
      <c r="A411" s="133">
        <v>537</v>
      </c>
      <c r="B411" s="138"/>
      <c r="C411" s="138"/>
      <c r="D411" s="134"/>
      <c r="E411" s="135"/>
      <c r="F411" s="135"/>
      <c r="G411" s="200" t="s">
        <v>2024</v>
      </c>
      <c r="H411" s="95" t="s">
        <v>5</v>
      </c>
      <c r="I411" s="226" t="s">
        <v>118</v>
      </c>
      <c r="J411" s="17" t="s">
        <v>585</v>
      </c>
      <c r="K411" s="58">
        <v>10800</v>
      </c>
      <c r="L411" s="58" t="s">
        <v>2086</v>
      </c>
      <c r="M411" s="17" t="s">
        <v>2030</v>
      </c>
      <c r="N411" s="17" t="s">
        <v>2045</v>
      </c>
      <c r="O411" s="93" t="s">
        <v>2059</v>
      </c>
      <c r="P411" s="17" t="s">
        <v>2075</v>
      </c>
      <c r="Q411" s="101" t="s">
        <v>304</v>
      </c>
      <c r="R411" s="101"/>
      <c r="S411" s="17" t="s">
        <v>1095</v>
      </c>
      <c r="T411" s="210"/>
      <c r="U411" s="17" t="s">
        <v>1095</v>
      </c>
      <c r="V411" s="17" t="s">
        <v>1095</v>
      </c>
      <c r="W411" s="17" t="s">
        <v>1095</v>
      </c>
      <c r="X411" s="17" t="s">
        <v>1095</v>
      </c>
      <c r="Y411" s="58">
        <v>43182</v>
      </c>
      <c r="Z411" s="21">
        <v>225</v>
      </c>
      <c r="AA411" s="58">
        <v>287.88</v>
      </c>
      <c r="AB411" s="21">
        <v>25</v>
      </c>
      <c r="AC411" s="21">
        <v>100</v>
      </c>
      <c r="AD411" s="21">
        <v>100</v>
      </c>
      <c r="AE411" s="139" t="s">
        <v>2086</v>
      </c>
      <c r="AF411" s="58"/>
      <c r="AG411" s="58"/>
      <c r="AH411" s="58"/>
      <c r="AI411" s="58"/>
      <c r="AJ411" s="21">
        <v>0</v>
      </c>
      <c r="AK411" s="21">
        <v>0</v>
      </c>
      <c r="AL411" s="21">
        <v>0</v>
      </c>
      <c r="AM411" s="58">
        <f t="shared" si="239"/>
        <v>0</v>
      </c>
      <c r="AN411" s="21">
        <f>IF(Table1[[#This Row],[Sustainability Check 1 (2017-2018) Status]]="Continued", Table1[[#This Row],[Students Per Summer]], 0)</f>
        <v>0</v>
      </c>
      <c r="AO411" s="58">
        <f t="shared" si="240"/>
        <v>0</v>
      </c>
      <c r="AP411" s="21">
        <f>IF(Table1[[#This Row],[Sustainability Check 1 (2017-2018) Status]]="Continued", Table1[[#This Row],[Students Per Fall]], 0)</f>
        <v>0</v>
      </c>
      <c r="AQ411" s="58">
        <f t="shared" si="241"/>
        <v>0</v>
      </c>
      <c r="AR411" s="21">
        <v>0</v>
      </c>
      <c r="AS411" s="58">
        <f t="shared" si="242"/>
        <v>0</v>
      </c>
      <c r="AT411" s="21">
        <v>0</v>
      </c>
      <c r="AU411" s="58">
        <f t="shared" si="243"/>
        <v>0</v>
      </c>
      <c r="AV411" s="21">
        <v>0</v>
      </c>
      <c r="AW411" s="21">
        <v>0</v>
      </c>
      <c r="AX411" s="21">
        <v>0</v>
      </c>
      <c r="AY411" s="21">
        <v>0</v>
      </c>
      <c r="AZ411" s="21">
        <v>0</v>
      </c>
      <c r="BA411" s="21">
        <v>0</v>
      </c>
      <c r="BB411" s="21">
        <v>0</v>
      </c>
      <c r="BC411" s="21">
        <v>0</v>
      </c>
      <c r="BD411" s="21">
        <v>0</v>
      </c>
      <c r="BE411" s="21">
        <v>0</v>
      </c>
      <c r="BF411" s="21">
        <v>0</v>
      </c>
      <c r="BG411" s="21">
        <v>0</v>
      </c>
      <c r="BH411" s="21">
        <v>0</v>
      </c>
      <c r="BI411" s="21">
        <v>0</v>
      </c>
      <c r="BJ411" s="21">
        <v>0</v>
      </c>
      <c r="BK411" s="21">
        <v>0</v>
      </c>
      <c r="BL411" s="17" t="s">
        <v>130</v>
      </c>
      <c r="BM411" s="21">
        <v>0</v>
      </c>
      <c r="BN411" s="21">
        <v>0</v>
      </c>
      <c r="BO411" s="21">
        <v>0</v>
      </c>
      <c r="BP411" s="21">
        <v>0</v>
      </c>
      <c r="BQ411" s="21">
        <v>0</v>
      </c>
      <c r="BR411" s="21">
        <v>0</v>
      </c>
      <c r="BS411" s="21">
        <v>0</v>
      </c>
      <c r="BT411" s="21">
        <v>0</v>
      </c>
      <c r="BU411" s="21">
        <v>0</v>
      </c>
      <c r="BV411" s="21">
        <v>0</v>
      </c>
      <c r="BW411" s="21">
        <v>0</v>
      </c>
      <c r="BX411" s="136">
        <f>Table1[[#This Row],[Summer 2018 Price Check]]*Table1[[#This Row],[Spring 2019 Students]]</f>
        <v>0</v>
      </c>
      <c r="BY411" s="31">
        <f t="shared" si="244"/>
        <v>0</v>
      </c>
      <c r="BZ411" s="58">
        <f t="shared" si="245"/>
        <v>0</v>
      </c>
      <c r="CA411" s="58" t="s">
        <v>130</v>
      </c>
      <c r="CB411" s="211">
        <v>25</v>
      </c>
      <c r="CC411" s="212">
        <v>100</v>
      </c>
      <c r="CD411" s="212">
        <v>100</v>
      </c>
      <c r="CE411" s="21">
        <f t="shared" si="246"/>
        <v>225</v>
      </c>
      <c r="CF411" s="58">
        <v>287.88</v>
      </c>
      <c r="CG411" s="136">
        <f t="shared" si="247"/>
        <v>64773</v>
      </c>
      <c r="CH411" s="58" t="s">
        <v>2086</v>
      </c>
      <c r="CI411" s="137">
        <f>IF(Table1[[#This Row],[Check 3 Status]]="Continued", Table1[[#This Row],[Check 3 Students Summer]], 0)</f>
        <v>25</v>
      </c>
      <c r="CJ411" s="137">
        <v>0</v>
      </c>
      <c r="CK411" s="137">
        <v>0</v>
      </c>
      <c r="CL411" s="137">
        <v>0</v>
      </c>
      <c r="CM411" s="137">
        <v>0</v>
      </c>
      <c r="CN411" s="137">
        <v>0</v>
      </c>
      <c r="CO411" s="137">
        <v>0</v>
      </c>
      <c r="CP411" s="137">
        <v>0</v>
      </c>
      <c r="CQ411" s="137" t="s">
        <v>130</v>
      </c>
      <c r="CR411" s="137">
        <v>25</v>
      </c>
      <c r="CS411" s="137">
        <v>100</v>
      </c>
      <c r="CT411" s="137">
        <v>100</v>
      </c>
      <c r="CU411" s="137">
        <f t="shared" si="238"/>
        <v>225</v>
      </c>
      <c r="CV411" s="136">
        <v>287.88</v>
      </c>
      <c r="CW411" s="137">
        <f t="shared" si="235"/>
        <v>64773</v>
      </c>
      <c r="CX411" s="58" t="s">
        <v>2086</v>
      </c>
      <c r="CY411" s="124">
        <v>0</v>
      </c>
      <c r="CZ411" s="58">
        <f>Table1[[#This Row],[Check 4 Per Student Savings]]*CY411</f>
        <v>0</v>
      </c>
      <c r="DA411" s="124">
        <v>0</v>
      </c>
      <c r="DB411" s="137">
        <f>Table1[[#This Row],[Check 4 Per Student Savings]]*DA411</f>
        <v>0</v>
      </c>
      <c r="DC411" s="124">
        <v>0</v>
      </c>
      <c r="DD411" s="58">
        <f>Table1[[#This Row],[Check 4 Per Student Savings]]*DC411</f>
        <v>0</v>
      </c>
      <c r="DE411" s="58">
        <f t="shared" si="236"/>
        <v>0</v>
      </c>
      <c r="DF411" s="58">
        <f t="shared" si="237"/>
        <v>0</v>
      </c>
      <c r="DG41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1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11" s="111">
        <f>Table1[[#This Row],[Grand Total Savings]]/Table1[[#This Row],[Total Award]]</f>
        <v>0</v>
      </c>
      <c r="DJ411" s="31"/>
      <c r="DK411" s="207"/>
      <c r="DM411" s="31"/>
      <c r="DN411" s="58"/>
      <c r="DO411" s="58"/>
      <c r="EC411" s="17"/>
      <c r="ED411" s="17"/>
      <c r="EF411" s="58"/>
      <c r="EG411" s="21"/>
      <c r="EH411" s="21"/>
    </row>
    <row r="412" spans="1:140" ht="31.5" thickTop="1" thickBot="1" x14ac:dyDescent="0.3">
      <c r="A412" s="133">
        <v>538</v>
      </c>
      <c r="B412" s="138"/>
      <c r="C412" s="138"/>
      <c r="D412" s="134"/>
      <c r="E412" s="135"/>
      <c r="F412" s="135"/>
      <c r="G412" s="200" t="s">
        <v>2024</v>
      </c>
      <c r="H412" s="95" t="s">
        <v>5</v>
      </c>
      <c r="I412" s="226" t="s">
        <v>118</v>
      </c>
      <c r="J412" s="17" t="s">
        <v>388</v>
      </c>
      <c r="K412" s="58">
        <v>10800</v>
      </c>
      <c r="L412" s="58" t="s">
        <v>2086</v>
      </c>
      <c r="M412" s="17" t="s">
        <v>2031</v>
      </c>
      <c r="N412" s="17" t="s">
        <v>2046</v>
      </c>
      <c r="O412" s="93" t="s">
        <v>801</v>
      </c>
      <c r="P412" s="17" t="s">
        <v>802</v>
      </c>
      <c r="Q412" s="101" t="s">
        <v>530</v>
      </c>
      <c r="R412" s="101"/>
      <c r="S412" s="17" t="s">
        <v>1095</v>
      </c>
      <c r="T412" s="210"/>
      <c r="U412" s="17" t="s">
        <v>1095</v>
      </c>
      <c r="V412" s="17" t="s">
        <v>1095</v>
      </c>
      <c r="W412" s="17" t="s">
        <v>1095</v>
      </c>
      <c r="X412" s="17" t="s">
        <v>1095</v>
      </c>
      <c r="Y412" s="58">
        <v>80775.100000000006</v>
      </c>
      <c r="Z412" s="21">
        <v>514</v>
      </c>
      <c r="AA412" s="58">
        <v>157.15</v>
      </c>
      <c r="AB412" s="21">
        <v>30</v>
      </c>
      <c r="AC412" s="21">
        <v>220</v>
      </c>
      <c r="AD412" s="21">
        <v>264</v>
      </c>
      <c r="AE412" s="139" t="s">
        <v>2086</v>
      </c>
      <c r="AF412" s="58"/>
      <c r="AG412" s="58"/>
      <c r="AH412" s="58"/>
      <c r="AI412" s="58"/>
      <c r="AJ412" s="21">
        <v>0</v>
      </c>
      <c r="AK412" s="21">
        <v>0</v>
      </c>
      <c r="AL412" s="21">
        <v>0</v>
      </c>
      <c r="AM412" s="58">
        <f t="shared" si="239"/>
        <v>0</v>
      </c>
      <c r="AN412" s="21">
        <f>IF(Table1[[#This Row],[Sustainability Check 1 (2017-2018) Status]]="Continued", Table1[[#This Row],[Students Per Summer]], 0)</f>
        <v>0</v>
      </c>
      <c r="AO412" s="58">
        <f t="shared" si="240"/>
        <v>0</v>
      </c>
      <c r="AP412" s="21">
        <f>IF(Table1[[#This Row],[Sustainability Check 1 (2017-2018) Status]]="Continued", Table1[[#This Row],[Students Per Fall]], 0)</f>
        <v>0</v>
      </c>
      <c r="AQ412" s="58">
        <f t="shared" si="241"/>
        <v>0</v>
      </c>
      <c r="AR412" s="21">
        <v>0</v>
      </c>
      <c r="AS412" s="58">
        <f t="shared" si="242"/>
        <v>0</v>
      </c>
      <c r="AT412" s="21">
        <v>0</v>
      </c>
      <c r="AU412" s="58">
        <f t="shared" si="243"/>
        <v>0</v>
      </c>
      <c r="AV412" s="21">
        <v>0</v>
      </c>
      <c r="AW412" s="21">
        <v>0</v>
      </c>
      <c r="AX412" s="21">
        <v>0</v>
      </c>
      <c r="AY412" s="21">
        <v>0</v>
      </c>
      <c r="AZ412" s="21">
        <v>0</v>
      </c>
      <c r="BA412" s="21">
        <v>0</v>
      </c>
      <c r="BB412" s="21">
        <v>0</v>
      </c>
      <c r="BC412" s="21">
        <v>0</v>
      </c>
      <c r="BD412" s="21">
        <v>0</v>
      </c>
      <c r="BE412" s="21">
        <v>0</v>
      </c>
      <c r="BF412" s="21">
        <v>0</v>
      </c>
      <c r="BG412" s="21">
        <v>0</v>
      </c>
      <c r="BH412" s="21">
        <v>0</v>
      </c>
      <c r="BI412" s="21">
        <v>0</v>
      </c>
      <c r="BJ412" s="21">
        <v>0</v>
      </c>
      <c r="BK412" s="21">
        <v>0</v>
      </c>
      <c r="BL412" s="17" t="s">
        <v>130</v>
      </c>
      <c r="BM412" s="21">
        <v>0</v>
      </c>
      <c r="BN412" s="21">
        <v>0</v>
      </c>
      <c r="BO412" s="21">
        <v>0</v>
      </c>
      <c r="BP412" s="21">
        <v>0</v>
      </c>
      <c r="BQ412" s="21">
        <v>0</v>
      </c>
      <c r="BR412" s="21">
        <v>0</v>
      </c>
      <c r="BS412" s="21">
        <v>0</v>
      </c>
      <c r="BT412" s="21">
        <v>0</v>
      </c>
      <c r="BU412" s="21">
        <v>0</v>
      </c>
      <c r="BV412" s="21">
        <v>0</v>
      </c>
      <c r="BW412" s="21">
        <v>0</v>
      </c>
      <c r="BX412" s="136">
        <f>Table1[[#This Row],[Summer 2018 Price Check]]*Table1[[#This Row],[Spring 2019 Students]]</f>
        <v>0</v>
      </c>
      <c r="BY412" s="31">
        <f t="shared" si="244"/>
        <v>0</v>
      </c>
      <c r="BZ412" s="58">
        <f t="shared" si="245"/>
        <v>0</v>
      </c>
      <c r="CA412" s="58" t="s">
        <v>130</v>
      </c>
      <c r="CB412" s="211">
        <v>30</v>
      </c>
      <c r="CC412" s="212">
        <v>220</v>
      </c>
      <c r="CD412" s="212">
        <v>264</v>
      </c>
      <c r="CE412" s="21">
        <f t="shared" si="246"/>
        <v>514</v>
      </c>
      <c r="CF412" s="58">
        <v>157.15</v>
      </c>
      <c r="CG412" s="136">
        <f t="shared" si="247"/>
        <v>80775.100000000006</v>
      </c>
      <c r="CH412" s="58" t="s">
        <v>2086</v>
      </c>
      <c r="CI412" s="137">
        <f>IF(Table1[[#This Row],[Check 3 Status]]="Continued", Table1[[#This Row],[Check 3 Students Summer]], 0)</f>
        <v>30</v>
      </c>
      <c r="CJ412" s="137">
        <v>0</v>
      </c>
      <c r="CK412" s="137">
        <v>0</v>
      </c>
      <c r="CL412" s="137">
        <v>0</v>
      </c>
      <c r="CM412" s="137">
        <v>0</v>
      </c>
      <c r="CN412" s="137">
        <v>0</v>
      </c>
      <c r="CO412" s="137">
        <v>0</v>
      </c>
      <c r="CP412" s="137">
        <v>0</v>
      </c>
      <c r="CQ412" s="137" t="s">
        <v>130</v>
      </c>
      <c r="CR412" s="137">
        <v>30</v>
      </c>
      <c r="CS412" s="137">
        <v>220</v>
      </c>
      <c r="CT412" s="137">
        <v>264</v>
      </c>
      <c r="CU412" s="137">
        <f t="shared" si="238"/>
        <v>514</v>
      </c>
      <c r="CV412" s="136">
        <v>157.15</v>
      </c>
      <c r="CW412" s="137">
        <f t="shared" si="235"/>
        <v>80775.100000000006</v>
      </c>
      <c r="CX412" s="58" t="s">
        <v>2086</v>
      </c>
      <c r="CY412" s="124">
        <v>0</v>
      </c>
      <c r="CZ412" s="58">
        <f>Table1[[#This Row],[Check 4 Per Student Savings]]*CY412</f>
        <v>0</v>
      </c>
      <c r="DA412" s="124">
        <v>0</v>
      </c>
      <c r="DB412" s="137">
        <f>Table1[[#This Row],[Check 4 Per Student Savings]]*DA412</f>
        <v>0</v>
      </c>
      <c r="DC412" s="124">
        <v>0</v>
      </c>
      <c r="DD412" s="58">
        <f>Table1[[#This Row],[Check 4 Per Student Savings]]*DC412</f>
        <v>0</v>
      </c>
      <c r="DE412" s="58">
        <f t="shared" si="236"/>
        <v>0</v>
      </c>
      <c r="DF412" s="58">
        <f t="shared" si="237"/>
        <v>0</v>
      </c>
      <c r="DG41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1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12" s="111">
        <f>Table1[[#This Row],[Grand Total Savings]]/Table1[[#This Row],[Total Award]]</f>
        <v>0</v>
      </c>
      <c r="DJ412" s="31"/>
      <c r="DK412" s="207"/>
      <c r="DM412" s="31"/>
      <c r="DN412" s="58"/>
      <c r="DO412" s="58"/>
      <c r="EC412" s="17"/>
      <c r="ED412" s="17"/>
      <c r="EF412" s="58"/>
      <c r="EG412" s="21"/>
      <c r="EH412" s="21"/>
    </row>
    <row r="413" spans="1:140" ht="16.5" thickTop="1" thickBot="1" x14ac:dyDescent="0.3">
      <c r="A413" s="133">
        <v>540</v>
      </c>
      <c r="B413" s="138"/>
      <c r="C413" s="138"/>
      <c r="D413" s="134"/>
      <c r="E413" s="135"/>
      <c r="F413" s="135"/>
      <c r="G413" s="200" t="s">
        <v>2024</v>
      </c>
      <c r="H413" s="95" t="s">
        <v>5</v>
      </c>
      <c r="I413" s="226" t="s">
        <v>118</v>
      </c>
      <c r="J413" s="17" t="s">
        <v>132</v>
      </c>
      <c r="K413" s="58">
        <v>15000</v>
      </c>
      <c r="L413" s="58" t="s">
        <v>2086</v>
      </c>
      <c r="M413" s="17" t="s">
        <v>2032</v>
      </c>
      <c r="N413" s="17" t="s">
        <v>2047</v>
      </c>
      <c r="O413" s="93" t="s">
        <v>2060</v>
      </c>
      <c r="P413" s="17" t="s">
        <v>2076</v>
      </c>
      <c r="Q413" s="101" t="s">
        <v>177</v>
      </c>
      <c r="R413" s="101"/>
      <c r="S413" s="17" t="s">
        <v>1095</v>
      </c>
      <c r="T413" s="210"/>
      <c r="U413" s="17" t="s">
        <v>1095</v>
      </c>
      <c r="V413" s="17" t="s">
        <v>1095</v>
      </c>
      <c r="W413" s="17" t="s">
        <v>1095</v>
      </c>
      <c r="X413" s="17" t="s">
        <v>1095</v>
      </c>
      <c r="Y413" s="58">
        <v>26136</v>
      </c>
      <c r="Z413" s="21" t="s">
        <v>2093</v>
      </c>
      <c r="AA413" s="58">
        <v>54</v>
      </c>
      <c r="AB413" s="21">
        <v>40</v>
      </c>
      <c r="AC413" s="21">
        <v>240</v>
      </c>
      <c r="AD413" s="21">
        <v>240</v>
      </c>
      <c r="AE413" s="139" t="s">
        <v>2086</v>
      </c>
      <c r="AF413" s="58"/>
      <c r="AG413" s="58"/>
      <c r="AH413" s="58"/>
      <c r="AI413" s="58"/>
      <c r="AJ413" s="21">
        <v>0</v>
      </c>
      <c r="AK413" s="21">
        <v>0</v>
      </c>
      <c r="AL413" s="21">
        <v>0</v>
      </c>
      <c r="AM413" s="58">
        <f t="shared" si="239"/>
        <v>0</v>
      </c>
      <c r="AN413" s="21">
        <f>IF(Table1[[#This Row],[Sustainability Check 1 (2017-2018) Status]]="Continued", Table1[[#This Row],[Students Per Summer]], 0)</f>
        <v>0</v>
      </c>
      <c r="AO413" s="58">
        <f t="shared" si="240"/>
        <v>0</v>
      </c>
      <c r="AP413" s="21">
        <f>IF(Table1[[#This Row],[Sustainability Check 1 (2017-2018) Status]]="Continued", Table1[[#This Row],[Students Per Fall]], 0)</f>
        <v>0</v>
      </c>
      <c r="AQ413" s="58">
        <f t="shared" si="241"/>
        <v>0</v>
      </c>
      <c r="AR413" s="21">
        <v>0</v>
      </c>
      <c r="AS413" s="58">
        <f t="shared" si="242"/>
        <v>0</v>
      </c>
      <c r="AT413" s="21">
        <v>0</v>
      </c>
      <c r="AU413" s="58">
        <f t="shared" si="243"/>
        <v>0</v>
      </c>
      <c r="AV413" s="21">
        <v>0</v>
      </c>
      <c r="AW413" s="21">
        <v>0</v>
      </c>
      <c r="AX413" s="21">
        <v>0</v>
      </c>
      <c r="AY413" s="21">
        <v>0</v>
      </c>
      <c r="AZ413" s="21">
        <v>0</v>
      </c>
      <c r="BA413" s="21">
        <v>0</v>
      </c>
      <c r="BB413" s="21">
        <v>0</v>
      </c>
      <c r="BC413" s="21">
        <v>0</v>
      </c>
      <c r="BD413" s="21">
        <v>0</v>
      </c>
      <c r="BE413" s="21">
        <v>0</v>
      </c>
      <c r="BF413" s="21">
        <v>0</v>
      </c>
      <c r="BG413" s="21">
        <v>0</v>
      </c>
      <c r="BH413" s="21">
        <v>0</v>
      </c>
      <c r="BI413" s="21">
        <v>0</v>
      </c>
      <c r="BJ413" s="21">
        <v>0</v>
      </c>
      <c r="BK413" s="21">
        <v>0</v>
      </c>
      <c r="BL413" s="17" t="s">
        <v>130</v>
      </c>
      <c r="BM413" s="21">
        <v>0</v>
      </c>
      <c r="BN413" s="21">
        <v>0</v>
      </c>
      <c r="BO413" s="21">
        <v>0</v>
      </c>
      <c r="BP413" s="21">
        <v>0</v>
      </c>
      <c r="BQ413" s="21">
        <v>0</v>
      </c>
      <c r="BR413" s="21">
        <v>0</v>
      </c>
      <c r="BS413" s="21">
        <v>0</v>
      </c>
      <c r="BT413" s="21">
        <v>0</v>
      </c>
      <c r="BU413" s="21">
        <v>0</v>
      </c>
      <c r="BV413" s="21">
        <v>0</v>
      </c>
      <c r="BW413" s="21">
        <v>0</v>
      </c>
      <c r="BX413" s="136">
        <f>Table1[[#This Row],[Summer 2018 Price Check]]*Table1[[#This Row],[Spring 2019 Students]]</f>
        <v>0</v>
      </c>
      <c r="BY413" s="31">
        <f t="shared" si="244"/>
        <v>0</v>
      </c>
      <c r="BZ413" s="58">
        <f t="shared" si="245"/>
        <v>0</v>
      </c>
      <c r="CA413" s="58" t="s">
        <v>130</v>
      </c>
      <c r="CB413" s="211">
        <v>40</v>
      </c>
      <c r="CC413" s="212">
        <v>240</v>
      </c>
      <c r="CD413" s="212">
        <v>240</v>
      </c>
      <c r="CE413" s="21" t="str">
        <f t="shared" si="246"/>
        <v>1,000</v>
      </c>
      <c r="CF413" s="58">
        <v>54</v>
      </c>
      <c r="CG413" s="136">
        <f t="shared" si="247"/>
        <v>54000</v>
      </c>
      <c r="CH413" s="58" t="s">
        <v>2086</v>
      </c>
      <c r="CI413" s="137">
        <f>IF(Table1[[#This Row],[Check 3 Status]]="Continued", Table1[[#This Row],[Check 3 Students Summer]], 0)</f>
        <v>40</v>
      </c>
      <c r="CJ413" s="137">
        <v>0</v>
      </c>
      <c r="CK413" s="137">
        <v>0</v>
      </c>
      <c r="CL413" s="137">
        <v>0</v>
      </c>
      <c r="CM413" s="137">
        <v>0</v>
      </c>
      <c r="CN413" s="137">
        <v>0</v>
      </c>
      <c r="CO413" s="137">
        <v>0</v>
      </c>
      <c r="CP413" s="137">
        <v>0</v>
      </c>
      <c r="CQ413" s="137" t="s">
        <v>130</v>
      </c>
      <c r="CR413" s="137">
        <v>40</v>
      </c>
      <c r="CS413" s="137">
        <v>240</v>
      </c>
      <c r="CT413" s="137">
        <v>240</v>
      </c>
      <c r="CU413" s="137">
        <f t="shared" si="238"/>
        <v>520</v>
      </c>
      <c r="CV413" s="136">
        <v>54</v>
      </c>
      <c r="CW413" s="137">
        <f t="shared" si="235"/>
        <v>28080</v>
      </c>
      <c r="CX413" s="58" t="s">
        <v>2086</v>
      </c>
      <c r="CY413" s="124">
        <v>0</v>
      </c>
      <c r="CZ413" s="58">
        <f>Table1[[#This Row],[Check 4 Per Student Savings]]*CY413</f>
        <v>0</v>
      </c>
      <c r="DA413" s="124">
        <v>0</v>
      </c>
      <c r="DB413" s="137">
        <f>Table1[[#This Row],[Check 4 Per Student Savings]]*DA413</f>
        <v>0</v>
      </c>
      <c r="DC413" s="124">
        <v>0</v>
      </c>
      <c r="DD413" s="58">
        <f>Table1[[#This Row],[Check 4 Per Student Savings]]*DC413</f>
        <v>0</v>
      </c>
      <c r="DE413" s="58">
        <f t="shared" si="236"/>
        <v>0</v>
      </c>
      <c r="DF413" s="58">
        <f t="shared" si="237"/>
        <v>0</v>
      </c>
      <c r="DG41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1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13" s="111">
        <f>Table1[[#This Row],[Grand Total Savings]]/Table1[[#This Row],[Total Award]]</f>
        <v>0</v>
      </c>
      <c r="DJ413" s="31"/>
      <c r="DK413" s="207"/>
      <c r="DM413" s="31"/>
      <c r="DN413" s="58"/>
      <c r="DO413" s="58"/>
      <c r="EC413" s="17"/>
      <c r="ED413" s="17"/>
      <c r="EF413" s="58"/>
      <c r="EG413" s="21"/>
      <c r="EH413" s="21"/>
    </row>
    <row r="414" spans="1:140" ht="16.5" thickTop="1" thickBot="1" x14ac:dyDescent="0.3">
      <c r="A414" s="133">
        <v>544</v>
      </c>
      <c r="B414" s="138"/>
      <c r="C414" s="138"/>
      <c r="D414" s="134"/>
      <c r="E414" s="135"/>
      <c r="F414" s="135"/>
      <c r="G414" s="200" t="s">
        <v>2024</v>
      </c>
      <c r="H414" s="95" t="s">
        <v>5</v>
      </c>
      <c r="I414" s="226" t="s">
        <v>118</v>
      </c>
      <c r="J414" s="17" t="s">
        <v>388</v>
      </c>
      <c r="K414" s="58">
        <v>30000</v>
      </c>
      <c r="L414" s="58" t="s">
        <v>2086</v>
      </c>
      <c r="M414" s="17" t="s">
        <v>2033</v>
      </c>
      <c r="N414" s="17" t="s">
        <v>2048</v>
      </c>
      <c r="O414" s="93" t="s">
        <v>1124</v>
      </c>
      <c r="P414" s="17" t="s">
        <v>1125</v>
      </c>
      <c r="Q414" s="101" t="s">
        <v>304</v>
      </c>
      <c r="R414" s="101"/>
      <c r="S414" s="17" t="s">
        <v>1095</v>
      </c>
      <c r="T414" s="210"/>
      <c r="U414" s="17" t="s">
        <v>1095</v>
      </c>
      <c r="V414" s="17" t="s">
        <v>1095</v>
      </c>
      <c r="W414" s="17" t="s">
        <v>1095</v>
      </c>
      <c r="X414" s="17" t="s">
        <v>1095</v>
      </c>
      <c r="Y414" s="58">
        <v>72624.200000000012</v>
      </c>
      <c r="Z414" s="21">
        <v>484</v>
      </c>
      <c r="AA414" s="58">
        <v>150.05000000000001</v>
      </c>
      <c r="AB414" s="21">
        <v>56</v>
      </c>
      <c r="AC414" s="21">
        <v>244</v>
      </c>
      <c r="AD414" s="21">
        <v>184</v>
      </c>
      <c r="AE414" s="139" t="s">
        <v>2086</v>
      </c>
      <c r="AF414" s="58"/>
      <c r="AG414" s="58"/>
      <c r="AH414" s="58"/>
      <c r="AI414" s="58"/>
      <c r="AJ414" s="21">
        <v>0</v>
      </c>
      <c r="AK414" s="21">
        <v>0</v>
      </c>
      <c r="AL414" s="21">
        <v>0</v>
      </c>
      <c r="AM414" s="58">
        <f t="shared" si="239"/>
        <v>0</v>
      </c>
      <c r="AN414" s="21">
        <f>IF(Table1[[#This Row],[Sustainability Check 1 (2017-2018) Status]]="Continued", Table1[[#This Row],[Students Per Summer]], 0)</f>
        <v>0</v>
      </c>
      <c r="AO414" s="58">
        <f t="shared" si="240"/>
        <v>0</v>
      </c>
      <c r="AP414" s="21">
        <f>IF(Table1[[#This Row],[Sustainability Check 1 (2017-2018) Status]]="Continued", Table1[[#This Row],[Students Per Fall]], 0)</f>
        <v>0</v>
      </c>
      <c r="AQ414" s="58">
        <f t="shared" si="241"/>
        <v>0</v>
      </c>
      <c r="AR414" s="21">
        <v>0</v>
      </c>
      <c r="AS414" s="58">
        <f t="shared" si="242"/>
        <v>0</v>
      </c>
      <c r="AT414" s="21">
        <v>0</v>
      </c>
      <c r="AU414" s="58">
        <f t="shared" si="243"/>
        <v>0</v>
      </c>
      <c r="AV414" s="21">
        <v>0</v>
      </c>
      <c r="AW414" s="21">
        <v>0</v>
      </c>
      <c r="AX414" s="21">
        <v>0</v>
      </c>
      <c r="AY414" s="21">
        <v>0</v>
      </c>
      <c r="AZ414" s="21">
        <v>0</v>
      </c>
      <c r="BA414" s="21">
        <v>0</v>
      </c>
      <c r="BB414" s="21">
        <v>0</v>
      </c>
      <c r="BC414" s="21">
        <v>0</v>
      </c>
      <c r="BD414" s="21">
        <v>0</v>
      </c>
      <c r="BE414" s="21">
        <v>0</v>
      </c>
      <c r="BF414" s="21">
        <v>0</v>
      </c>
      <c r="BG414" s="21">
        <v>0</v>
      </c>
      <c r="BH414" s="21">
        <v>0</v>
      </c>
      <c r="BI414" s="21">
        <v>0</v>
      </c>
      <c r="BJ414" s="21">
        <v>0</v>
      </c>
      <c r="BK414" s="21">
        <v>0</v>
      </c>
      <c r="BL414" s="17" t="s">
        <v>130</v>
      </c>
      <c r="BM414" s="21">
        <v>0</v>
      </c>
      <c r="BN414" s="21">
        <v>0</v>
      </c>
      <c r="BO414" s="21">
        <v>0</v>
      </c>
      <c r="BP414" s="21">
        <v>0</v>
      </c>
      <c r="BQ414" s="21">
        <v>0</v>
      </c>
      <c r="BR414" s="21">
        <v>0</v>
      </c>
      <c r="BS414" s="21">
        <v>0</v>
      </c>
      <c r="BT414" s="21">
        <v>0</v>
      </c>
      <c r="BU414" s="21">
        <v>0</v>
      </c>
      <c r="BV414" s="21">
        <v>0</v>
      </c>
      <c r="BW414" s="21">
        <v>0</v>
      </c>
      <c r="BX414" s="136">
        <f>Table1[[#This Row],[Summer 2018 Price Check]]*Table1[[#This Row],[Spring 2019 Students]]</f>
        <v>0</v>
      </c>
      <c r="BY414" s="31">
        <f t="shared" si="244"/>
        <v>0</v>
      </c>
      <c r="BZ414" s="58">
        <f t="shared" si="245"/>
        <v>0</v>
      </c>
      <c r="CA414" s="58" t="s">
        <v>130</v>
      </c>
      <c r="CB414" s="211">
        <v>56</v>
      </c>
      <c r="CC414" s="212">
        <v>244</v>
      </c>
      <c r="CD414" s="212">
        <v>184</v>
      </c>
      <c r="CE414" s="21">
        <f t="shared" si="246"/>
        <v>484</v>
      </c>
      <c r="CF414" s="58">
        <v>150.05000000000001</v>
      </c>
      <c r="CG414" s="136">
        <f t="shared" si="247"/>
        <v>72624.200000000012</v>
      </c>
      <c r="CH414" s="58" t="s">
        <v>2086</v>
      </c>
      <c r="CI414" s="137">
        <f>IF(Table1[[#This Row],[Check 3 Status]]="Continued", Table1[[#This Row],[Check 3 Students Summer]], 0)</f>
        <v>56</v>
      </c>
      <c r="CJ414" s="137">
        <v>0</v>
      </c>
      <c r="CK414" s="137">
        <v>0</v>
      </c>
      <c r="CL414" s="137">
        <v>0</v>
      </c>
      <c r="CM414" s="137">
        <v>0</v>
      </c>
      <c r="CN414" s="137">
        <v>0</v>
      </c>
      <c r="CO414" s="137">
        <v>0</v>
      </c>
      <c r="CP414" s="137">
        <v>0</v>
      </c>
      <c r="CQ414" s="137" t="s">
        <v>130</v>
      </c>
      <c r="CR414" s="137">
        <v>56</v>
      </c>
      <c r="CS414" s="137">
        <v>244</v>
      </c>
      <c r="CT414" s="137">
        <v>184</v>
      </c>
      <c r="CU414" s="137">
        <f t="shared" si="238"/>
        <v>484</v>
      </c>
      <c r="CV414" s="136">
        <v>150.05000000000001</v>
      </c>
      <c r="CW414" s="137">
        <f t="shared" si="235"/>
        <v>72624.200000000012</v>
      </c>
      <c r="CX414" s="58" t="s">
        <v>2086</v>
      </c>
      <c r="CY414" s="124">
        <v>0</v>
      </c>
      <c r="CZ414" s="58">
        <f>Table1[[#This Row],[Check 4 Per Student Savings]]*CY414</f>
        <v>0</v>
      </c>
      <c r="DA414" s="124">
        <v>0</v>
      </c>
      <c r="DB414" s="137">
        <f>Table1[[#This Row],[Check 4 Per Student Savings]]*DA414</f>
        <v>0</v>
      </c>
      <c r="DC414" s="124">
        <v>0</v>
      </c>
      <c r="DD414" s="58">
        <f>Table1[[#This Row],[Check 4 Per Student Savings]]*DC414</f>
        <v>0</v>
      </c>
      <c r="DE414" s="58">
        <f t="shared" si="236"/>
        <v>0</v>
      </c>
      <c r="DF414" s="58">
        <f t="shared" si="237"/>
        <v>0</v>
      </c>
      <c r="DG41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1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14" s="111">
        <f>Table1[[#This Row],[Grand Total Savings]]/Table1[[#This Row],[Total Award]]</f>
        <v>0</v>
      </c>
      <c r="DJ414" s="31"/>
      <c r="DK414" s="207"/>
      <c r="DM414" s="31"/>
      <c r="DN414" s="58"/>
      <c r="DO414" s="58"/>
      <c r="EC414" s="17"/>
      <c r="ED414" s="17"/>
      <c r="EF414" s="58"/>
      <c r="EG414" s="21"/>
      <c r="EH414" s="21"/>
    </row>
    <row r="415" spans="1:140" ht="16.5" thickTop="1" thickBot="1" x14ac:dyDescent="0.3">
      <c r="A415" s="133">
        <v>546</v>
      </c>
      <c r="B415" s="138"/>
      <c r="C415" s="138"/>
      <c r="D415" s="134"/>
      <c r="E415" s="135"/>
      <c r="F415" s="135"/>
      <c r="G415" s="200" t="s">
        <v>2024</v>
      </c>
      <c r="H415" s="95" t="s">
        <v>5</v>
      </c>
      <c r="I415" s="226" t="s">
        <v>118</v>
      </c>
      <c r="J415" s="17" t="s">
        <v>499</v>
      </c>
      <c r="K415" s="58">
        <v>10800</v>
      </c>
      <c r="L415" s="58" t="s">
        <v>2086</v>
      </c>
      <c r="M415" s="17" t="s">
        <v>2034</v>
      </c>
      <c r="N415" s="17" t="s">
        <v>2049</v>
      </c>
      <c r="O415" s="93" t="s">
        <v>2002</v>
      </c>
      <c r="P415" s="17" t="s">
        <v>2077</v>
      </c>
      <c r="Q415" s="101" t="s">
        <v>177</v>
      </c>
      <c r="R415" s="101"/>
      <c r="S415" s="17" t="s">
        <v>1095</v>
      </c>
      <c r="T415" s="210"/>
      <c r="U415" s="17" t="s">
        <v>1095</v>
      </c>
      <c r="V415" s="17" t="s">
        <v>1095</v>
      </c>
      <c r="W415" s="17" t="s">
        <v>1095</v>
      </c>
      <c r="X415" s="17" t="s">
        <v>1095</v>
      </c>
      <c r="Y415" s="58">
        <v>57379.499999999993</v>
      </c>
      <c r="Z415" s="21">
        <v>205</v>
      </c>
      <c r="AA415" s="58">
        <v>279.89999999999998</v>
      </c>
      <c r="AB415" s="21">
        <v>25</v>
      </c>
      <c r="AC415" s="21">
        <v>100</v>
      </c>
      <c r="AD415" s="21">
        <v>80</v>
      </c>
      <c r="AE415" s="139" t="s">
        <v>2086</v>
      </c>
      <c r="AF415" s="58"/>
      <c r="AG415" s="58"/>
      <c r="AH415" s="58"/>
      <c r="AI415" s="58"/>
      <c r="AJ415" s="21">
        <v>0</v>
      </c>
      <c r="AK415" s="21">
        <v>0</v>
      </c>
      <c r="AL415" s="21">
        <v>0</v>
      </c>
      <c r="AM415" s="58">
        <f t="shared" si="239"/>
        <v>0</v>
      </c>
      <c r="AN415" s="21">
        <f>IF(Table1[[#This Row],[Sustainability Check 1 (2017-2018) Status]]="Continued", Table1[[#This Row],[Students Per Summer]], 0)</f>
        <v>0</v>
      </c>
      <c r="AO415" s="58">
        <f t="shared" si="240"/>
        <v>0</v>
      </c>
      <c r="AP415" s="21">
        <f>IF(Table1[[#This Row],[Sustainability Check 1 (2017-2018) Status]]="Continued", Table1[[#This Row],[Students Per Fall]], 0)</f>
        <v>0</v>
      </c>
      <c r="AQ415" s="58">
        <f t="shared" si="241"/>
        <v>0</v>
      </c>
      <c r="AR415" s="21">
        <v>0</v>
      </c>
      <c r="AS415" s="58">
        <f t="shared" si="242"/>
        <v>0</v>
      </c>
      <c r="AT415" s="21">
        <v>0</v>
      </c>
      <c r="AU415" s="58">
        <f t="shared" si="243"/>
        <v>0</v>
      </c>
      <c r="AV415" s="21">
        <v>0</v>
      </c>
      <c r="AW415" s="21">
        <v>0</v>
      </c>
      <c r="AX415" s="21">
        <v>0</v>
      </c>
      <c r="AY415" s="21">
        <v>0</v>
      </c>
      <c r="AZ415" s="21">
        <v>0</v>
      </c>
      <c r="BA415" s="21">
        <v>0</v>
      </c>
      <c r="BB415" s="21">
        <v>0</v>
      </c>
      <c r="BC415" s="21">
        <v>0</v>
      </c>
      <c r="BD415" s="21">
        <v>0</v>
      </c>
      <c r="BE415" s="21">
        <v>0</v>
      </c>
      <c r="BF415" s="21">
        <v>0</v>
      </c>
      <c r="BG415" s="21">
        <v>0</v>
      </c>
      <c r="BH415" s="21">
        <v>0</v>
      </c>
      <c r="BI415" s="21">
        <v>0</v>
      </c>
      <c r="BJ415" s="21">
        <v>0</v>
      </c>
      <c r="BK415" s="21">
        <v>0</v>
      </c>
      <c r="BL415" s="17" t="s">
        <v>130</v>
      </c>
      <c r="BM415" s="21">
        <v>0</v>
      </c>
      <c r="BN415" s="21">
        <v>0</v>
      </c>
      <c r="BO415" s="21">
        <v>0</v>
      </c>
      <c r="BP415" s="21">
        <v>0</v>
      </c>
      <c r="BQ415" s="21">
        <v>0</v>
      </c>
      <c r="BR415" s="21">
        <v>0</v>
      </c>
      <c r="BS415" s="21">
        <v>0</v>
      </c>
      <c r="BT415" s="21">
        <v>0</v>
      </c>
      <c r="BU415" s="21">
        <v>0</v>
      </c>
      <c r="BV415" s="21">
        <v>0</v>
      </c>
      <c r="BW415" s="21">
        <v>0</v>
      </c>
      <c r="BX415" s="136">
        <f>Table1[[#This Row],[Summer 2018 Price Check]]*Table1[[#This Row],[Spring 2019 Students]]</f>
        <v>0</v>
      </c>
      <c r="BY415" s="31">
        <f t="shared" si="244"/>
        <v>0</v>
      </c>
      <c r="BZ415" s="58">
        <f t="shared" si="245"/>
        <v>0</v>
      </c>
      <c r="CA415" s="58" t="s">
        <v>130</v>
      </c>
      <c r="CB415" s="211">
        <v>25</v>
      </c>
      <c r="CC415" s="212">
        <v>100</v>
      </c>
      <c r="CD415" s="212">
        <v>80</v>
      </c>
      <c r="CE415" s="21">
        <f t="shared" si="246"/>
        <v>205</v>
      </c>
      <c r="CF415" s="58">
        <v>279.89999999999998</v>
      </c>
      <c r="CG415" s="136">
        <f t="shared" si="247"/>
        <v>57379.499999999993</v>
      </c>
      <c r="CH415" s="58" t="s">
        <v>2086</v>
      </c>
      <c r="CI415" s="137">
        <f>IF(Table1[[#This Row],[Check 3 Status]]="Continued", Table1[[#This Row],[Check 3 Students Summer]], 0)</f>
        <v>25</v>
      </c>
      <c r="CJ415" s="137">
        <v>0</v>
      </c>
      <c r="CK415" s="137">
        <v>0</v>
      </c>
      <c r="CL415" s="137">
        <v>0</v>
      </c>
      <c r="CM415" s="137">
        <v>0</v>
      </c>
      <c r="CN415" s="137">
        <v>0</v>
      </c>
      <c r="CO415" s="137">
        <v>0</v>
      </c>
      <c r="CP415" s="137">
        <v>0</v>
      </c>
      <c r="CQ415" s="137" t="s">
        <v>130</v>
      </c>
      <c r="CR415" s="137">
        <v>25</v>
      </c>
      <c r="CS415" s="137">
        <v>100</v>
      </c>
      <c r="CT415" s="137">
        <v>80</v>
      </c>
      <c r="CU415" s="137">
        <f t="shared" si="238"/>
        <v>205</v>
      </c>
      <c r="CV415" s="136">
        <v>279.89999999999998</v>
      </c>
      <c r="CW415" s="137">
        <f t="shared" si="235"/>
        <v>57379.499999999993</v>
      </c>
      <c r="CX415" s="58" t="s">
        <v>2086</v>
      </c>
      <c r="CY415" s="124">
        <v>0</v>
      </c>
      <c r="CZ415" s="58">
        <f>Table1[[#This Row],[Check 4 Per Student Savings]]*CY415</f>
        <v>0</v>
      </c>
      <c r="DA415" s="124">
        <v>0</v>
      </c>
      <c r="DB415" s="137">
        <f>Table1[[#This Row],[Check 4 Per Student Savings]]*DA415</f>
        <v>0</v>
      </c>
      <c r="DC415" s="124">
        <v>0</v>
      </c>
      <c r="DD415" s="58">
        <f>Table1[[#This Row],[Check 4 Per Student Savings]]*DC415</f>
        <v>0</v>
      </c>
      <c r="DE415" s="58">
        <f t="shared" si="236"/>
        <v>0</v>
      </c>
      <c r="DF415" s="58">
        <f t="shared" si="237"/>
        <v>0</v>
      </c>
      <c r="DG41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1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15" s="111">
        <f>Table1[[#This Row],[Grand Total Savings]]/Table1[[#This Row],[Total Award]]</f>
        <v>0</v>
      </c>
      <c r="DJ415" s="31"/>
      <c r="DK415" s="207"/>
      <c r="DM415" s="31"/>
      <c r="DN415" s="58"/>
      <c r="DO415" s="58"/>
      <c r="EC415" s="17"/>
      <c r="ED415" s="17"/>
      <c r="EF415" s="58"/>
      <c r="EG415" s="21"/>
      <c r="EH415" s="21"/>
    </row>
    <row r="416" spans="1:140" ht="16.5" thickTop="1" thickBot="1" x14ac:dyDescent="0.3">
      <c r="A416" s="133" t="s">
        <v>2015</v>
      </c>
      <c r="B416" s="138"/>
      <c r="C416" s="138"/>
      <c r="D416" s="134"/>
      <c r="E416" s="135"/>
      <c r="F416" s="135"/>
      <c r="G416" s="200" t="s">
        <v>2024</v>
      </c>
      <c r="H416" s="95" t="s">
        <v>5</v>
      </c>
      <c r="I416" s="17" t="s">
        <v>962</v>
      </c>
      <c r="J416" s="93" t="s">
        <v>172</v>
      </c>
      <c r="K416" s="58">
        <v>2400</v>
      </c>
      <c r="L416" s="58" t="s">
        <v>1863</v>
      </c>
      <c r="M416" s="17" t="s">
        <v>2035</v>
      </c>
      <c r="N416" s="17" t="s">
        <v>2050</v>
      </c>
      <c r="O416" s="93" t="s">
        <v>215</v>
      </c>
      <c r="P416" s="17" t="s">
        <v>2078</v>
      </c>
      <c r="Q416" s="101" t="s">
        <v>148</v>
      </c>
      <c r="R416" s="101"/>
      <c r="S416" s="17" t="s">
        <v>1095</v>
      </c>
      <c r="T416" s="210"/>
      <c r="U416" s="17" t="s">
        <v>1095</v>
      </c>
      <c r="V416" s="17" t="s">
        <v>1095</v>
      </c>
      <c r="W416" s="17" t="s">
        <v>1095</v>
      </c>
      <c r="X416" s="17" t="s">
        <v>1095</v>
      </c>
      <c r="Y416" s="58" t="s">
        <v>13</v>
      </c>
      <c r="Z416" s="58" t="s">
        <v>13</v>
      </c>
      <c r="AA416" s="58" t="s">
        <v>13</v>
      </c>
      <c r="AB416" s="58" t="s">
        <v>13</v>
      </c>
      <c r="AC416" s="58" t="s">
        <v>13</v>
      </c>
      <c r="AD416" s="58" t="s">
        <v>13</v>
      </c>
      <c r="AE416" s="139" t="s">
        <v>1863</v>
      </c>
      <c r="AF416" s="58"/>
      <c r="AG416" s="58"/>
      <c r="AH416" s="58"/>
      <c r="AI416" s="58"/>
      <c r="AJ416" s="21" t="str">
        <f t="shared" ref="AJ416:AJ424" si="248">AD416</f>
        <v>n/a</v>
      </c>
      <c r="AK416" s="21">
        <v>0</v>
      </c>
      <c r="AL416" s="21">
        <v>0</v>
      </c>
      <c r="AM416" s="21">
        <v>0</v>
      </c>
      <c r="AN416" s="21">
        <v>0</v>
      </c>
      <c r="AO416" s="21">
        <v>0</v>
      </c>
      <c r="AP416" s="21">
        <v>0</v>
      </c>
      <c r="AQ416" s="21">
        <v>0</v>
      </c>
      <c r="AR416" s="21">
        <v>0</v>
      </c>
      <c r="AS416" s="21">
        <v>0</v>
      </c>
      <c r="AT416" s="21">
        <v>0</v>
      </c>
      <c r="AU416" s="21">
        <v>0</v>
      </c>
      <c r="AV416" s="21">
        <v>0</v>
      </c>
      <c r="AW416" s="21">
        <v>0</v>
      </c>
      <c r="AX416" s="21">
        <v>0</v>
      </c>
      <c r="AY416" s="21">
        <v>0</v>
      </c>
      <c r="AZ416" s="21">
        <v>0</v>
      </c>
      <c r="BA416" s="21">
        <v>0</v>
      </c>
      <c r="BB416" s="21">
        <v>0</v>
      </c>
      <c r="BC416" s="21">
        <v>0</v>
      </c>
      <c r="BD416" s="21">
        <v>0</v>
      </c>
      <c r="BE416" s="21">
        <v>0</v>
      </c>
      <c r="BF416" s="21">
        <v>0</v>
      </c>
      <c r="BG416" s="21">
        <v>0</v>
      </c>
      <c r="BH416" s="21">
        <v>0</v>
      </c>
      <c r="BI416" s="21">
        <v>0</v>
      </c>
      <c r="BJ416" s="21">
        <v>0</v>
      </c>
      <c r="BK416" s="21">
        <v>0</v>
      </c>
      <c r="BL416" s="58" t="s">
        <v>964</v>
      </c>
      <c r="BM416" s="21">
        <v>0</v>
      </c>
      <c r="BN416" s="21">
        <v>0</v>
      </c>
      <c r="BO416" s="21">
        <v>0</v>
      </c>
      <c r="BP416" s="31">
        <f t="shared" ref="BP416:BP424" si="249">SUM(BM416:BO416)</f>
        <v>0</v>
      </c>
      <c r="BQ416" s="21">
        <v>0</v>
      </c>
      <c r="BR416" s="21">
        <v>0</v>
      </c>
      <c r="BS416" s="21">
        <v>0</v>
      </c>
      <c r="BT416" s="58"/>
      <c r="BU416" s="21">
        <v>0</v>
      </c>
      <c r="BV416" s="21">
        <v>0</v>
      </c>
      <c r="BW416" s="21">
        <v>0</v>
      </c>
      <c r="BX416" s="136">
        <f>Table1[[#This Row],[Summer 2018 Price Check]]*Table1[[#This Row],[Spring 2019 Students]]</f>
        <v>0</v>
      </c>
      <c r="BY416" s="31">
        <f t="shared" si="244"/>
        <v>0</v>
      </c>
      <c r="BZ416" s="58">
        <f t="shared" si="245"/>
        <v>0</v>
      </c>
      <c r="CA416" s="58" t="s">
        <v>964</v>
      </c>
      <c r="CB416" s="21">
        <v>0</v>
      </c>
      <c r="CC416" s="21">
        <v>0</v>
      </c>
      <c r="CD416" s="21">
        <v>0</v>
      </c>
      <c r="CE416" s="21" t="str">
        <f t="shared" si="246"/>
        <v>n/a</v>
      </c>
      <c r="CF416" s="58" t="s">
        <v>13</v>
      </c>
      <c r="CG416" s="136">
        <v>0</v>
      </c>
      <c r="CH416" s="58" t="s">
        <v>1863</v>
      </c>
      <c r="CI416" s="137">
        <f>IF(Table1[[#This Row],[Check 3 Status]]="Continued", Table1[[#This Row],[Check 3 Students Summer]], 0)</f>
        <v>0</v>
      </c>
      <c r="CJ416" s="137">
        <v>0</v>
      </c>
      <c r="CK416" s="137">
        <v>0</v>
      </c>
      <c r="CL416" s="137">
        <v>0</v>
      </c>
      <c r="CM416" s="137">
        <v>0</v>
      </c>
      <c r="CN416" s="137">
        <v>0</v>
      </c>
      <c r="CO416" s="137">
        <v>0</v>
      </c>
      <c r="CP416" s="137">
        <v>0</v>
      </c>
      <c r="CQ416" s="137" t="s">
        <v>964</v>
      </c>
      <c r="CR416" s="137">
        <v>0</v>
      </c>
      <c r="CS416" s="137">
        <v>0</v>
      </c>
      <c r="CT416" s="137">
        <v>0</v>
      </c>
      <c r="CU416" s="137">
        <f t="shared" si="238"/>
        <v>0</v>
      </c>
      <c r="CV416" s="137">
        <v>0</v>
      </c>
      <c r="CW416" s="137">
        <f t="shared" si="235"/>
        <v>0</v>
      </c>
      <c r="CX416" s="58" t="s">
        <v>1863</v>
      </c>
      <c r="CY416" s="124">
        <v>0</v>
      </c>
      <c r="CZ416" s="58">
        <f>Table1[[#This Row],[Check 4 Per Student Savings]]*CY416</f>
        <v>0</v>
      </c>
      <c r="DA416" s="124">
        <v>0</v>
      </c>
      <c r="DB416" s="137">
        <f>Table1[[#This Row],[Check 4 Per Student Savings]]*DA416</f>
        <v>0</v>
      </c>
      <c r="DC416" s="21">
        <f>IF(Table1[[#This Row],[Check 4 Status]]="Continued", Table1[[#This Row],[Check 4 Students Spring]], 0)</f>
        <v>0</v>
      </c>
      <c r="DD416" s="58">
        <f>Table1[[#This Row],[Check 4 Per Student Savings]]*DC416</f>
        <v>0</v>
      </c>
      <c r="DE416" s="58">
        <f t="shared" si="236"/>
        <v>0</v>
      </c>
      <c r="DF416" s="58">
        <f t="shared" si="237"/>
        <v>0</v>
      </c>
      <c r="DG41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1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16" s="111">
        <f>Table1[[#This Row],[Grand Total Savings]]/Table1[[#This Row],[Total Award]]</f>
        <v>0</v>
      </c>
      <c r="DJ416" s="31"/>
      <c r="DK416" s="207"/>
      <c r="DM416" s="31"/>
      <c r="DN416" s="58"/>
      <c r="DO416" s="58"/>
      <c r="EC416" s="17"/>
      <c r="ED416" s="17"/>
      <c r="EF416" s="58"/>
      <c r="EG416" s="21"/>
      <c r="EH416" s="21"/>
    </row>
    <row r="417" spans="1:138" ht="16.5" thickTop="1" thickBot="1" x14ac:dyDescent="0.3">
      <c r="A417" s="133" t="s">
        <v>2016</v>
      </c>
      <c r="B417" s="138"/>
      <c r="C417" s="138"/>
      <c r="D417" s="134"/>
      <c r="E417" s="135"/>
      <c r="F417" s="135"/>
      <c r="G417" s="200" t="s">
        <v>2024</v>
      </c>
      <c r="H417" s="95" t="s">
        <v>5</v>
      </c>
      <c r="I417" s="17" t="s">
        <v>962</v>
      </c>
      <c r="J417" s="93" t="s">
        <v>574</v>
      </c>
      <c r="K417" s="58">
        <v>4000</v>
      </c>
      <c r="L417" s="58" t="s">
        <v>2086</v>
      </c>
      <c r="M417" s="17" t="s">
        <v>2036</v>
      </c>
      <c r="N417" s="17" t="s">
        <v>2051</v>
      </c>
      <c r="O417" s="93" t="s">
        <v>2004</v>
      </c>
      <c r="P417" s="17" t="s">
        <v>2079</v>
      </c>
      <c r="Q417" s="101" t="s">
        <v>248</v>
      </c>
      <c r="R417" s="101"/>
      <c r="S417" s="17" t="s">
        <v>1095</v>
      </c>
      <c r="T417" s="210"/>
      <c r="U417" s="17" t="s">
        <v>1095</v>
      </c>
      <c r="V417" s="17" t="s">
        <v>1095</v>
      </c>
      <c r="W417" s="17" t="s">
        <v>1095</v>
      </c>
      <c r="X417" s="17" t="s">
        <v>1095</v>
      </c>
      <c r="Y417" s="58" t="s">
        <v>13</v>
      </c>
      <c r="Z417" s="58" t="s">
        <v>13</v>
      </c>
      <c r="AA417" s="58" t="s">
        <v>13</v>
      </c>
      <c r="AB417" s="58" t="s">
        <v>13</v>
      </c>
      <c r="AC417" s="58" t="s">
        <v>13</v>
      </c>
      <c r="AD417" s="58" t="s">
        <v>13</v>
      </c>
      <c r="AE417" s="139" t="s">
        <v>2086</v>
      </c>
      <c r="AF417" s="58"/>
      <c r="AG417" s="58"/>
      <c r="AH417" s="58"/>
      <c r="AI417" s="58"/>
      <c r="AJ417" s="21" t="str">
        <f t="shared" si="248"/>
        <v>n/a</v>
      </c>
      <c r="AK417" s="21">
        <v>0</v>
      </c>
      <c r="AL417" s="21">
        <v>0</v>
      </c>
      <c r="AM417" s="21">
        <v>0</v>
      </c>
      <c r="AN417" s="21">
        <v>0</v>
      </c>
      <c r="AO417" s="21">
        <v>0</v>
      </c>
      <c r="AP417" s="21">
        <v>0</v>
      </c>
      <c r="AQ417" s="21">
        <v>0</v>
      </c>
      <c r="AR417" s="21">
        <v>0</v>
      </c>
      <c r="AS417" s="21">
        <v>0</v>
      </c>
      <c r="AT417" s="21">
        <v>0</v>
      </c>
      <c r="AU417" s="21">
        <v>0</v>
      </c>
      <c r="AV417" s="21">
        <v>0</v>
      </c>
      <c r="AW417" s="21">
        <v>0</v>
      </c>
      <c r="AX417" s="21">
        <v>0</v>
      </c>
      <c r="AY417" s="21">
        <v>0</v>
      </c>
      <c r="AZ417" s="21">
        <v>0</v>
      </c>
      <c r="BA417" s="21">
        <v>0</v>
      </c>
      <c r="BB417" s="21">
        <v>0</v>
      </c>
      <c r="BC417" s="21">
        <v>0</v>
      </c>
      <c r="BD417" s="21">
        <v>0</v>
      </c>
      <c r="BE417" s="21">
        <v>0</v>
      </c>
      <c r="BF417" s="21">
        <v>0</v>
      </c>
      <c r="BG417" s="21">
        <v>0</v>
      </c>
      <c r="BH417" s="21">
        <v>0</v>
      </c>
      <c r="BI417" s="21">
        <v>0</v>
      </c>
      <c r="BJ417" s="21">
        <v>0</v>
      </c>
      <c r="BK417" s="21">
        <v>0</v>
      </c>
      <c r="BL417" s="58" t="s">
        <v>964</v>
      </c>
      <c r="BM417" s="21">
        <v>0</v>
      </c>
      <c r="BN417" s="21">
        <v>0</v>
      </c>
      <c r="BO417" s="21">
        <v>0</v>
      </c>
      <c r="BP417" s="31">
        <f t="shared" si="249"/>
        <v>0</v>
      </c>
      <c r="BQ417" s="21">
        <v>0</v>
      </c>
      <c r="BR417" s="21">
        <v>0</v>
      </c>
      <c r="BS417" s="21">
        <v>0</v>
      </c>
      <c r="BT417" s="58"/>
      <c r="BU417" s="21">
        <v>0</v>
      </c>
      <c r="BV417" s="21">
        <v>0</v>
      </c>
      <c r="BW417" s="21">
        <v>0</v>
      </c>
      <c r="BX417" s="136">
        <f>Table1[[#This Row],[Summer 2018 Price Check]]*Table1[[#This Row],[Spring 2019 Students]]</f>
        <v>0</v>
      </c>
      <c r="BY417" s="31">
        <f t="shared" si="244"/>
        <v>0</v>
      </c>
      <c r="BZ417" s="58">
        <f t="shared" si="245"/>
        <v>0</v>
      </c>
      <c r="CA417" s="58" t="s">
        <v>964</v>
      </c>
      <c r="CB417" s="21">
        <v>0</v>
      </c>
      <c r="CC417" s="21">
        <v>0</v>
      </c>
      <c r="CD417" s="21">
        <v>0</v>
      </c>
      <c r="CE417" s="21" t="str">
        <f t="shared" si="246"/>
        <v>n/a</v>
      </c>
      <c r="CF417" s="58" t="s">
        <v>13</v>
      </c>
      <c r="CG417" s="136">
        <v>0</v>
      </c>
      <c r="CH417" s="58" t="s">
        <v>2086</v>
      </c>
      <c r="CI417" s="137">
        <f>IF(Table1[[#This Row],[Check 3 Status]]="Continued", Table1[[#This Row],[Check 3 Students Summer]], 0)</f>
        <v>0</v>
      </c>
      <c r="CJ417" s="137">
        <v>0</v>
      </c>
      <c r="CK417" s="137">
        <v>0</v>
      </c>
      <c r="CL417" s="137">
        <v>0</v>
      </c>
      <c r="CM417" s="137">
        <v>0</v>
      </c>
      <c r="CN417" s="137">
        <v>0</v>
      </c>
      <c r="CO417" s="137">
        <v>0</v>
      </c>
      <c r="CP417" s="137">
        <v>0</v>
      </c>
      <c r="CQ417" s="137" t="s">
        <v>964</v>
      </c>
      <c r="CR417" s="137">
        <v>0</v>
      </c>
      <c r="CS417" s="137">
        <v>0</v>
      </c>
      <c r="CT417" s="137">
        <v>0</v>
      </c>
      <c r="CU417" s="137">
        <f t="shared" si="238"/>
        <v>0</v>
      </c>
      <c r="CV417" s="137">
        <v>0</v>
      </c>
      <c r="CW417" s="137">
        <f t="shared" si="235"/>
        <v>0</v>
      </c>
      <c r="CX417" s="58" t="s">
        <v>2086</v>
      </c>
      <c r="CY417" s="124">
        <v>0</v>
      </c>
      <c r="CZ417" s="58">
        <f>Table1[[#This Row],[Check 4 Per Student Savings]]*CY417</f>
        <v>0</v>
      </c>
      <c r="DA417" s="124">
        <v>0</v>
      </c>
      <c r="DB417" s="137">
        <f>Table1[[#This Row],[Check 4 Per Student Savings]]*DA417</f>
        <v>0</v>
      </c>
      <c r="DC417" s="124">
        <v>0</v>
      </c>
      <c r="DD417" s="58">
        <f>Table1[[#This Row],[Check 4 Per Student Savings]]*DC417</f>
        <v>0</v>
      </c>
      <c r="DE417" s="58">
        <f t="shared" si="236"/>
        <v>0</v>
      </c>
      <c r="DF417" s="58">
        <f t="shared" si="237"/>
        <v>0</v>
      </c>
      <c r="DG41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1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17" s="111">
        <f>Table1[[#This Row],[Grand Total Savings]]/Table1[[#This Row],[Total Award]]</f>
        <v>0</v>
      </c>
      <c r="DJ417" s="31"/>
      <c r="DK417" s="207"/>
      <c r="DM417" s="31"/>
      <c r="DN417" s="58"/>
      <c r="DO417" s="58"/>
      <c r="EC417" s="17"/>
      <c r="ED417" s="17"/>
      <c r="EF417" s="58"/>
      <c r="EG417" s="21"/>
      <c r="EH417" s="21"/>
    </row>
    <row r="418" spans="1:138" ht="61.5" thickTop="1" thickBot="1" x14ac:dyDescent="0.3">
      <c r="A418" s="133" t="s">
        <v>2017</v>
      </c>
      <c r="B418" s="138"/>
      <c r="C418" s="138"/>
      <c r="D418" s="134"/>
      <c r="E418" s="135"/>
      <c r="F418" s="135"/>
      <c r="G418" s="200" t="s">
        <v>2024</v>
      </c>
      <c r="H418" s="95" t="s">
        <v>5</v>
      </c>
      <c r="I418" s="17" t="s">
        <v>962</v>
      </c>
      <c r="J418" s="93" t="s">
        <v>132</v>
      </c>
      <c r="K418" s="58">
        <v>4800</v>
      </c>
      <c r="L418" s="58" t="s">
        <v>1863</v>
      </c>
      <c r="M418" s="17" t="s">
        <v>2037</v>
      </c>
      <c r="N418" s="17" t="s">
        <v>2052</v>
      </c>
      <c r="O418" s="93" t="s">
        <v>2061</v>
      </c>
      <c r="P418" s="17" t="s">
        <v>2080</v>
      </c>
      <c r="Q418" s="101" t="s">
        <v>530</v>
      </c>
      <c r="R418" s="101"/>
      <c r="S418" s="17" t="s">
        <v>1095</v>
      </c>
      <c r="T418" s="210"/>
      <c r="U418" s="17" t="s">
        <v>1095</v>
      </c>
      <c r="V418" s="17" t="s">
        <v>1095</v>
      </c>
      <c r="W418" s="17" t="s">
        <v>1095</v>
      </c>
      <c r="X418" s="17" t="s">
        <v>1095</v>
      </c>
      <c r="Y418" s="58" t="s">
        <v>13</v>
      </c>
      <c r="Z418" s="58" t="s">
        <v>13</v>
      </c>
      <c r="AA418" s="58" t="s">
        <v>13</v>
      </c>
      <c r="AB418" s="58" t="s">
        <v>13</v>
      </c>
      <c r="AC418" s="58" t="s">
        <v>13</v>
      </c>
      <c r="AD418" s="58" t="s">
        <v>13</v>
      </c>
      <c r="AE418" s="139" t="s">
        <v>1863</v>
      </c>
      <c r="AF418" s="58"/>
      <c r="AG418" s="58"/>
      <c r="AH418" s="58"/>
      <c r="AI418" s="58"/>
      <c r="AJ418" s="21" t="str">
        <f t="shared" si="248"/>
        <v>n/a</v>
      </c>
      <c r="AK418" s="21">
        <v>0</v>
      </c>
      <c r="AL418" s="21">
        <v>0</v>
      </c>
      <c r="AM418" s="21">
        <v>0</v>
      </c>
      <c r="AN418" s="21">
        <v>0</v>
      </c>
      <c r="AO418" s="21">
        <v>0</v>
      </c>
      <c r="AP418" s="21">
        <v>0</v>
      </c>
      <c r="AQ418" s="21">
        <v>0</v>
      </c>
      <c r="AR418" s="21">
        <v>0</v>
      </c>
      <c r="AS418" s="21">
        <v>0</v>
      </c>
      <c r="AT418" s="21">
        <v>0</v>
      </c>
      <c r="AU418" s="21">
        <v>0</v>
      </c>
      <c r="AV418" s="21">
        <v>0</v>
      </c>
      <c r="AW418" s="21">
        <v>0</v>
      </c>
      <c r="AX418" s="21">
        <v>0</v>
      </c>
      <c r="AY418" s="21">
        <v>0</v>
      </c>
      <c r="AZ418" s="21">
        <v>0</v>
      </c>
      <c r="BA418" s="21">
        <v>0</v>
      </c>
      <c r="BB418" s="21">
        <v>0</v>
      </c>
      <c r="BC418" s="21">
        <v>0</v>
      </c>
      <c r="BD418" s="21">
        <v>0</v>
      </c>
      <c r="BE418" s="21">
        <v>0</v>
      </c>
      <c r="BF418" s="21">
        <v>0</v>
      </c>
      <c r="BG418" s="21">
        <v>0</v>
      </c>
      <c r="BH418" s="21">
        <v>0</v>
      </c>
      <c r="BI418" s="21">
        <v>0</v>
      </c>
      <c r="BJ418" s="21">
        <v>0</v>
      </c>
      <c r="BK418" s="21">
        <v>0</v>
      </c>
      <c r="BL418" s="58" t="s">
        <v>964</v>
      </c>
      <c r="BM418" s="21">
        <v>0</v>
      </c>
      <c r="BN418" s="21">
        <v>0</v>
      </c>
      <c r="BO418" s="21">
        <v>0</v>
      </c>
      <c r="BP418" s="31">
        <f t="shared" si="249"/>
        <v>0</v>
      </c>
      <c r="BQ418" s="21">
        <v>0</v>
      </c>
      <c r="BR418" s="21">
        <v>0</v>
      </c>
      <c r="BS418" s="21">
        <v>0</v>
      </c>
      <c r="BT418" s="58"/>
      <c r="BU418" s="21">
        <v>0</v>
      </c>
      <c r="BV418" s="21">
        <v>0</v>
      </c>
      <c r="BW418" s="21">
        <v>0</v>
      </c>
      <c r="BX418" s="136">
        <f>Table1[[#This Row],[Summer 2018 Price Check]]*Table1[[#This Row],[Spring 2019 Students]]</f>
        <v>0</v>
      </c>
      <c r="BY418" s="31">
        <f t="shared" si="244"/>
        <v>0</v>
      </c>
      <c r="BZ418" s="58">
        <f t="shared" si="245"/>
        <v>0</v>
      </c>
      <c r="CA418" s="58" t="s">
        <v>964</v>
      </c>
      <c r="CB418" s="21">
        <v>0</v>
      </c>
      <c r="CC418" s="21">
        <v>0</v>
      </c>
      <c r="CD418" s="21">
        <v>0</v>
      </c>
      <c r="CE418" s="21" t="str">
        <f t="shared" si="246"/>
        <v>n/a</v>
      </c>
      <c r="CF418" s="58" t="s">
        <v>13</v>
      </c>
      <c r="CG418" s="136">
        <v>0</v>
      </c>
      <c r="CH418" s="58" t="s">
        <v>1863</v>
      </c>
      <c r="CI418" s="137">
        <f>IF(Table1[[#This Row],[Check 3 Status]]="Continued", Table1[[#This Row],[Check 3 Students Summer]], 0)</f>
        <v>0</v>
      </c>
      <c r="CJ418" s="137">
        <v>0</v>
      </c>
      <c r="CK418" s="137">
        <v>0</v>
      </c>
      <c r="CL418" s="137">
        <v>0</v>
      </c>
      <c r="CM418" s="137">
        <v>0</v>
      </c>
      <c r="CN418" s="137">
        <v>0</v>
      </c>
      <c r="CO418" s="137">
        <v>0</v>
      </c>
      <c r="CP418" s="137">
        <v>0</v>
      </c>
      <c r="CQ418" s="137" t="s">
        <v>964</v>
      </c>
      <c r="CR418" s="137">
        <v>0</v>
      </c>
      <c r="CS418" s="137">
        <v>0</v>
      </c>
      <c r="CT418" s="137">
        <v>0</v>
      </c>
      <c r="CU418" s="137">
        <f t="shared" si="238"/>
        <v>0</v>
      </c>
      <c r="CV418" s="137">
        <v>0</v>
      </c>
      <c r="CW418" s="137">
        <f t="shared" si="235"/>
        <v>0</v>
      </c>
      <c r="CX418" s="58" t="s">
        <v>1863</v>
      </c>
      <c r="CY418" s="124">
        <v>0</v>
      </c>
      <c r="CZ418" s="58">
        <f>Table1[[#This Row],[Check 4 Per Student Savings]]*CY418</f>
        <v>0</v>
      </c>
      <c r="DA418" s="124">
        <v>0</v>
      </c>
      <c r="DB418" s="137">
        <f>Table1[[#This Row],[Check 4 Per Student Savings]]*DA418</f>
        <v>0</v>
      </c>
      <c r="DC418" s="21">
        <f>IF(Table1[[#This Row],[Check 4 Status]]="Continued", Table1[[#This Row],[Check 4 Students Spring]], 0)</f>
        <v>0</v>
      </c>
      <c r="DD418" s="58">
        <f>Table1[[#This Row],[Check 4 Per Student Savings]]*DC418</f>
        <v>0</v>
      </c>
      <c r="DE418" s="58">
        <f t="shared" si="236"/>
        <v>0</v>
      </c>
      <c r="DF418" s="58">
        <f t="shared" si="237"/>
        <v>0</v>
      </c>
      <c r="DG41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1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18" s="111">
        <f>Table1[[#This Row],[Grand Total Savings]]/Table1[[#This Row],[Total Award]]</f>
        <v>0</v>
      </c>
      <c r="DJ418" s="31"/>
      <c r="DK418" s="207"/>
      <c r="DM418" s="31"/>
      <c r="DN418" s="58"/>
      <c r="DO418" s="58"/>
      <c r="EC418" s="17"/>
      <c r="ED418" s="17"/>
      <c r="EF418" s="58"/>
      <c r="EG418" s="21"/>
      <c r="EH418" s="21"/>
    </row>
    <row r="419" spans="1:138" ht="31.5" thickTop="1" thickBot="1" x14ac:dyDescent="0.3">
      <c r="A419" s="133" t="s">
        <v>2018</v>
      </c>
      <c r="B419" s="138"/>
      <c r="C419" s="138"/>
      <c r="D419" s="134"/>
      <c r="E419" s="135"/>
      <c r="F419" s="135"/>
      <c r="G419" s="200" t="s">
        <v>2024</v>
      </c>
      <c r="H419" s="95" t="s">
        <v>5</v>
      </c>
      <c r="I419" s="17" t="s">
        <v>962</v>
      </c>
      <c r="J419" s="93" t="s">
        <v>388</v>
      </c>
      <c r="K419" s="58">
        <v>4780</v>
      </c>
      <c r="L419" s="58" t="s">
        <v>1863</v>
      </c>
      <c r="M419" s="17" t="s">
        <v>696</v>
      </c>
      <c r="N419" s="17" t="s">
        <v>923</v>
      </c>
      <c r="O419" s="93" t="s">
        <v>2062</v>
      </c>
      <c r="P419" s="17" t="s">
        <v>2081</v>
      </c>
      <c r="Q419" s="101" t="s">
        <v>177</v>
      </c>
      <c r="R419" s="101"/>
      <c r="S419" s="17" t="s">
        <v>1095</v>
      </c>
      <c r="T419" s="210"/>
      <c r="U419" s="17" t="s">
        <v>1095</v>
      </c>
      <c r="V419" s="17" t="s">
        <v>1095</v>
      </c>
      <c r="W419" s="17" t="s">
        <v>1095</v>
      </c>
      <c r="X419" s="17" t="s">
        <v>1095</v>
      </c>
      <c r="Y419" s="58" t="s">
        <v>13</v>
      </c>
      <c r="Z419" s="58" t="s">
        <v>13</v>
      </c>
      <c r="AA419" s="58" t="s">
        <v>13</v>
      </c>
      <c r="AB419" s="58" t="s">
        <v>13</v>
      </c>
      <c r="AC419" s="58" t="s">
        <v>13</v>
      </c>
      <c r="AD419" s="58" t="s">
        <v>13</v>
      </c>
      <c r="AE419" s="139" t="s">
        <v>1863</v>
      </c>
      <c r="AF419" s="58"/>
      <c r="AG419" s="58"/>
      <c r="AH419" s="58"/>
      <c r="AI419" s="58"/>
      <c r="AJ419" s="21" t="str">
        <f t="shared" si="248"/>
        <v>n/a</v>
      </c>
      <c r="AK419" s="21">
        <v>0</v>
      </c>
      <c r="AL419" s="21">
        <v>0</v>
      </c>
      <c r="AM419" s="21">
        <v>0</v>
      </c>
      <c r="AN419" s="21">
        <v>0</v>
      </c>
      <c r="AO419" s="21">
        <v>0</v>
      </c>
      <c r="AP419" s="21">
        <v>0</v>
      </c>
      <c r="AQ419" s="21">
        <v>0</v>
      </c>
      <c r="AR419" s="21">
        <v>0</v>
      </c>
      <c r="AS419" s="21">
        <v>0</v>
      </c>
      <c r="AT419" s="21">
        <v>0</v>
      </c>
      <c r="AU419" s="21">
        <v>0</v>
      </c>
      <c r="AV419" s="21">
        <v>0</v>
      </c>
      <c r="AW419" s="21">
        <v>0</v>
      </c>
      <c r="AX419" s="21">
        <v>0</v>
      </c>
      <c r="AY419" s="21">
        <v>0</v>
      </c>
      <c r="AZ419" s="21">
        <v>0</v>
      </c>
      <c r="BA419" s="21">
        <v>0</v>
      </c>
      <c r="BB419" s="21">
        <v>0</v>
      </c>
      <c r="BC419" s="21">
        <v>0</v>
      </c>
      <c r="BD419" s="21">
        <v>0</v>
      </c>
      <c r="BE419" s="21">
        <v>0</v>
      </c>
      <c r="BF419" s="21">
        <v>0</v>
      </c>
      <c r="BG419" s="21">
        <v>0</v>
      </c>
      <c r="BH419" s="21">
        <v>0</v>
      </c>
      <c r="BI419" s="21">
        <v>0</v>
      </c>
      <c r="BJ419" s="21">
        <v>0</v>
      </c>
      <c r="BK419" s="21">
        <v>0</v>
      </c>
      <c r="BL419" s="58" t="s">
        <v>964</v>
      </c>
      <c r="BM419" s="21">
        <v>0</v>
      </c>
      <c r="BN419" s="21">
        <v>0</v>
      </c>
      <c r="BO419" s="21">
        <v>0</v>
      </c>
      <c r="BP419" s="31">
        <f t="shared" si="249"/>
        <v>0</v>
      </c>
      <c r="BQ419" s="21">
        <v>0</v>
      </c>
      <c r="BR419" s="21">
        <v>0</v>
      </c>
      <c r="BS419" s="21">
        <v>0</v>
      </c>
      <c r="BT419" s="58"/>
      <c r="BU419" s="21">
        <v>0</v>
      </c>
      <c r="BV419" s="21">
        <v>0</v>
      </c>
      <c r="BW419" s="21">
        <v>0</v>
      </c>
      <c r="BX419" s="136">
        <f>Table1[[#This Row],[Summer 2018 Price Check]]*Table1[[#This Row],[Spring 2019 Students]]</f>
        <v>0</v>
      </c>
      <c r="BY419" s="31">
        <f t="shared" si="244"/>
        <v>0</v>
      </c>
      <c r="BZ419" s="58">
        <f t="shared" si="245"/>
        <v>0</v>
      </c>
      <c r="CA419" s="58" t="s">
        <v>964</v>
      </c>
      <c r="CB419" s="21">
        <v>0</v>
      </c>
      <c r="CC419" s="21">
        <v>0</v>
      </c>
      <c r="CD419" s="21">
        <v>0</v>
      </c>
      <c r="CE419" s="21" t="str">
        <f t="shared" si="246"/>
        <v>n/a</v>
      </c>
      <c r="CF419" s="58" t="s">
        <v>13</v>
      </c>
      <c r="CG419" s="136">
        <v>0</v>
      </c>
      <c r="CH419" s="58" t="s">
        <v>1863</v>
      </c>
      <c r="CI419" s="137">
        <f>IF(Table1[[#This Row],[Check 3 Status]]="Continued", Table1[[#This Row],[Check 3 Students Summer]], 0)</f>
        <v>0</v>
      </c>
      <c r="CJ419" s="137">
        <v>0</v>
      </c>
      <c r="CK419" s="137">
        <v>0</v>
      </c>
      <c r="CL419" s="137">
        <v>0</v>
      </c>
      <c r="CM419" s="137">
        <v>0</v>
      </c>
      <c r="CN419" s="137">
        <v>0</v>
      </c>
      <c r="CO419" s="137">
        <v>0</v>
      </c>
      <c r="CP419" s="137">
        <v>0</v>
      </c>
      <c r="CQ419" s="137" t="s">
        <v>964</v>
      </c>
      <c r="CR419" s="137">
        <v>0</v>
      </c>
      <c r="CS419" s="137">
        <v>0</v>
      </c>
      <c r="CT419" s="137">
        <v>0</v>
      </c>
      <c r="CU419" s="137">
        <f t="shared" si="238"/>
        <v>0</v>
      </c>
      <c r="CV419" s="137">
        <v>0</v>
      </c>
      <c r="CW419" s="137">
        <f t="shared" si="235"/>
        <v>0</v>
      </c>
      <c r="CX419" s="58" t="s">
        <v>1863</v>
      </c>
      <c r="CY419" s="124">
        <v>0</v>
      </c>
      <c r="CZ419" s="58">
        <f>Table1[[#This Row],[Check 4 Per Student Savings]]*CY419</f>
        <v>0</v>
      </c>
      <c r="DA419" s="124">
        <v>0</v>
      </c>
      <c r="DB419" s="137">
        <f>Table1[[#This Row],[Check 4 Per Student Savings]]*DA419</f>
        <v>0</v>
      </c>
      <c r="DC419" s="21">
        <f>IF(Table1[[#This Row],[Check 4 Status]]="Continued", Table1[[#This Row],[Check 4 Students Spring]], 0)</f>
        <v>0</v>
      </c>
      <c r="DD419" s="58">
        <f>Table1[[#This Row],[Check 4 Per Student Savings]]*DC419</f>
        <v>0</v>
      </c>
      <c r="DE419" s="58">
        <f t="shared" si="236"/>
        <v>0</v>
      </c>
      <c r="DF419" s="58">
        <f t="shared" si="237"/>
        <v>0</v>
      </c>
      <c r="DG41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1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19" s="111">
        <f>Table1[[#This Row],[Grand Total Savings]]/Table1[[#This Row],[Total Award]]</f>
        <v>0</v>
      </c>
      <c r="DJ419" s="31"/>
      <c r="DK419" s="207"/>
      <c r="DM419" s="31"/>
      <c r="DN419" s="58"/>
      <c r="DO419" s="58"/>
      <c r="EC419" s="17"/>
      <c r="ED419" s="17"/>
      <c r="EF419" s="58"/>
      <c r="EG419" s="21"/>
      <c r="EH419" s="21"/>
    </row>
    <row r="420" spans="1:138" ht="16.5" thickTop="1" thickBot="1" x14ac:dyDescent="0.3">
      <c r="A420" s="133" t="s">
        <v>2019</v>
      </c>
      <c r="B420" s="138"/>
      <c r="C420" s="138"/>
      <c r="D420" s="134"/>
      <c r="E420" s="135"/>
      <c r="F420" s="135"/>
      <c r="G420" s="200" t="s">
        <v>2024</v>
      </c>
      <c r="H420" s="95" t="s">
        <v>5</v>
      </c>
      <c r="I420" s="17" t="s">
        <v>962</v>
      </c>
      <c r="J420" s="93" t="s">
        <v>132</v>
      </c>
      <c r="K420" s="58">
        <v>2800</v>
      </c>
      <c r="L420" s="58" t="s">
        <v>2086</v>
      </c>
      <c r="M420" s="17" t="s">
        <v>1448</v>
      </c>
      <c r="N420" s="17" t="s">
        <v>1449</v>
      </c>
      <c r="O420" s="93" t="s">
        <v>2003</v>
      </c>
      <c r="P420" s="17" t="s">
        <v>2082</v>
      </c>
      <c r="Q420" s="101" t="s">
        <v>177</v>
      </c>
      <c r="R420" s="101"/>
      <c r="S420" s="17" t="s">
        <v>1095</v>
      </c>
      <c r="T420" s="210"/>
      <c r="U420" s="17" t="s">
        <v>1095</v>
      </c>
      <c r="V420" s="17" t="s">
        <v>1095</v>
      </c>
      <c r="W420" s="17" t="s">
        <v>1095</v>
      </c>
      <c r="X420" s="17" t="s">
        <v>1095</v>
      </c>
      <c r="Y420" s="58" t="s">
        <v>13</v>
      </c>
      <c r="Z420" s="58" t="s">
        <v>13</v>
      </c>
      <c r="AA420" s="58" t="s">
        <v>13</v>
      </c>
      <c r="AB420" s="58" t="s">
        <v>13</v>
      </c>
      <c r="AC420" s="58" t="s">
        <v>13</v>
      </c>
      <c r="AD420" s="58" t="s">
        <v>13</v>
      </c>
      <c r="AE420" s="139" t="s">
        <v>2086</v>
      </c>
      <c r="AF420" s="58"/>
      <c r="AG420" s="58"/>
      <c r="AH420" s="58"/>
      <c r="AI420" s="58"/>
      <c r="AJ420" s="21" t="str">
        <f t="shared" si="248"/>
        <v>n/a</v>
      </c>
      <c r="AK420" s="21">
        <v>0</v>
      </c>
      <c r="AL420" s="21">
        <v>0</v>
      </c>
      <c r="AM420" s="21">
        <v>0</v>
      </c>
      <c r="AN420" s="21">
        <v>0</v>
      </c>
      <c r="AO420" s="21">
        <v>0</v>
      </c>
      <c r="AP420" s="21">
        <v>0</v>
      </c>
      <c r="AQ420" s="21">
        <v>0</v>
      </c>
      <c r="AR420" s="21">
        <v>0</v>
      </c>
      <c r="AS420" s="21">
        <v>0</v>
      </c>
      <c r="AT420" s="21">
        <v>0</v>
      </c>
      <c r="AU420" s="21">
        <v>0</v>
      </c>
      <c r="AV420" s="21">
        <v>0</v>
      </c>
      <c r="AW420" s="21">
        <v>0</v>
      </c>
      <c r="AX420" s="21">
        <v>0</v>
      </c>
      <c r="AY420" s="21">
        <v>0</v>
      </c>
      <c r="AZ420" s="21">
        <v>0</v>
      </c>
      <c r="BA420" s="21">
        <v>0</v>
      </c>
      <c r="BB420" s="21">
        <v>0</v>
      </c>
      <c r="BC420" s="21">
        <v>0</v>
      </c>
      <c r="BD420" s="21">
        <v>0</v>
      </c>
      <c r="BE420" s="21">
        <v>0</v>
      </c>
      <c r="BF420" s="21">
        <v>0</v>
      </c>
      <c r="BG420" s="21">
        <v>0</v>
      </c>
      <c r="BH420" s="21">
        <v>0</v>
      </c>
      <c r="BI420" s="21">
        <v>0</v>
      </c>
      <c r="BJ420" s="21">
        <v>0</v>
      </c>
      <c r="BK420" s="21">
        <v>0</v>
      </c>
      <c r="BL420" s="58" t="s">
        <v>964</v>
      </c>
      <c r="BM420" s="21">
        <v>0</v>
      </c>
      <c r="BN420" s="21">
        <v>0</v>
      </c>
      <c r="BO420" s="21">
        <v>0</v>
      </c>
      <c r="BP420" s="31">
        <f t="shared" si="249"/>
        <v>0</v>
      </c>
      <c r="BQ420" s="21">
        <v>0</v>
      </c>
      <c r="BR420" s="21">
        <v>0</v>
      </c>
      <c r="BS420" s="21">
        <v>0</v>
      </c>
      <c r="BT420" s="58"/>
      <c r="BU420" s="21">
        <v>0</v>
      </c>
      <c r="BV420" s="21">
        <v>0</v>
      </c>
      <c r="BW420" s="21">
        <v>0</v>
      </c>
      <c r="BX420" s="136">
        <f>Table1[[#This Row],[Summer 2018 Price Check]]*Table1[[#This Row],[Spring 2019 Students]]</f>
        <v>0</v>
      </c>
      <c r="BY420" s="31">
        <f t="shared" si="244"/>
        <v>0</v>
      </c>
      <c r="BZ420" s="58">
        <f t="shared" si="245"/>
        <v>0</v>
      </c>
      <c r="CA420" s="58" t="s">
        <v>964</v>
      </c>
      <c r="CB420" s="21">
        <v>0</v>
      </c>
      <c r="CC420" s="21">
        <v>0</v>
      </c>
      <c r="CD420" s="21">
        <v>0</v>
      </c>
      <c r="CE420" s="21" t="str">
        <f t="shared" si="246"/>
        <v>n/a</v>
      </c>
      <c r="CF420" s="58" t="s">
        <v>13</v>
      </c>
      <c r="CG420" s="136">
        <v>0</v>
      </c>
      <c r="CH420" s="58" t="s">
        <v>2086</v>
      </c>
      <c r="CI420" s="137">
        <f>IF(Table1[[#This Row],[Check 3 Status]]="Continued", Table1[[#This Row],[Check 3 Students Summer]], 0)</f>
        <v>0</v>
      </c>
      <c r="CJ420" s="137">
        <v>0</v>
      </c>
      <c r="CK420" s="137">
        <v>0</v>
      </c>
      <c r="CL420" s="137">
        <v>0</v>
      </c>
      <c r="CM420" s="137">
        <v>0</v>
      </c>
      <c r="CN420" s="137">
        <v>0</v>
      </c>
      <c r="CO420" s="137">
        <v>0</v>
      </c>
      <c r="CP420" s="137">
        <v>0</v>
      </c>
      <c r="CQ420" s="137" t="s">
        <v>964</v>
      </c>
      <c r="CR420" s="137">
        <v>0</v>
      </c>
      <c r="CS420" s="137">
        <v>0</v>
      </c>
      <c r="CT420" s="137">
        <v>0</v>
      </c>
      <c r="CU420" s="137">
        <f t="shared" si="238"/>
        <v>0</v>
      </c>
      <c r="CV420" s="137">
        <v>0</v>
      </c>
      <c r="CW420" s="137">
        <f t="shared" si="235"/>
        <v>0</v>
      </c>
      <c r="CX420" s="58" t="s">
        <v>2086</v>
      </c>
      <c r="CY420" s="124">
        <v>0</v>
      </c>
      <c r="CZ420" s="58">
        <f>Table1[[#This Row],[Check 4 Per Student Savings]]*CY420</f>
        <v>0</v>
      </c>
      <c r="DA420" s="124">
        <v>0</v>
      </c>
      <c r="DB420" s="137">
        <f>Table1[[#This Row],[Check 4 Per Student Savings]]*DA420</f>
        <v>0</v>
      </c>
      <c r="DC420" s="124">
        <v>0</v>
      </c>
      <c r="DD420" s="58">
        <f>Table1[[#This Row],[Check 4 Per Student Savings]]*DC420</f>
        <v>0</v>
      </c>
      <c r="DE420" s="58">
        <f t="shared" si="236"/>
        <v>0</v>
      </c>
      <c r="DF420" s="58">
        <f t="shared" si="237"/>
        <v>0</v>
      </c>
      <c r="DG42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2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20" s="111">
        <f>Table1[[#This Row],[Grand Total Savings]]/Table1[[#This Row],[Total Award]]</f>
        <v>0</v>
      </c>
      <c r="DJ420" s="31"/>
      <c r="DK420" s="207"/>
      <c r="DM420" s="31"/>
      <c r="DN420" s="58"/>
      <c r="DO420" s="58"/>
      <c r="EC420" s="17"/>
      <c r="ED420" s="17"/>
      <c r="EF420" s="58"/>
      <c r="EG420" s="21"/>
      <c r="EH420" s="21"/>
    </row>
    <row r="421" spans="1:138" ht="16.5" thickTop="1" thickBot="1" x14ac:dyDescent="0.3">
      <c r="A421" s="133" t="s">
        <v>2020</v>
      </c>
      <c r="B421" s="138"/>
      <c r="C421" s="138"/>
      <c r="D421" s="134"/>
      <c r="E421" s="135"/>
      <c r="F421" s="135"/>
      <c r="G421" s="200" t="s">
        <v>2024</v>
      </c>
      <c r="H421" s="95" t="s">
        <v>5</v>
      </c>
      <c r="I421" s="17" t="s">
        <v>962</v>
      </c>
      <c r="J421" s="93" t="s">
        <v>585</v>
      </c>
      <c r="K421" s="58">
        <v>4800</v>
      </c>
      <c r="L421" s="58" t="s">
        <v>1863</v>
      </c>
      <c r="M421" s="17" t="s">
        <v>1122</v>
      </c>
      <c r="N421" s="17" t="s">
        <v>1123</v>
      </c>
      <c r="O421" s="93" t="s">
        <v>1124</v>
      </c>
      <c r="P421" s="17" t="s">
        <v>1125</v>
      </c>
      <c r="Q421" s="101" t="s">
        <v>304</v>
      </c>
      <c r="R421" s="101"/>
      <c r="S421" s="17" t="s">
        <v>1095</v>
      </c>
      <c r="T421" s="210"/>
      <c r="U421" s="17" t="s">
        <v>1095</v>
      </c>
      <c r="V421" s="17" t="s">
        <v>1095</v>
      </c>
      <c r="W421" s="17" t="s">
        <v>1095</v>
      </c>
      <c r="X421" s="17" t="s">
        <v>1095</v>
      </c>
      <c r="Y421" s="58" t="s">
        <v>13</v>
      </c>
      <c r="Z421" s="58" t="s">
        <v>13</v>
      </c>
      <c r="AA421" s="58" t="s">
        <v>13</v>
      </c>
      <c r="AB421" s="58" t="s">
        <v>13</v>
      </c>
      <c r="AC421" s="58" t="s">
        <v>13</v>
      </c>
      <c r="AD421" s="58" t="s">
        <v>13</v>
      </c>
      <c r="AE421" s="139" t="s">
        <v>1863</v>
      </c>
      <c r="AF421" s="58"/>
      <c r="AG421" s="58"/>
      <c r="AH421" s="58"/>
      <c r="AI421" s="58"/>
      <c r="AJ421" s="21" t="str">
        <f t="shared" si="248"/>
        <v>n/a</v>
      </c>
      <c r="AK421" s="21">
        <v>0</v>
      </c>
      <c r="AL421" s="21">
        <v>0</v>
      </c>
      <c r="AM421" s="21">
        <v>0</v>
      </c>
      <c r="AN421" s="21">
        <v>0</v>
      </c>
      <c r="AO421" s="21">
        <v>0</v>
      </c>
      <c r="AP421" s="21">
        <v>0</v>
      </c>
      <c r="AQ421" s="21">
        <v>0</v>
      </c>
      <c r="AR421" s="21">
        <v>0</v>
      </c>
      <c r="AS421" s="21">
        <v>0</v>
      </c>
      <c r="AT421" s="21">
        <v>0</v>
      </c>
      <c r="AU421" s="21">
        <v>0</v>
      </c>
      <c r="AV421" s="21">
        <v>0</v>
      </c>
      <c r="AW421" s="21">
        <v>0</v>
      </c>
      <c r="AX421" s="21">
        <v>0</v>
      </c>
      <c r="AY421" s="21">
        <v>0</v>
      </c>
      <c r="AZ421" s="21">
        <v>0</v>
      </c>
      <c r="BA421" s="21">
        <v>0</v>
      </c>
      <c r="BB421" s="21">
        <v>0</v>
      </c>
      <c r="BC421" s="21">
        <v>0</v>
      </c>
      <c r="BD421" s="21">
        <v>0</v>
      </c>
      <c r="BE421" s="21">
        <v>0</v>
      </c>
      <c r="BF421" s="21">
        <v>0</v>
      </c>
      <c r="BG421" s="21">
        <v>0</v>
      </c>
      <c r="BH421" s="21">
        <v>0</v>
      </c>
      <c r="BI421" s="21">
        <v>0</v>
      </c>
      <c r="BJ421" s="21">
        <v>0</v>
      </c>
      <c r="BK421" s="21">
        <v>0</v>
      </c>
      <c r="BL421" s="58" t="s">
        <v>964</v>
      </c>
      <c r="BM421" s="21">
        <v>0</v>
      </c>
      <c r="BN421" s="21">
        <v>0</v>
      </c>
      <c r="BO421" s="21">
        <v>0</v>
      </c>
      <c r="BP421" s="31">
        <f t="shared" si="249"/>
        <v>0</v>
      </c>
      <c r="BQ421" s="21">
        <v>0</v>
      </c>
      <c r="BR421" s="21">
        <v>0</v>
      </c>
      <c r="BS421" s="21">
        <v>0</v>
      </c>
      <c r="BT421" s="58"/>
      <c r="BU421" s="21">
        <v>0</v>
      </c>
      <c r="BV421" s="21">
        <v>0</v>
      </c>
      <c r="BW421" s="21">
        <v>0</v>
      </c>
      <c r="BX421" s="136">
        <f>Table1[[#This Row],[Summer 2018 Price Check]]*Table1[[#This Row],[Spring 2019 Students]]</f>
        <v>0</v>
      </c>
      <c r="BY421" s="31">
        <f t="shared" si="244"/>
        <v>0</v>
      </c>
      <c r="BZ421" s="58">
        <f t="shared" si="245"/>
        <v>0</v>
      </c>
      <c r="CA421" s="58" t="s">
        <v>964</v>
      </c>
      <c r="CB421" s="21">
        <v>0</v>
      </c>
      <c r="CC421" s="21">
        <v>0</v>
      </c>
      <c r="CD421" s="21">
        <v>0</v>
      </c>
      <c r="CE421" s="21" t="str">
        <f t="shared" si="246"/>
        <v>n/a</v>
      </c>
      <c r="CF421" s="58" t="s">
        <v>13</v>
      </c>
      <c r="CG421" s="136">
        <v>0</v>
      </c>
      <c r="CH421" s="58" t="s">
        <v>1863</v>
      </c>
      <c r="CI421" s="137">
        <f>IF(Table1[[#This Row],[Check 3 Status]]="Continued", Table1[[#This Row],[Check 3 Students Summer]], 0)</f>
        <v>0</v>
      </c>
      <c r="CJ421" s="137">
        <v>0</v>
      </c>
      <c r="CK421" s="137">
        <v>0</v>
      </c>
      <c r="CL421" s="137">
        <v>0</v>
      </c>
      <c r="CM421" s="137">
        <v>0</v>
      </c>
      <c r="CN421" s="137">
        <v>0</v>
      </c>
      <c r="CO421" s="137">
        <v>0</v>
      </c>
      <c r="CP421" s="137">
        <v>0</v>
      </c>
      <c r="CQ421" s="137" t="s">
        <v>964</v>
      </c>
      <c r="CR421" s="137">
        <v>0</v>
      </c>
      <c r="CS421" s="137">
        <v>0</v>
      </c>
      <c r="CT421" s="137">
        <v>0</v>
      </c>
      <c r="CU421" s="137">
        <f t="shared" si="238"/>
        <v>0</v>
      </c>
      <c r="CV421" s="137">
        <v>0</v>
      </c>
      <c r="CW421" s="137">
        <f t="shared" si="235"/>
        <v>0</v>
      </c>
      <c r="CX421" s="58" t="s">
        <v>1863</v>
      </c>
      <c r="CY421" s="124">
        <v>0</v>
      </c>
      <c r="CZ421" s="58">
        <f>Table1[[#This Row],[Check 4 Per Student Savings]]*CY421</f>
        <v>0</v>
      </c>
      <c r="DA421" s="124">
        <v>0</v>
      </c>
      <c r="DB421" s="137">
        <f>Table1[[#This Row],[Check 4 Per Student Savings]]*DA421</f>
        <v>0</v>
      </c>
      <c r="DC421" s="21">
        <f>IF(Table1[[#This Row],[Check 4 Status]]="Continued", Table1[[#This Row],[Check 4 Students Spring]], 0)</f>
        <v>0</v>
      </c>
      <c r="DD421" s="58">
        <f>Table1[[#This Row],[Check 4 Per Student Savings]]*DC421</f>
        <v>0</v>
      </c>
      <c r="DE421" s="58">
        <f t="shared" si="236"/>
        <v>0</v>
      </c>
      <c r="DF421" s="58">
        <f t="shared" si="237"/>
        <v>0</v>
      </c>
      <c r="DG42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2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21" s="111">
        <f>Table1[[#This Row],[Grand Total Savings]]/Table1[[#This Row],[Total Award]]</f>
        <v>0</v>
      </c>
      <c r="DJ421" s="31"/>
      <c r="DK421" s="207"/>
      <c r="DM421" s="31"/>
      <c r="DN421" s="58"/>
      <c r="DO421" s="58"/>
      <c r="EC421" s="17"/>
      <c r="ED421" s="17"/>
      <c r="EF421" s="58"/>
      <c r="EG421" s="21"/>
      <c r="EH421" s="21"/>
    </row>
    <row r="422" spans="1:138" ht="16.5" thickTop="1" thickBot="1" x14ac:dyDescent="0.3">
      <c r="A422" s="133" t="s">
        <v>2021</v>
      </c>
      <c r="B422" s="138"/>
      <c r="C422" s="138"/>
      <c r="D422" s="134"/>
      <c r="E422" s="135"/>
      <c r="F422" s="135"/>
      <c r="G422" s="200" t="s">
        <v>2024</v>
      </c>
      <c r="H422" s="95" t="s">
        <v>5</v>
      </c>
      <c r="I422" s="17" t="s">
        <v>962</v>
      </c>
      <c r="J422" s="93" t="s">
        <v>276</v>
      </c>
      <c r="K422" s="58">
        <v>4000</v>
      </c>
      <c r="L422" s="58" t="s">
        <v>1863</v>
      </c>
      <c r="M422" s="17" t="s">
        <v>2038</v>
      </c>
      <c r="N422" s="17" t="s">
        <v>2053</v>
      </c>
      <c r="O422" s="93" t="s">
        <v>2063</v>
      </c>
      <c r="P422" s="17" t="s">
        <v>989</v>
      </c>
      <c r="Q422" s="101" t="s">
        <v>530</v>
      </c>
      <c r="R422" s="101"/>
      <c r="S422" s="17" t="s">
        <v>1095</v>
      </c>
      <c r="T422" s="210"/>
      <c r="U422" s="17" t="s">
        <v>1095</v>
      </c>
      <c r="V422" s="17" t="s">
        <v>1095</v>
      </c>
      <c r="W422" s="17" t="s">
        <v>1095</v>
      </c>
      <c r="X422" s="17" t="s">
        <v>1095</v>
      </c>
      <c r="Y422" s="58" t="s">
        <v>13</v>
      </c>
      <c r="Z422" s="58" t="s">
        <v>13</v>
      </c>
      <c r="AA422" s="58" t="s">
        <v>13</v>
      </c>
      <c r="AB422" s="58" t="s">
        <v>13</v>
      </c>
      <c r="AC422" s="58" t="s">
        <v>13</v>
      </c>
      <c r="AD422" s="58" t="s">
        <v>13</v>
      </c>
      <c r="AE422" s="139" t="s">
        <v>1863</v>
      </c>
      <c r="AF422" s="58"/>
      <c r="AG422" s="58"/>
      <c r="AH422" s="58"/>
      <c r="AI422" s="58"/>
      <c r="AJ422" s="21" t="str">
        <f t="shared" si="248"/>
        <v>n/a</v>
      </c>
      <c r="AK422" s="21">
        <v>0</v>
      </c>
      <c r="AL422" s="21">
        <v>0</v>
      </c>
      <c r="AM422" s="21">
        <v>0</v>
      </c>
      <c r="AN422" s="21">
        <v>0</v>
      </c>
      <c r="AO422" s="21">
        <v>0</v>
      </c>
      <c r="AP422" s="21">
        <v>0</v>
      </c>
      <c r="AQ422" s="21">
        <v>0</v>
      </c>
      <c r="AR422" s="21">
        <v>0</v>
      </c>
      <c r="AS422" s="21">
        <v>0</v>
      </c>
      <c r="AT422" s="21">
        <v>0</v>
      </c>
      <c r="AU422" s="21">
        <v>0</v>
      </c>
      <c r="AV422" s="21">
        <v>0</v>
      </c>
      <c r="AW422" s="21">
        <v>0</v>
      </c>
      <c r="AX422" s="21">
        <v>0</v>
      </c>
      <c r="AY422" s="21">
        <v>0</v>
      </c>
      <c r="AZ422" s="21">
        <v>0</v>
      </c>
      <c r="BA422" s="21">
        <v>0</v>
      </c>
      <c r="BB422" s="21">
        <v>0</v>
      </c>
      <c r="BC422" s="21">
        <v>0</v>
      </c>
      <c r="BD422" s="21">
        <v>0</v>
      </c>
      <c r="BE422" s="21">
        <v>0</v>
      </c>
      <c r="BF422" s="21">
        <v>0</v>
      </c>
      <c r="BG422" s="21">
        <v>0</v>
      </c>
      <c r="BH422" s="21">
        <v>0</v>
      </c>
      <c r="BI422" s="21">
        <v>0</v>
      </c>
      <c r="BJ422" s="21">
        <v>0</v>
      </c>
      <c r="BK422" s="21">
        <v>0</v>
      </c>
      <c r="BL422" s="58" t="s">
        <v>964</v>
      </c>
      <c r="BM422" s="21">
        <v>0</v>
      </c>
      <c r="BN422" s="21">
        <v>0</v>
      </c>
      <c r="BO422" s="21">
        <v>0</v>
      </c>
      <c r="BP422" s="31">
        <f t="shared" si="249"/>
        <v>0</v>
      </c>
      <c r="BQ422" s="21">
        <v>0</v>
      </c>
      <c r="BR422" s="21">
        <v>0</v>
      </c>
      <c r="BS422" s="21">
        <v>0</v>
      </c>
      <c r="BT422" s="58"/>
      <c r="BU422" s="21">
        <v>0</v>
      </c>
      <c r="BV422" s="21">
        <v>0</v>
      </c>
      <c r="BW422" s="21">
        <v>0</v>
      </c>
      <c r="BX422" s="136">
        <f>Table1[[#This Row],[Summer 2018 Price Check]]*Table1[[#This Row],[Spring 2019 Students]]</f>
        <v>0</v>
      </c>
      <c r="BY422" s="31">
        <f t="shared" si="244"/>
        <v>0</v>
      </c>
      <c r="BZ422" s="58">
        <f t="shared" si="245"/>
        <v>0</v>
      </c>
      <c r="CA422" s="58" t="s">
        <v>964</v>
      </c>
      <c r="CB422" s="21">
        <v>0</v>
      </c>
      <c r="CC422" s="21">
        <v>0</v>
      </c>
      <c r="CD422" s="21">
        <v>0</v>
      </c>
      <c r="CE422" s="21" t="str">
        <f t="shared" si="246"/>
        <v>n/a</v>
      </c>
      <c r="CF422" s="58" t="s">
        <v>13</v>
      </c>
      <c r="CG422" s="136">
        <v>0</v>
      </c>
      <c r="CH422" s="58" t="s">
        <v>1863</v>
      </c>
      <c r="CI422" s="137">
        <f>IF(Table1[[#This Row],[Check 3 Status]]="Continued", Table1[[#This Row],[Check 3 Students Summer]], 0)</f>
        <v>0</v>
      </c>
      <c r="CJ422" s="137">
        <v>0</v>
      </c>
      <c r="CK422" s="137">
        <v>0</v>
      </c>
      <c r="CL422" s="137">
        <v>0</v>
      </c>
      <c r="CM422" s="137">
        <v>0</v>
      </c>
      <c r="CN422" s="137">
        <v>0</v>
      </c>
      <c r="CO422" s="137">
        <v>0</v>
      </c>
      <c r="CP422" s="137">
        <v>0</v>
      </c>
      <c r="CQ422" s="137" t="s">
        <v>964</v>
      </c>
      <c r="CR422" s="137">
        <v>0</v>
      </c>
      <c r="CS422" s="137">
        <v>0</v>
      </c>
      <c r="CT422" s="137">
        <v>0</v>
      </c>
      <c r="CU422" s="137">
        <f t="shared" si="238"/>
        <v>0</v>
      </c>
      <c r="CV422" s="137">
        <v>0</v>
      </c>
      <c r="CW422" s="137">
        <f t="shared" si="235"/>
        <v>0</v>
      </c>
      <c r="CX422" s="58" t="s">
        <v>1863</v>
      </c>
      <c r="CY422" s="124">
        <v>0</v>
      </c>
      <c r="CZ422" s="58">
        <f>Table1[[#This Row],[Check 4 Per Student Savings]]*CY422</f>
        <v>0</v>
      </c>
      <c r="DA422" s="124">
        <v>0</v>
      </c>
      <c r="DB422" s="137">
        <f>Table1[[#This Row],[Check 4 Per Student Savings]]*DA422</f>
        <v>0</v>
      </c>
      <c r="DC422" s="21">
        <f>IF(Table1[[#This Row],[Check 4 Status]]="Continued", Table1[[#This Row],[Check 4 Students Spring]], 0)</f>
        <v>0</v>
      </c>
      <c r="DD422" s="58">
        <f>Table1[[#This Row],[Check 4 Per Student Savings]]*DC422</f>
        <v>0</v>
      </c>
      <c r="DE422" s="58">
        <f t="shared" si="236"/>
        <v>0</v>
      </c>
      <c r="DF422" s="58">
        <f t="shared" si="237"/>
        <v>0</v>
      </c>
      <c r="DG42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2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22" s="111">
        <f>Table1[[#This Row],[Grand Total Savings]]/Table1[[#This Row],[Total Award]]</f>
        <v>0</v>
      </c>
      <c r="DJ422" s="31"/>
      <c r="DK422" s="207"/>
      <c r="DM422" s="31"/>
      <c r="DN422" s="58"/>
      <c r="DO422" s="58"/>
      <c r="EC422" s="17"/>
      <c r="ED422" s="17"/>
      <c r="EF422" s="58"/>
      <c r="EG422" s="21"/>
      <c r="EH422" s="21"/>
    </row>
    <row r="423" spans="1:138" ht="16.5" thickTop="1" thickBot="1" x14ac:dyDescent="0.3">
      <c r="A423" s="133" t="s">
        <v>2022</v>
      </c>
      <c r="B423" s="138"/>
      <c r="C423" s="138"/>
      <c r="D423" s="134"/>
      <c r="E423" s="135"/>
      <c r="F423" s="135"/>
      <c r="G423" s="200" t="s">
        <v>2024</v>
      </c>
      <c r="H423" s="95" t="s">
        <v>5</v>
      </c>
      <c r="I423" s="17" t="s">
        <v>962</v>
      </c>
      <c r="J423" s="93" t="s">
        <v>276</v>
      </c>
      <c r="K423" s="58">
        <v>4000</v>
      </c>
      <c r="L423" s="58" t="s">
        <v>2086</v>
      </c>
      <c r="M423" s="17" t="s">
        <v>826</v>
      </c>
      <c r="N423" s="17" t="s">
        <v>827</v>
      </c>
      <c r="O423" s="93" t="s">
        <v>2064</v>
      </c>
      <c r="P423" s="17" t="s">
        <v>2083</v>
      </c>
      <c r="Q423" s="101" t="s">
        <v>714</v>
      </c>
      <c r="R423" s="101"/>
      <c r="S423" s="17" t="s">
        <v>1095</v>
      </c>
      <c r="T423" s="210"/>
      <c r="U423" s="17" t="s">
        <v>1095</v>
      </c>
      <c r="V423" s="17" t="s">
        <v>1095</v>
      </c>
      <c r="W423" s="17" t="s">
        <v>1095</v>
      </c>
      <c r="X423" s="17" t="s">
        <v>1095</v>
      </c>
      <c r="Y423" s="58" t="s">
        <v>13</v>
      </c>
      <c r="Z423" s="58" t="s">
        <v>13</v>
      </c>
      <c r="AA423" s="58" t="s">
        <v>13</v>
      </c>
      <c r="AB423" s="58" t="s">
        <v>13</v>
      </c>
      <c r="AC423" s="58" t="s">
        <v>13</v>
      </c>
      <c r="AD423" s="58" t="s">
        <v>13</v>
      </c>
      <c r="AE423" s="139" t="s">
        <v>2086</v>
      </c>
      <c r="AF423" s="58"/>
      <c r="AG423" s="58"/>
      <c r="AH423" s="58"/>
      <c r="AI423" s="58"/>
      <c r="AJ423" s="21" t="str">
        <f t="shared" si="248"/>
        <v>n/a</v>
      </c>
      <c r="AK423" s="21">
        <v>0</v>
      </c>
      <c r="AL423" s="21">
        <v>0</v>
      </c>
      <c r="AM423" s="21">
        <v>0</v>
      </c>
      <c r="AN423" s="21">
        <v>0</v>
      </c>
      <c r="AO423" s="21">
        <v>0</v>
      </c>
      <c r="AP423" s="21">
        <v>0</v>
      </c>
      <c r="AQ423" s="21">
        <v>0</v>
      </c>
      <c r="AR423" s="21">
        <v>0</v>
      </c>
      <c r="AS423" s="21">
        <v>0</v>
      </c>
      <c r="AT423" s="21">
        <v>0</v>
      </c>
      <c r="AU423" s="21">
        <v>0</v>
      </c>
      <c r="AV423" s="21">
        <v>0</v>
      </c>
      <c r="AW423" s="21">
        <v>0</v>
      </c>
      <c r="AX423" s="21">
        <v>0</v>
      </c>
      <c r="AY423" s="21">
        <v>0</v>
      </c>
      <c r="AZ423" s="21">
        <v>0</v>
      </c>
      <c r="BA423" s="21">
        <v>0</v>
      </c>
      <c r="BB423" s="21">
        <v>0</v>
      </c>
      <c r="BC423" s="21">
        <v>0</v>
      </c>
      <c r="BD423" s="21">
        <v>0</v>
      </c>
      <c r="BE423" s="21">
        <v>0</v>
      </c>
      <c r="BF423" s="21">
        <v>0</v>
      </c>
      <c r="BG423" s="21">
        <v>0</v>
      </c>
      <c r="BH423" s="21">
        <v>0</v>
      </c>
      <c r="BI423" s="21">
        <v>0</v>
      </c>
      <c r="BJ423" s="21">
        <v>0</v>
      </c>
      <c r="BK423" s="21">
        <v>0</v>
      </c>
      <c r="BL423" s="58" t="s">
        <v>964</v>
      </c>
      <c r="BM423" s="21">
        <v>0</v>
      </c>
      <c r="BN423" s="21">
        <v>0</v>
      </c>
      <c r="BO423" s="21">
        <v>0</v>
      </c>
      <c r="BP423" s="31">
        <f t="shared" si="249"/>
        <v>0</v>
      </c>
      <c r="BQ423" s="21">
        <v>0</v>
      </c>
      <c r="BR423" s="21">
        <v>0</v>
      </c>
      <c r="BS423" s="21">
        <v>0</v>
      </c>
      <c r="BT423" s="58"/>
      <c r="BU423" s="21">
        <v>0</v>
      </c>
      <c r="BV423" s="21">
        <v>0</v>
      </c>
      <c r="BW423" s="21">
        <v>0</v>
      </c>
      <c r="BX423" s="136">
        <f>Table1[[#This Row],[Summer 2018 Price Check]]*Table1[[#This Row],[Spring 2019 Students]]</f>
        <v>0</v>
      </c>
      <c r="BY423" s="31">
        <f t="shared" si="244"/>
        <v>0</v>
      </c>
      <c r="BZ423" s="58">
        <f t="shared" si="245"/>
        <v>0</v>
      </c>
      <c r="CA423" s="58" t="s">
        <v>964</v>
      </c>
      <c r="CB423" s="21">
        <v>0</v>
      </c>
      <c r="CC423" s="21">
        <v>0</v>
      </c>
      <c r="CD423" s="21">
        <v>0</v>
      </c>
      <c r="CE423" s="21" t="str">
        <f t="shared" si="246"/>
        <v>n/a</v>
      </c>
      <c r="CF423" s="58" t="s">
        <v>13</v>
      </c>
      <c r="CG423" s="136">
        <v>0</v>
      </c>
      <c r="CH423" s="58" t="s">
        <v>2086</v>
      </c>
      <c r="CI423" s="137">
        <f>IF(Table1[[#This Row],[Check 3 Status]]="Continued", Table1[[#This Row],[Check 3 Students Summer]], 0)</f>
        <v>0</v>
      </c>
      <c r="CJ423" s="137">
        <v>0</v>
      </c>
      <c r="CK423" s="137">
        <v>0</v>
      </c>
      <c r="CL423" s="137">
        <v>0</v>
      </c>
      <c r="CM423" s="137">
        <v>0</v>
      </c>
      <c r="CN423" s="137">
        <v>0</v>
      </c>
      <c r="CO423" s="137">
        <v>0</v>
      </c>
      <c r="CP423" s="137">
        <v>0</v>
      </c>
      <c r="CQ423" s="137" t="s">
        <v>964</v>
      </c>
      <c r="CR423" s="137">
        <v>0</v>
      </c>
      <c r="CS423" s="137">
        <v>0</v>
      </c>
      <c r="CT423" s="137">
        <v>0</v>
      </c>
      <c r="CU423" s="137">
        <f t="shared" si="238"/>
        <v>0</v>
      </c>
      <c r="CV423" s="137">
        <v>0</v>
      </c>
      <c r="CW423" s="137">
        <f t="shared" si="235"/>
        <v>0</v>
      </c>
      <c r="CX423" s="58" t="s">
        <v>2086</v>
      </c>
      <c r="CY423" s="124">
        <v>0</v>
      </c>
      <c r="CZ423" s="58">
        <f>Table1[[#This Row],[Check 4 Per Student Savings]]*CY423</f>
        <v>0</v>
      </c>
      <c r="DA423" s="124">
        <v>0</v>
      </c>
      <c r="DB423" s="137">
        <f>Table1[[#This Row],[Check 4 Per Student Savings]]*DA423</f>
        <v>0</v>
      </c>
      <c r="DC423" s="124">
        <v>0</v>
      </c>
      <c r="DD423" s="58">
        <f>Table1[[#This Row],[Check 4 Per Student Savings]]*DC423</f>
        <v>0</v>
      </c>
      <c r="DE423" s="58">
        <f t="shared" si="236"/>
        <v>0</v>
      </c>
      <c r="DF423" s="58">
        <f t="shared" si="237"/>
        <v>0</v>
      </c>
      <c r="DG42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2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23" s="111">
        <f>Table1[[#This Row],[Grand Total Savings]]/Table1[[#This Row],[Total Award]]</f>
        <v>0</v>
      </c>
      <c r="DJ423" s="31"/>
      <c r="DK423" s="207"/>
      <c r="DM423" s="31"/>
      <c r="DN423" s="58"/>
      <c r="DO423" s="58"/>
      <c r="EC423" s="17"/>
      <c r="ED423" s="17"/>
      <c r="EF423" s="58"/>
      <c r="EG423" s="21"/>
      <c r="EH423" s="21"/>
    </row>
    <row r="424" spans="1:138" ht="31.5" thickTop="1" thickBot="1" x14ac:dyDescent="0.3">
      <c r="A424" s="133" t="s">
        <v>2023</v>
      </c>
      <c r="B424" s="138"/>
      <c r="C424" s="138"/>
      <c r="D424" s="134"/>
      <c r="E424" s="135"/>
      <c r="F424" s="135"/>
      <c r="G424" s="200" t="s">
        <v>2024</v>
      </c>
      <c r="H424" s="95" t="s">
        <v>5</v>
      </c>
      <c r="I424" s="17" t="s">
        <v>962</v>
      </c>
      <c r="J424" s="93" t="s">
        <v>574</v>
      </c>
      <c r="K424" s="58">
        <v>4800</v>
      </c>
      <c r="L424" s="58" t="s">
        <v>1863</v>
      </c>
      <c r="M424" s="17" t="s">
        <v>2039</v>
      </c>
      <c r="N424" s="17" t="s">
        <v>2054</v>
      </c>
      <c r="O424" s="93" t="s">
        <v>2065</v>
      </c>
      <c r="P424" s="17" t="s">
        <v>2084</v>
      </c>
      <c r="Q424" s="101" t="s">
        <v>223</v>
      </c>
      <c r="R424" s="101"/>
      <c r="S424" s="17" t="s">
        <v>1095</v>
      </c>
      <c r="T424" s="210"/>
      <c r="U424" s="17" t="s">
        <v>1095</v>
      </c>
      <c r="V424" s="17" t="s">
        <v>1095</v>
      </c>
      <c r="W424" s="17" t="s">
        <v>1095</v>
      </c>
      <c r="X424" s="17" t="s">
        <v>1095</v>
      </c>
      <c r="Y424" s="58" t="s">
        <v>13</v>
      </c>
      <c r="Z424" s="58" t="s">
        <v>13</v>
      </c>
      <c r="AA424" s="58" t="s">
        <v>13</v>
      </c>
      <c r="AB424" s="58" t="s">
        <v>13</v>
      </c>
      <c r="AC424" s="58" t="s">
        <v>13</v>
      </c>
      <c r="AD424" s="58" t="s">
        <v>13</v>
      </c>
      <c r="AE424" s="139" t="s">
        <v>1863</v>
      </c>
      <c r="AF424" s="58"/>
      <c r="AG424" s="58"/>
      <c r="AH424" s="58"/>
      <c r="AI424" s="58"/>
      <c r="AJ424" s="21" t="str">
        <f t="shared" si="248"/>
        <v>n/a</v>
      </c>
      <c r="AK424" s="21">
        <v>0</v>
      </c>
      <c r="AL424" s="21">
        <v>0</v>
      </c>
      <c r="AM424" s="21">
        <v>0</v>
      </c>
      <c r="AN424" s="21">
        <v>0</v>
      </c>
      <c r="AO424" s="21">
        <v>0</v>
      </c>
      <c r="AP424" s="21">
        <v>0</v>
      </c>
      <c r="AQ424" s="21">
        <v>0</v>
      </c>
      <c r="AR424" s="21">
        <v>0</v>
      </c>
      <c r="AS424" s="21">
        <v>0</v>
      </c>
      <c r="AT424" s="21">
        <v>0</v>
      </c>
      <c r="AU424" s="21">
        <v>0</v>
      </c>
      <c r="AV424" s="21">
        <v>0</v>
      </c>
      <c r="AW424" s="21">
        <v>0</v>
      </c>
      <c r="AX424" s="21">
        <v>0</v>
      </c>
      <c r="AY424" s="21">
        <v>0</v>
      </c>
      <c r="AZ424" s="21">
        <v>0</v>
      </c>
      <c r="BA424" s="21">
        <v>0</v>
      </c>
      <c r="BB424" s="21">
        <v>0</v>
      </c>
      <c r="BC424" s="21">
        <v>0</v>
      </c>
      <c r="BD424" s="21">
        <v>0</v>
      </c>
      <c r="BE424" s="21">
        <v>0</v>
      </c>
      <c r="BF424" s="21">
        <v>0</v>
      </c>
      <c r="BG424" s="21">
        <v>0</v>
      </c>
      <c r="BH424" s="21">
        <v>0</v>
      </c>
      <c r="BI424" s="21">
        <v>0</v>
      </c>
      <c r="BJ424" s="21">
        <v>0</v>
      </c>
      <c r="BK424" s="21">
        <v>0</v>
      </c>
      <c r="BL424" s="58" t="s">
        <v>964</v>
      </c>
      <c r="BM424" s="21">
        <v>0</v>
      </c>
      <c r="BN424" s="21">
        <v>0</v>
      </c>
      <c r="BO424" s="21">
        <v>0</v>
      </c>
      <c r="BP424" s="31">
        <f t="shared" si="249"/>
        <v>0</v>
      </c>
      <c r="BQ424" s="21">
        <v>0</v>
      </c>
      <c r="BR424" s="21">
        <v>0</v>
      </c>
      <c r="BS424" s="21">
        <v>0</v>
      </c>
      <c r="BT424" s="58"/>
      <c r="BU424" s="21">
        <v>0</v>
      </c>
      <c r="BV424" s="21">
        <v>0</v>
      </c>
      <c r="BW424" s="21">
        <v>0</v>
      </c>
      <c r="BX424" s="136">
        <f>Table1[[#This Row],[Summer 2018 Price Check]]*Table1[[#This Row],[Spring 2019 Students]]</f>
        <v>0</v>
      </c>
      <c r="BY424" s="31">
        <f t="shared" si="244"/>
        <v>0</v>
      </c>
      <c r="BZ424" s="58">
        <f t="shared" si="245"/>
        <v>0</v>
      </c>
      <c r="CA424" s="58" t="s">
        <v>964</v>
      </c>
      <c r="CB424" s="21">
        <v>0</v>
      </c>
      <c r="CC424" s="21">
        <v>0</v>
      </c>
      <c r="CD424" s="21">
        <v>0</v>
      </c>
      <c r="CE424" s="21" t="str">
        <f t="shared" si="246"/>
        <v>n/a</v>
      </c>
      <c r="CF424" s="58" t="s">
        <v>13</v>
      </c>
      <c r="CG424" s="136">
        <v>0</v>
      </c>
      <c r="CH424" s="58" t="s">
        <v>1863</v>
      </c>
      <c r="CI424" s="137">
        <f>IF(Table1[[#This Row],[Check 3 Status]]="Continued", Table1[[#This Row],[Check 3 Students Summer]], 0)</f>
        <v>0</v>
      </c>
      <c r="CJ424" s="137">
        <v>0</v>
      </c>
      <c r="CK424" s="137">
        <v>0</v>
      </c>
      <c r="CL424" s="137">
        <v>0</v>
      </c>
      <c r="CM424" s="137">
        <v>0</v>
      </c>
      <c r="CN424" s="137">
        <v>0</v>
      </c>
      <c r="CO424" s="137">
        <v>0</v>
      </c>
      <c r="CP424" s="137">
        <v>0</v>
      </c>
      <c r="CQ424" s="137" t="s">
        <v>964</v>
      </c>
      <c r="CR424" s="137">
        <v>0</v>
      </c>
      <c r="CS424" s="137">
        <v>0</v>
      </c>
      <c r="CT424" s="137">
        <v>0</v>
      </c>
      <c r="CU424" s="137">
        <f t="shared" si="238"/>
        <v>0</v>
      </c>
      <c r="CV424" s="137">
        <v>0</v>
      </c>
      <c r="CW424" s="137">
        <f t="shared" si="235"/>
        <v>0</v>
      </c>
      <c r="CX424" s="58" t="s">
        <v>1863</v>
      </c>
      <c r="CY424" s="124">
        <v>0</v>
      </c>
      <c r="CZ424" s="58">
        <f>Table1[[#This Row],[Check 4 Per Student Savings]]*CY424</f>
        <v>0</v>
      </c>
      <c r="DA424" s="124">
        <v>0</v>
      </c>
      <c r="DB424" s="137">
        <f>Table1[[#This Row],[Check 4 Per Student Savings]]*DA424</f>
        <v>0</v>
      </c>
      <c r="DC424" s="21">
        <f>IF(Table1[[#This Row],[Check 4 Status]]="Continued", Table1[[#This Row],[Check 4 Students Spring]], 0)</f>
        <v>0</v>
      </c>
      <c r="DD424" s="58">
        <f>Table1[[#This Row],[Check 4 Per Student Savings]]*DC424</f>
        <v>0</v>
      </c>
      <c r="DE424" s="58">
        <f t="shared" si="236"/>
        <v>0</v>
      </c>
      <c r="DF424" s="58">
        <f t="shared" si="237"/>
        <v>0</v>
      </c>
      <c r="DG42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2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24" s="111">
        <f>Table1[[#This Row],[Grand Total Savings]]/Table1[[#This Row],[Total Award]]</f>
        <v>0</v>
      </c>
      <c r="DJ424" s="31"/>
      <c r="DK424" s="207"/>
      <c r="DM424" s="31"/>
      <c r="DN424" s="58"/>
      <c r="DO424" s="58"/>
      <c r="EC424" s="17"/>
      <c r="ED424" s="17"/>
      <c r="EF424" s="58"/>
      <c r="EG424" s="21"/>
      <c r="EH424" s="21"/>
    </row>
    <row r="425" spans="1:138" ht="16.5" thickTop="1" thickBot="1" x14ac:dyDescent="0.3">
      <c r="A425" s="1">
        <v>548</v>
      </c>
      <c r="B425" s="128"/>
      <c r="C425" s="128"/>
      <c r="D425" s="134"/>
      <c r="E425" s="135"/>
      <c r="F425" s="135"/>
      <c r="G425" s="223" t="s">
        <v>2125</v>
      </c>
      <c r="H425" s="95" t="s">
        <v>2001</v>
      </c>
      <c r="I425" s="226" t="s">
        <v>118</v>
      </c>
      <c r="J425" t="s">
        <v>172</v>
      </c>
      <c r="K425" s="11">
        <v>25346</v>
      </c>
      <c r="L425" t="s">
        <v>2180</v>
      </c>
      <c r="M425" t="s">
        <v>2126</v>
      </c>
      <c r="N425" t="s">
        <v>2127</v>
      </c>
      <c r="O425" s="101"/>
      <c r="P425" t="s">
        <v>2157</v>
      </c>
      <c r="Q425" s="101" t="s">
        <v>317</v>
      </c>
      <c r="R425" s="101"/>
      <c r="S425" s="210"/>
      <c r="T425" s="210"/>
      <c r="U425" s="210"/>
      <c r="V425" s="210"/>
      <c r="W425" s="210"/>
      <c r="X425" s="210"/>
      <c r="Y425" s="235">
        <v>150851.75</v>
      </c>
      <c r="Z425" s="10">
        <v>1035</v>
      </c>
      <c r="AA425" s="58">
        <v>145.75</v>
      </c>
      <c r="AB425" s="21"/>
      <c r="AC425" s="21"/>
      <c r="AE425" s="17" t="s">
        <v>2180</v>
      </c>
      <c r="AF425" s="58"/>
      <c r="AG425" s="58"/>
      <c r="AH425" s="58"/>
      <c r="AI425" s="58"/>
      <c r="AJ425" s="21">
        <f t="shared" ref="AJ425:AJ453" si="250">AD425</f>
        <v>0</v>
      </c>
      <c r="AK425" s="58"/>
      <c r="AL425" s="21"/>
      <c r="AM425" s="58">
        <f t="shared" ref="AM425:AM453" si="251">AK425</f>
        <v>0</v>
      </c>
      <c r="AN425" s="21">
        <f>IF(Table1[[#This Row],[Sustainability Check 1 (2017-2018) Status]]="Continued", Table1[[#This Row],[Students Per Summer]], 0)</f>
        <v>0</v>
      </c>
      <c r="AO425" s="58">
        <f t="shared" ref="AO425:AO453" si="252">$AA425*AN425</f>
        <v>0</v>
      </c>
      <c r="AP425" s="21">
        <f>IF(Table1[[#This Row],[Sustainability Check 1 (2017-2018) Status]]="Continued", Table1[[#This Row],[Students Per Fall]], 0)</f>
        <v>0</v>
      </c>
      <c r="AQ425" s="58">
        <f t="shared" ref="AQ425:AQ453" si="253">$AA425*AP425</f>
        <v>0</v>
      </c>
      <c r="AR425" s="21"/>
      <c r="AS425" s="58">
        <f t="shared" ref="AS425:AS453" si="254">$AA425*AR425</f>
        <v>0</v>
      </c>
      <c r="AT425" s="21"/>
      <c r="AU425" s="58">
        <f t="shared" ref="AU425:AU453" si="255">AO425+AQ425+AS425</f>
        <v>0</v>
      </c>
      <c r="AV425" s="21"/>
      <c r="AW425" s="58"/>
      <c r="AX425" s="31"/>
      <c r="AY425" s="58"/>
      <c r="AZ425" s="31"/>
      <c r="BA425" s="58"/>
      <c r="BB425" s="31"/>
      <c r="BC425" s="58"/>
      <c r="BD425" s="31"/>
      <c r="BE425" s="58"/>
      <c r="BF425" s="31"/>
      <c r="BG425" s="58"/>
      <c r="BH425" s="21">
        <v>0</v>
      </c>
      <c r="BI425" s="21">
        <v>0</v>
      </c>
      <c r="BJ425" s="21">
        <v>0</v>
      </c>
      <c r="BK425" s="21">
        <v>0</v>
      </c>
      <c r="BL425" s="17" t="s">
        <v>130</v>
      </c>
      <c r="BM425" s="21">
        <v>0</v>
      </c>
      <c r="BN425" s="21">
        <v>0</v>
      </c>
      <c r="BO425" s="21">
        <v>0</v>
      </c>
      <c r="BP425" s="112">
        <f t="shared" ref="BP425:BP453" si="256">SUM(BM425:BO425)</f>
        <v>0</v>
      </c>
      <c r="BQ425" s="21">
        <v>0</v>
      </c>
      <c r="BR425" s="21">
        <v>0</v>
      </c>
      <c r="BS425" s="21">
        <v>0</v>
      </c>
      <c r="BT425" s="21">
        <v>0</v>
      </c>
      <c r="BU425" s="21">
        <v>0</v>
      </c>
      <c r="BV425" s="21">
        <v>0</v>
      </c>
      <c r="BW425" s="21">
        <v>0</v>
      </c>
      <c r="BX425" s="136">
        <f>Table1[[#This Row],[Summer 2018 Price Check]]*Table1[[#This Row],[Spring 2019 Students]]</f>
        <v>0</v>
      </c>
      <c r="BY425" s="31">
        <f t="shared" ref="BY425:BY453" si="257">BS425+BU425+BW425</f>
        <v>0</v>
      </c>
      <c r="BZ425" s="58">
        <f t="shared" ref="BZ425:BZ453" si="258">BT425+BV425+BX425</f>
        <v>0</v>
      </c>
      <c r="CA425" s="17" t="s">
        <v>130</v>
      </c>
      <c r="CB425" s="21">
        <v>0</v>
      </c>
      <c r="CC425" s="21">
        <v>0</v>
      </c>
      <c r="CD425" s="21">
        <v>0</v>
      </c>
      <c r="CE425" s="21">
        <v>0</v>
      </c>
      <c r="CF425" s="21">
        <v>0</v>
      </c>
      <c r="CG425" s="21">
        <v>0</v>
      </c>
      <c r="CH425" t="s">
        <v>2180</v>
      </c>
      <c r="CI425" s="137">
        <f>IF(Table1[[#This Row],[Check 3 Status]]="Continued", Table1[[#This Row],[Check 3 Students Summer]], 0)</f>
        <v>0</v>
      </c>
      <c r="CJ425" s="136">
        <f>Table1[[#This Row],[Check 3 Per Student Savings]]*CI425</f>
        <v>0</v>
      </c>
      <c r="CK425" s="137">
        <f>IF(Table1[[#This Row],[Check 3 Status]]="Continued", Table1[[#This Row],[Check 3 Students Fall]], 0)</f>
        <v>0</v>
      </c>
      <c r="CL425" s="136">
        <f>Table1[[#This Row],[Check 3 Per Student Savings]]*CK425</f>
        <v>0</v>
      </c>
      <c r="CM425" s="124">
        <f>IF(Table1[[#This Row],[Check 3 Status]]="Continued", Table1[[#This Row],[Check 3 Students Spring]], 0)</f>
        <v>0</v>
      </c>
      <c r="CN425" s="123">
        <f>Table1[[#This Row],[Check 3 Per Student Savings]]*CM425</f>
        <v>0</v>
      </c>
      <c r="CO425" s="124">
        <f t="shared" ref="CO425:CO453" si="259">CI425+CK425+CM425</f>
        <v>0</v>
      </c>
      <c r="CP425" s="123">
        <f t="shared" ref="CP425:CP453" si="260">CJ425+CL425+CN425</f>
        <v>0</v>
      </c>
      <c r="CQ425" s="123" t="s">
        <v>130</v>
      </c>
      <c r="CR425" s="124">
        <v>0</v>
      </c>
      <c r="CS425" s="124">
        <v>0</v>
      </c>
      <c r="CT425" s="124">
        <v>0</v>
      </c>
      <c r="CU425" s="124">
        <f t="shared" si="238"/>
        <v>0</v>
      </c>
      <c r="CV425" s="9">
        <v>145.75</v>
      </c>
      <c r="CW425" s="123">
        <f t="shared" si="235"/>
        <v>0</v>
      </c>
      <c r="CX425" t="s">
        <v>2180</v>
      </c>
      <c r="CY425" s="124">
        <v>0</v>
      </c>
      <c r="CZ425" s="58">
        <f>Table1[[#This Row],[Check 4 Per Student Savings]]*CY425</f>
        <v>0</v>
      </c>
      <c r="DA425" s="124">
        <v>0</v>
      </c>
      <c r="DB425" s="123">
        <f>Table1[[#This Row],[Check 4 Per Student Savings]]*DA425</f>
        <v>0</v>
      </c>
      <c r="DC425" s="124">
        <v>0</v>
      </c>
      <c r="DD425" s="58">
        <f>Table1[[#This Row],[Check 4 Per Student Savings]]*DC425</f>
        <v>0</v>
      </c>
      <c r="DE425" s="58">
        <f t="shared" si="236"/>
        <v>0</v>
      </c>
      <c r="DF425" s="58">
        <f t="shared" si="237"/>
        <v>0</v>
      </c>
      <c r="DG42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2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25" s="111">
        <f>Table1[[#This Row],[Grand Total Savings]]/Table1[[#This Row],[Total Award]]</f>
        <v>0</v>
      </c>
      <c r="DJ425" s="31"/>
      <c r="DK425" s="207"/>
      <c r="DM425" s="31"/>
      <c r="DN425" s="58"/>
      <c r="DO425" s="58"/>
      <c r="EC425" s="17"/>
      <c r="ED425" s="17"/>
      <c r="EF425" s="58"/>
      <c r="EG425" s="21"/>
      <c r="EH425" s="21"/>
    </row>
    <row r="426" spans="1:138" ht="16.5" thickTop="1" thickBot="1" x14ac:dyDescent="0.3">
      <c r="A426" s="1">
        <v>549</v>
      </c>
      <c r="B426" s="138"/>
      <c r="C426" s="138"/>
      <c r="D426" s="134"/>
      <c r="E426" s="135"/>
      <c r="F426" s="135"/>
      <c r="G426" s="223" t="s">
        <v>2125</v>
      </c>
      <c r="H426" s="95" t="s">
        <v>2001</v>
      </c>
      <c r="I426" s="226" t="s">
        <v>118</v>
      </c>
      <c r="J426" t="s">
        <v>132</v>
      </c>
      <c r="K426" s="11">
        <v>24000</v>
      </c>
      <c r="L426" t="s">
        <v>2180</v>
      </c>
      <c r="M426" t="s">
        <v>990</v>
      </c>
      <c r="N426" t="s">
        <v>991</v>
      </c>
      <c r="O426" s="101"/>
      <c r="P426" t="s">
        <v>2159</v>
      </c>
      <c r="Q426" s="101" t="s">
        <v>177</v>
      </c>
      <c r="R426" s="101"/>
      <c r="S426" s="210"/>
      <c r="T426" s="210"/>
      <c r="U426" s="210"/>
      <c r="V426" s="210"/>
      <c r="W426" s="210"/>
      <c r="X426" s="210"/>
      <c r="Y426" s="235">
        <v>47286.6</v>
      </c>
      <c r="Z426" s="10">
        <v>268</v>
      </c>
      <c r="AA426" s="58">
        <v>149.94999999999999</v>
      </c>
      <c r="AB426" s="21"/>
      <c r="AC426" s="21"/>
      <c r="AE426" s="17" t="s">
        <v>2180</v>
      </c>
      <c r="AF426" s="58"/>
      <c r="AG426" s="58"/>
      <c r="AH426" s="58"/>
      <c r="AI426" s="58"/>
      <c r="AJ426" s="21">
        <f t="shared" si="250"/>
        <v>0</v>
      </c>
      <c r="AK426" s="58"/>
      <c r="AL426" s="21"/>
      <c r="AM426" s="58">
        <f t="shared" si="251"/>
        <v>0</v>
      </c>
      <c r="AN426" s="21">
        <f>IF(Table1[[#This Row],[Sustainability Check 1 (2017-2018) Status]]="Continued", Table1[[#This Row],[Students Per Summer]], 0)</f>
        <v>0</v>
      </c>
      <c r="AO426" s="58">
        <f t="shared" si="252"/>
        <v>0</v>
      </c>
      <c r="AP426" s="21">
        <f>IF(Table1[[#This Row],[Sustainability Check 1 (2017-2018) Status]]="Continued", Table1[[#This Row],[Students Per Fall]], 0)</f>
        <v>0</v>
      </c>
      <c r="AQ426" s="58">
        <f t="shared" si="253"/>
        <v>0</v>
      </c>
      <c r="AR426" s="21"/>
      <c r="AS426" s="58">
        <f t="shared" si="254"/>
        <v>0</v>
      </c>
      <c r="AT426" s="21"/>
      <c r="AU426" s="58">
        <f t="shared" si="255"/>
        <v>0</v>
      </c>
      <c r="AV426" s="21"/>
      <c r="AW426" s="58"/>
      <c r="AX426" s="31"/>
      <c r="AY426" s="58"/>
      <c r="AZ426" s="31"/>
      <c r="BA426" s="58"/>
      <c r="BB426" s="31"/>
      <c r="BC426" s="58"/>
      <c r="BD426" s="31"/>
      <c r="BE426" s="58"/>
      <c r="BF426" s="31"/>
      <c r="BG426" s="58"/>
      <c r="BH426" s="21">
        <v>0</v>
      </c>
      <c r="BI426" s="21">
        <v>0</v>
      </c>
      <c r="BJ426" s="21">
        <v>0</v>
      </c>
      <c r="BK426" s="21">
        <v>0</v>
      </c>
      <c r="BL426" s="17" t="s">
        <v>130</v>
      </c>
      <c r="BM426" s="21">
        <v>0</v>
      </c>
      <c r="BN426" s="21">
        <v>0</v>
      </c>
      <c r="BO426" s="21">
        <v>0</v>
      </c>
      <c r="BP426" s="31">
        <f t="shared" si="256"/>
        <v>0</v>
      </c>
      <c r="BQ426" s="21">
        <v>0</v>
      </c>
      <c r="BR426" s="21">
        <v>0</v>
      </c>
      <c r="BS426" s="21">
        <v>0</v>
      </c>
      <c r="BT426" s="21">
        <v>0</v>
      </c>
      <c r="BU426" s="21">
        <v>0</v>
      </c>
      <c r="BV426" s="21">
        <v>0</v>
      </c>
      <c r="BW426" s="21">
        <v>0</v>
      </c>
      <c r="BX426" s="136">
        <f>Table1[[#This Row],[Summer 2018 Price Check]]*Table1[[#This Row],[Spring 2019 Students]]</f>
        <v>0</v>
      </c>
      <c r="BY426" s="31">
        <f t="shared" si="257"/>
        <v>0</v>
      </c>
      <c r="BZ426" s="58">
        <f t="shared" si="258"/>
        <v>0</v>
      </c>
      <c r="CA426" s="17" t="s">
        <v>130</v>
      </c>
      <c r="CB426" s="21">
        <v>0</v>
      </c>
      <c r="CC426" s="21">
        <v>0</v>
      </c>
      <c r="CD426" s="21">
        <v>0</v>
      </c>
      <c r="CE426" s="21">
        <v>0</v>
      </c>
      <c r="CF426" s="21">
        <v>0</v>
      </c>
      <c r="CG426" s="21">
        <v>0</v>
      </c>
      <c r="CH426" t="s">
        <v>2180</v>
      </c>
      <c r="CI426" s="137">
        <f>IF(Table1[[#This Row],[Check 3 Status]]="Continued", Table1[[#This Row],[Check 3 Students Summer]], 0)</f>
        <v>0</v>
      </c>
      <c r="CJ426" s="136">
        <f>Table1[[#This Row],[Check 3 Per Student Savings]]*CI426</f>
        <v>0</v>
      </c>
      <c r="CK426" s="137">
        <f>IF(Table1[[#This Row],[Check 3 Status]]="Continued", Table1[[#This Row],[Check 3 Students Fall]], 0)</f>
        <v>0</v>
      </c>
      <c r="CL426" s="136">
        <f>Table1[[#This Row],[Check 3 Per Student Savings]]*CK426</f>
        <v>0</v>
      </c>
      <c r="CM426" s="124">
        <f>IF(Table1[[#This Row],[Check 3 Status]]="Continued", Table1[[#This Row],[Check 3 Students Spring]], 0)</f>
        <v>0</v>
      </c>
      <c r="CN426" s="123">
        <f>Table1[[#This Row],[Check 3 Per Student Savings]]*CM426</f>
        <v>0</v>
      </c>
      <c r="CO426" s="124">
        <f t="shared" si="259"/>
        <v>0</v>
      </c>
      <c r="CP426" s="123">
        <f t="shared" si="260"/>
        <v>0</v>
      </c>
      <c r="CQ426" s="123" t="s">
        <v>130</v>
      </c>
      <c r="CR426" s="124">
        <v>0</v>
      </c>
      <c r="CS426" s="124">
        <v>0</v>
      </c>
      <c r="CT426" s="124">
        <v>0</v>
      </c>
      <c r="CU426" s="124">
        <f t="shared" si="238"/>
        <v>0</v>
      </c>
      <c r="CV426" s="9">
        <v>199.95</v>
      </c>
      <c r="CW426" s="123">
        <f t="shared" si="235"/>
        <v>0</v>
      </c>
      <c r="CX426" t="s">
        <v>2180</v>
      </c>
      <c r="CY426" s="124">
        <v>0</v>
      </c>
      <c r="CZ426" s="58">
        <f>Table1[[#This Row],[Check 4 Per Student Savings]]*CY426</f>
        <v>0</v>
      </c>
      <c r="DA426" s="124">
        <v>0</v>
      </c>
      <c r="DB426" s="123">
        <f>Table1[[#This Row],[Check 4 Per Student Savings]]*DA426</f>
        <v>0</v>
      </c>
      <c r="DC426" s="124">
        <v>0</v>
      </c>
      <c r="DD426" s="58">
        <f>Table1[[#This Row],[Check 4 Per Student Savings]]*DC426</f>
        <v>0</v>
      </c>
      <c r="DE426" s="58">
        <f t="shared" si="236"/>
        <v>0</v>
      </c>
      <c r="DF426" s="58">
        <f t="shared" si="237"/>
        <v>0</v>
      </c>
      <c r="DG42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2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26" s="111">
        <f>Table1[[#This Row],[Grand Total Savings]]/Table1[[#This Row],[Total Award]]</f>
        <v>0</v>
      </c>
      <c r="DJ426" s="207"/>
      <c r="DK426" s="58"/>
      <c r="DL426" s="31"/>
      <c r="DN426" s="58"/>
      <c r="EC426" s="17"/>
      <c r="ED426" s="21"/>
      <c r="EE426" s="58"/>
      <c r="EG426" s="21"/>
    </row>
    <row r="427" spans="1:138" ht="16.5" thickTop="1" thickBot="1" x14ac:dyDescent="0.3">
      <c r="A427" s="1">
        <v>551</v>
      </c>
      <c r="B427" s="138"/>
      <c r="C427" s="138"/>
      <c r="D427" s="134"/>
      <c r="E427" s="135"/>
      <c r="F427" s="135"/>
      <c r="G427" s="223" t="s">
        <v>2125</v>
      </c>
      <c r="H427" s="95" t="s">
        <v>2001</v>
      </c>
      <c r="I427" s="226" t="s">
        <v>118</v>
      </c>
      <c r="J427" t="s">
        <v>276</v>
      </c>
      <c r="K427" s="11">
        <v>11000</v>
      </c>
      <c r="L427" t="s">
        <v>2180</v>
      </c>
      <c r="M427" t="s">
        <v>763</v>
      </c>
      <c r="N427" t="s">
        <v>764</v>
      </c>
      <c r="O427" s="101"/>
      <c r="P427" t="s">
        <v>2158</v>
      </c>
      <c r="Q427" s="101" t="s">
        <v>317</v>
      </c>
      <c r="R427" s="101"/>
      <c r="S427" s="210"/>
      <c r="T427" s="210"/>
      <c r="U427" s="210"/>
      <c r="V427" s="210"/>
      <c r="W427" s="210"/>
      <c r="X427" s="210"/>
      <c r="Y427" s="235">
        <v>14190</v>
      </c>
      <c r="Z427" s="10">
        <v>110</v>
      </c>
      <c r="AA427" s="58">
        <v>129</v>
      </c>
      <c r="AB427" s="21"/>
      <c r="AC427" s="21"/>
      <c r="AE427" s="17" t="s">
        <v>2180</v>
      </c>
      <c r="AF427" s="58"/>
      <c r="AG427" s="58"/>
      <c r="AH427" s="58"/>
      <c r="AI427" s="58"/>
      <c r="AJ427" s="21">
        <f t="shared" si="250"/>
        <v>0</v>
      </c>
      <c r="AK427" s="58"/>
      <c r="AL427" s="21"/>
      <c r="AM427" s="58">
        <f t="shared" si="251"/>
        <v>0</v>
      </c>
      <c r="AN427" s="21">
        <f>IF(Table1[[#This Row],[Sustainability Check 1 (2017-2018) Status]]="Continued", Table1[[#This Row],[Students Per Summer]], 0)</f>
        <v>0</v>
      </c>
      <c r="AO427" s="58">
        <f t="shared" si="252"/>
        <v>0</v>
      </c>
      <c r="AP427" s="21">
        <f>IF(Table1[[#This Row],[Sustainability Check 1 (2017-2018) Status]]="Continued", Table1[[#This Row],[Students Per Fall]], 0)</f>
        <v>0</v>
      </c>
      <c r="AQ427" s="58">
        <f t="shared" si="253"/>
        <v>0</v>
      </c>
      <c r="AR427" s="21"/>
      <c r="AS427" s="58">
        <f t="shared" si="254"/>
        <v>0</v>
      </c>
      <c r="AT427" s="21"/>
      <c r="AU427" s="58">
        <f t="shared" si="255"/>
        <v>0</v>
      </c>
      <c r="AV427" s="21"/>
      <c r="AW427" s="58"/>
      <c r="AX427" s="31"/>
      <c r="AY427" s="58"/>
      <c r="AZ427" s="31"/>
      <c r="BA427" s="58"/>
      <c r="BB427" s="31"/>
      <c r="BC427" s="58"/>
      <c r="BD427" s="31"/>
      <c r="BE427" s="58"/>
      <c r="BF427" s="31"/>
      <c r="BG427" s="58"/>
      <c r="BH427" s="21">
        <v>0</v>
      </c>
      <c r="BI427" s="21">
        <v>0</v>
      </c>
      <c r="BJ427" s="21">
        <v>0</v>
      </c>
      <c r="BK427" s="21">
        <v>0</v>
      </c>
      <c r="BL427" s="17" t="s">
        <v>130</v>
      </c>
      <c r="BM427" s="21">
        <v>0</v>
      </c>
      <c r="BN427" s="21">
        <v>0</v>
      </c>
      <c r="BO427" s="21">
        <v>0</v>
      </c>
      <c r="BP427" s="31">
        <f t="shared" si="256"/>
        <v>0</v>
      </c>
      <c r="BQ427" s="21">
        <v>0</v>
      </c>
      <c r="BR427" s="21">
        <v>0</v>
      </c>
      <c r="BS427" s="21">
        <v>0</v>
      </c>
      <c r="BT427" s="21">
        <v>0</v>
      </c>
      <c r="BU427" s="21">
        <v>0</v>
      </c>
      <c r="BV427" s="21">
        <v>0</v>
      </c>
      <c r="BW427" s="21">
        <v>0</v>
      </c>
      <c r="BX427" s="136">
        <f>Table1[[#This Row],[Summer 2018 Price Check]]*Table1[[#This Row],[Spring 2019 Students]]</f>
        <v>0</v>
      </c>
      <c r="BY427" s="31">
        <f t="shared" si="257"/>
        <v>0</v>
      </c>
      <c r="BZ427" s="58">
        <f t="shared" si="258"/>
        <v>0</v>
      </c>
      <c r="CA427" s="17" t="s">
        <v>130</v>
      </c>
      <c r="CB427" s="21">
        <v>0</v>
      </c>
      <c r="CC427" s="21">
        <v>0</v>
      </c>
      <c r="CD427" s="21">
        <v>0</v>
      </c>
      <c r="CE427" s="21">
        <v>0</v>
      </c>
      <c r="CF427" s="21">
        <v>0</v>
      </c>
      <c r="CG427" s="21">
        <v>0</v>
      </c>
      <c r="CH427" t="s">
        <v>2180</v>
      </c>
      <c r="CI427" s="137">
        <f>IF(Table1[[#This Row],[Check 3 Status]]="Continued", Table1[[#This Row],[Check 3 Students Summer]], 0)</f>
        <v>0</v>
      </c>
      <c r="CJ427" s="136">
        <f>Table1[[#This Row],[Check 3 Per Student Savings]]*CI427</f>
        <v>0</v>
      </c>
      <c r="CK427" s="137">
        <f>IF(Table1[[#This Row],[Check 3 Status]]="Continued", Table1[[#This Row],[Check 3 Students Fall]], 0)</f>
        <v>0</v>
      </c>
      <c r="CL427" s="136">
        <f>Table1[[#This Row],[Check 3 Per Student Savings]]*CK427</f>
        <v>0</v>
      </c>
      <c r="CM427" s="124">
        <f>IF(Table1[[#This Row],[Check 3 Status]]="Continued", Table1[[#This Row],[Check 3 Students Spring]], 0)</f>
        <v>0</v>
      </c>
      <c r="CN427" s="123">
        <f>Table1[[#This Row],[Check 3 Per Student Savings]]*CM427</f>
        <v>0</v>
      </c>
      <c r="CO427" s="124">
        <f t="shared" si="259"/>
        <v>0</v>
      </c>
      <c r="CP427" s="123">
        <f t="shared" si="260"/>
        <v>0</v>
      </c>
      <c r="CQ427" s="123" t="s">
        <v>130</v>
      </c>
      <c r="CR427" s="124">
        <v>0</v>
      </c>
      <c r="CS427" s="124">
        <v>0</v>
      </c>
      <c r="CT427" s="124">
        <v>0</v>
      </c>
      <c r="CU427" s="124">
        <f t="shared" si="238"/>
        <v>0</v>
      </c>
      <c r="CV427" s="9">
        <v>129</v>
      </c>
      <c r="CW427" s="123">
        <f t="shared" si="235"/>
        <v>0</v>
      </c>
      <c r="CX427" t="s">
        <v>2180</v>
      </c>
      <c r="CY427" s="124">
        <v>0</v>
      </c>
      <c r="CZ427" s="58">
        <f>Table1[[#This Row],[Check 4 Per Student Savings]]*CY427</f>
        <v>0</v>
      </c>
      <c r="DA427" s="124">
        <v>0</v>
      </c>
      <c r="DB427" s="123">
        <f>Table1[[#This Row],[Check 4 Per Student Savings]]*DA427</f>
        <v>0</v>
      </c>
      <c r="DC427" s="124">
        <v>0</v>
      </c>
      <c r="DD427" s="58">
        <f>Table1[[#This Row],[Check 4 Per Student Savings]]*DC427</f>
        <v>0</v>
      </c>
      <c r="DE427" s="58">
        <f t="shared" si="236"/>
        <v>0</v>
      </c>
      <c r="DF427" s="58">
        <f t="shared" si="237"/>
        <v>0</v>
      </c>
      <c r="DG42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2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27" s="111">
        <f>Table1[[#This Row],[Grand Total Savings]]/Table1[[#This Row],[Total Award]]</f>
        <v>0</v>
      </c>
      <c r="DJ427" s="207"/>
      <c r="DK427" s="58"/>
      <c r="DL427" s="31"/>
      <c r="DN427" s="58"/>
      <c r="EC427" s="17"/>
      <c r="ED427" s="21"/>
      <c r="EE427" s="58"/>
      <c r="EG427" s="21"/>
    </row>
    <row r="428" spans="1:138" ht="16.5" thickTop="1" thickBot="1" x14ac:dyDescent="0.3">
      <c r="A428" s="1">
        <v>552</v>
      </c>
      <c r="B428" s="138"/>
      <c r="C428" s="138"/>
      <c r="D428" s="134"/>
      <c r="E428" s="135"/>
      <c r="F428" s="135"/>
      <c r="G428" s="223" t="s">
        <v>2125</v>
      </c>
      <c r="H428" s="95" t="s">
        <v>2001</v>
      </c>
      <c r="I428" s="226" t="s">
        <v>118</v>
      </c>
      <c r="J428" t="s">
        <v>585</v>
      </c>
      <c r="K428" s="11">
        <v>7000</v>
      </c>
      <c r="L428" t="s">
        <v>2180</v>
      </c>
      <c r="M428" t="s">
        <v>2128</v>
      </c>
      <c r="N428" t="s">
        <v>2129</v>
      </c>
      <c r="O428" s="101"/>
      <c r="P428" t="s">
        <v>2160</v>
      </c>
      <c r="Q428" s="101" t="s">
        <v>317</v>
      </c>
      <c r="R428" s="101"/>
      <c r="S428" s="210"/>
      <c r="T428" s="210"/>
      <c r="U428" s="210"/>
      <c r="V428" s="210"/>
      <c r="W428" s="210"/>
      <c r="X428" s="210"/>
      <c r="Y428" s="235">
        <v>60652.81</v>
      </c>
      <c r="Z428" s="10">
        <v>238.8</v>
      </c>
      <c r="AA428" s="58">
        <v>253.99</v>
      </c>
      <c r="AB428" s="21"/>
      <c r="AC428" s="21"/>
      <c r="AE428" s="17" t="s">
        <v>2180</v>
      </c>
      <c r="AF428" s="58"/>
      <c r="AG428" s="58"/>
      <c r="AH428" s="58"/>
      <c r="AI428" s="58"/>
      <c r="AJ428" s="21">
        <f t="shared" si="250"/>
        <v>0</v>
      </c>
      <c r="AK428" s="58"/>
      <c r="AL428" s="21"/>
      <c r="AM428" s="58">
        <f t="shared" si="251"/>
        <v>0</v>
      </c>
      <c r="AN428" s="21">
        <f>IF(Table1[[#This Row],[Sustainability Check 1 (2017-2018) Status]]="Continued", Table1[[#This Row],[Students Per Summer]], 0)</f>
        <v>0</v>
      </c>
      <c r="AO428" s="58">
        <f t="shared" si="252"/>
        <v>0</v>
      </c>
      <c r="AP428" s="21">
        <f>IF(Table1[[#This Row],[Sustainability Check 1 (2017-2018) Status]]="Continued", Table1[[#This Row],[Students Per Fall]], 0)</f>
        <v>0</v>
      </c>
      <c r="AQ428" s="58">
        <f t="shared" si="253"/>
        <v>0</v>
      </c>
      <c r="AR428" s="21"/>
      <c r="AS428" s="58">
        <f t="shared" si="254"/>
        <v>0</v>
      </c>
      <c r="AT428" s="21"/>
      <c r="AU428" s="58">
        <f t="shared" si="255"/>
        <v>0</v>
      </c>
      <c r="AV428" s="21"/>
      <c r="AW428" s="58"/>
      <c r="AX428" s="31"/>
      <c r="AY428" s="58"/>
      <c r="AZ428" s="31"/>
      <c r="BA428" s="58"/>
      <c r="BB428" s="31"/>
      <c r="BC428" s="58"/>
      <c r="BD428" s="31"/>
      <c r="BE428" s="58"/>
      <c r="BF428" s="31"/>
      <c r="BG428" s="58"/>
      <c r="BH428" s="21">
        <v>0</v>
      </c>
      <c r="BI428" s="21">
        <v>0</v>
      </c>
      <c r="BJ428" s="21">
        <v>0</v>
      </c>
      <c r="BK428" s="21">
        <v>0</v>
      </c>
      <c r="BL428" s="17" t="s">
        <v>130</v>
      </c>
      <c r="BM428" s="21">
        <v>0</v>
      </c>
      <c r="BN428" s="21">
        <v>0</v>
      </c>
      <c r="BO428" s="21">
        <v>0</v>
      </c>
      <c r="BP428" s="31">
        <f t="shared" si="256"/>
        <v>0</v>
      </c>
      <c r="BQ428" s="21">
        <v>0</v>
      </c>
      <c r="BR428" s="21">
        <v>0</v>
      </c>
      <c r="BS428" s="21">
        <v>0</v>
      </c>
      <c r="BT428" s="21">
        <v>0</v>
      </c>
      <c r="BU428" s="21">
        <v>0</v>
      </c>
      <c r="BV428" s="21">
        <v>0</v>
      </c>
      <c r="BW428" s="21">
        <v>0</v>
      </c>
      <c r="BX428" s="136">
        <f>Table1[[#This Row],[Summer 2018 Price Check]]*Table1[[#This Row],[Spring 2019 Students]]</f>
        <v>0</v>
      </c>
      <c r="BY428" s="31">
        <f t="shared" si="257"/>
        <v>0</v>
      </c>
      <c r="BZ428" s="58">
        <f t="shared" si="258"/>
        <v>0</v>
      </c>
      <c r="CA428" s="17" t="s">
        <v>130</v>
      </c>
      <c r="CB428" s="21">
        <v>0</v>
      </c>
      <c r="CC428" s="21">
        <v>0</v>
      </c>
      <c r="CD428" s="21">
        <v>0</v>
      </c>
      <c r="CE428" s="21">
        <v>0</v>
      </c>
      <c r="CF428" s="21">
        <v>0</v>
      </c>
      <c r="CG428" s="21">
        <v>0</v>
      </c>
      <c r="CH428" t="s">
        <v>2180</v>
      </c>
      <c r="CI428" s="137">
        <f>IF(Table1[[#This Row],[Check 3 Status]]="Continued", Table1[[#This Row],[Check 3 Students Summer]], 0)</f>
        <v>0</v>
      </c>
      <c r="CJ428" s="136">
        <f>Table1[[#This Row],[Check 3 Per Student Savings]]*CI428</f>
        <v>0</v>
      </c>
      <c r="CK428" s="137">
        <f>IF(Table1[[#This Row],[Check 3 Status]]="Continued", Table1[[#This Row],[Check 3 Students Fall]], 0)</f>
        <v>0</v>
      </c>
      <c r="CL428" s="136">
        <f>Table1[[#This Row],[Check 3 Per Student Savings]]*CK428</f>
        <v>0</v>
      </c>
      <c r="CM428" s="124">
        <f>IF(Table1[[#This Row],[Check 3 Status]]="Continued", Table1[[#This Row],[Check 3 Students Spring]], 0)</f>
        <v>0</v>
      </c>
      <c r="CN428" s="123">
        <f>Table1[[#This Row],[Check 3 Per Student Savings]]*CM428</f>
        <v>0</v>
      </c>
      <c r="CO428" s="124">
        <f t="shared" si="259"/>
        <v>0</v>
      </c>
      <c r="CP428" s="123">
        <f t="shared" si="260"/>
        <v>0</v>
      </c>
      <c r="CQ428" s="123" t="s">
        <v>130</v>
      </c>
      <c r="CR428" s="124">
        <v>0</v>
      </c>
      <c r="CS428" s="124">
        <v>0</v>
      </c>
      <c r="CT428" s="124">
        <v>0</v>
      </c>
      <c r="CU428" s="124">
        <f t="shared" si="238"/>
        <v>0</v>
      </c>
      <c r="CV428" s="9">
        <v>253.99</v>
      </c>
      <c r="CW428" s="123">
        <f t="shared" si="235"/>
        <v>0</v>
      </c>
      <c r="CX428" t="s">
        <v>2180</v>
      </c>
      <c r="CY428" s="124">
        <v>0</v>
      </c>
      <c r="CZ428" s="58">
        <f>Table1[[#This Row],[Check 4 Per Student Savings]]*CY428</f>
        <v>0</v>
      </c>
      <c r="DA428" s="124">
        <v>0</v>
      </c>
      <c r="DB428" s="123">
        <f>Table1[[#This Row],[Check 4 Per Student Savings]]*DA428</f>
        <v>0</v>
      </c>
      <c r="DC428" s="124">
        <v>0</v>
      </c>
      <c r="DD428" s="58">
        <f>Table1[[#This Row],[Check 4 Per Student Savings]]*DC428</f>
        <v>0</v>
      </c>
      <c r="DE428" s="58">
        <f t="shared" si="236"/>
        <v>0</v>
      </c>
      <c r="DF428" s="58">
        <f t="shared" si="237"/>
        <v>0</v>
      </c>
      <c r="DG42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2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28" s="111">
        <f>Table1[[#This Row],[Grand Total Savings]]/Table1[[#This Row],[Total Award]]</f>
        <v>0</v>
      </c>
      <c r="DJ428" s="207"/>
      <c r="DK428" s="58"/>
      <c r="DL428" s="31"/>
      <c r="DN428" s="58"/>
      <c r="EC428" s="17"/>
      <c r="ED428" s="21"/>
      <c r="EE428" s="58"/>
      <c r="EG428" s="21"/>
    </row>
    <row r="429" spans="1:138" ht="16.5" thickTop="1" thickBot="1" x14ac:dyDescent="0.3">
      <c r="A429" s="1">
        <v>553</v>
      </c>
      <c r="B429" s="138"/>
      <c r="C429" s="138"/>
      <c r="D429" s="134"/>
      <c r="E429" s="135"/>
      <c r="F429" s="135"/>
      <c r="G429" s="223" t="s">
        <v>2125</v>
      </c>
      <c r="H429" s="95" t="s">
        <v>2001</v>
      </c>
      <c r="I429" s="226" t="s">
        <v>118</v>
      </c>
      <c r="J429" t="s">
        <v>210</v>
      </c>
      <c r="K429" s="11">
        <v>25500</v>
      </c>
      <c r="L429" t="s">
        <v>2180</v>
      </c>
      <c r="M429" t="s">
        <v>2130</v>
      </c>
      <c r="N429" t="s">
        <v>2131</v>
      </c>
      <c r="O429" s="101"/>
      <c r="P429" t="s">
        <v>2161</v>
      </c>
      <c r="Q429" s="101" t="s">
        <v>156</v>
      </c>
      <c r="R429" s="101"/>
      <c r="S429" s="210"/>
      <c r="T429" s="210"/>
      <c r="U429" s="210"/>
      <c r="V429" s="210"/>
      <c r="W429" s="210"/>
      <c r="X429" s="210"/>
      <c r="Y429" s="235">
        <v>10623.75</v>
      </c>
      <c r="Z429" s="10">
        <v>294</v>
      </c>
      <c r="AA429" s="58">
        <v>35.412500000000001</v>
      </c>
      <c r="AB429" s="21"/>
      <c r="AC429" s="21"/>
      <c r="AE429" s="17" t="s">
        <v>2180</v>
      </c>
      <c r="AF429" s="58"/>
      <c r="AG429" s="58"/>
      <c r="AH429" s="58"/>
      <c r="AI429" s="58"/>
      <c r="AJ429" s="21">
        <f t="shared" si="250"/>
        <v>0</v>
      </c>
      <c r="AK429" s="58"/>
      <c r="AL429" s="21"/>
      <c r="AM429" s="58">
        <f t="shared" si="251"/>
        <v>0</v>
      </c>
      <c r="AN429" s="21">
        <f>IF(Table1[[#This Row],[Sustainability Check 1 (2017-2018) Status]]="Continued", Table1[[#This Row],[Students Per Summer]], 0)</f>
        <v>0</v>
      </c>
      <c r="AO429" s="58">
        <f t="shared" si="252"/>
        <v>0</v>
      </c>
      <c r="AP429" s="21">
        <f>IF(Table1[[#This Row],[Sustainability Check 1 (2017-2018) Status]]="Continued", Table1[[#This Row],[Students Per Fall]], 0)</f>
        <v>0</v>
      </c>
      <c r="AQ429" s="58">
        <f t="shared" si="253"/>
        <v>0</v>
      </c>
      <c r="AR429" s="21"/>
      <c r="AS429" s="58">
        <f t="shared" si="254"/>
        <v>0</v>
      </c>
      <c r="AT429" s="21"/>
      <c r="AU429" s="58">
        <f t="shared" si="255"/>
        <v>0</v>
      </c>
      <c r="AV429" s="21"/>
      <c r="AW429" s="58"/>
      <c r="AX429" s="31"/>
      <c r="AY429" s="58"/>
      <c r="AZ429" s="31"/>
      <c r="BA429" s="58"/>
      <c r="BB429" s="31"/>
      <c r="BC429" s="58"/>
      <c r="BD429" s="31"/>
      <c r="BE429" s="58"/>
      <c r="BF429" s="31"/>
      <c r="BG429" s="58"/>
      <c r="BH429" s="21">
        <v>0</v>
      </c>
      <c r="BI429" s="21">
        <v>0</v>
      </c>
      <c r="BJ429" s="21">
        <v>0</v>
      </c>
      <c r="BK429" s="21">
        <v>0</v>
      </c>
      <c r="BL429" s="17" t="s">
        <v>130</v>
      </c>
      <c r="BM429" s="21">
        <v>0</v>
      </c>
      <c r="BN429" s="21">
        <v>0</v>
      </c>
      <c r="BO429" s="21">
        <v>0</v>
      </c>
      <c r="BP429" s="31">
        <f t="shared" si="256"/>
        <v>0</v>
      </c>
      <c r="BQ429" s="21">
        <v>0</v>
      </c>
      <c r="BR429" s="21">
        <v>0</v>
      </c>
      <c r="BS429" s="21">
        <v>0</v>
      </c>
      <c r="BT429" s="21">
        <v>0</v>
      </c>
      <c r="BU429" s="21">
        <v>0</v>
      </c>
      <c r="BV429" s="21">
        <v>0</v>
      </c>
      <c r="BW429" s="21">
        <v>0</v>
      </c>
      <c r="BX429" s="136">
        <f>Table1[[#This Row],[Summer 2018 Price Check]]*Table1[[#This Row],[Spring 2019 Students]]</f>
        <v>0</v>
      </c>
      <c r="BY429" s="31">
        <f t="shared" si="257"/>
        <v>0</v>
      </c>
      <c r="BZ429" s="58">
        <f t="shared" si="258"/>
        <v>0</v>
      </c>
      <c r="CA429" s="17" t="s">
        <v>130</v>
      </c>
      <c r="CB429" s="21">
        <v>0</v>
      </c>
      <c r="CC429" s="21">
        <v>0</v>
      </c>
      <c r="CD429" s="21">
        <v>0</v>
      </c>
      <c r="CE429" s="21">
        <v>0</v>
      </c>
      <c r="CF429" s="21">
        <v>0</v>
      </c>
      <c r="CG429" s="21">
        <v>0</v>
      </c>
      <c r="CH429" t="s">
        <v>2180</v>
      </c>
      <c r="CI429" s="137">
        <f>IF(Table1[[#This Row],[Check 3 Status]]="Continued", Table1[[#This Row],[Check 3 Students Summer]], 0)</f>
        <v>0</v>
      </c>
      <c r="CJ429" s="136">
        <f>Table1[[#This Row],[Check 3 Per Student Savings]]*CI429</f>
        <v>0</v>
      </c>
      <c r="CK429" s="137">
        <f>IF(Table1[[#This Row],[Check 3 Status]]="Continued", Table1[[#This Row],[Check 3 Students Fall]], 0)</f>
        <v>0</v>
      </c>
      <c r="CL429" s="136">
        <f>Table1[[#This Row],[Check 3 Per Student Savings]]*CK429</f>
        <v>0</v>
      </c>
      <c r="CM429" s="124">
        <f>IF(Table1[[#This Row],[Check 3 Status]]="Continued", Table1[[#This Row],[Check 3 Students Spring]], 0)</f>
        <v>0</v>
      </c>
      <c r="CN429" s="123">
        <f>Table1[[#This Row],[Check 3 Per Student Savings]]*CM429</f>
        <v>0</v>
      </c>
      <c r="CO429" s="124">
        <f t="shared" si="259"/>
        <v>0</v>
      </c>
      <c r="CP429" s="123">
        <f t="shared" si="260"/>
        <v>0</v>
      </c>
      <c r="CQ429" s="123" t="s">
        <v>130</v>
      </c>
      <c r="CR429" s="124">
        <v>0</v>
      </c>
      <c r="CS429" s="124">
        <v>0</v>
      </c>
      <c r="CT429" s="124">
        <v>0</v>
      </c>
      <c r="CU429" s="124">
        <f t="shared" si="238"/>
        <v>0</v>
      </c>
      <c r="CV429" s="9">
        <v>141.65</v>
      </c>
      <c r="CW429" s="123">
        <f t="shared" si="235"/>
        <v>0</v>
      </c>
      <c r="CX429" t="s">
        <v>2180</v>
      </c>
      <c r="CY429" s="124">
        <v>0</v>
      </c>
      <c r="CZ429" s="58">
        <f>Table1[[#This Row],[Check 4 Per Student Savings]]*CY429</f>
        <v>0</v>
      </c>
      <c r="DA429" s="124">
        <v>0</v>
      </c>
      <c r="DB429" s="123">
        <f>Table1[[#This Row],[Check 4 Per Student Savings]]*DA429</f>
        <v>0</v>
      </c>
      <c r="DC429" s="124">
        <v>0</v>
      </c>
      <c r="DD429" s="58">
        <f>Table1[[#This Row],[Check 4 Per Student Savings]]*DC429</f>
        <v>0</v>
      </c>
      <c r="DE429" s="58">
        <f t="shared" si="236"/>
        <v>0</v>
      </c>
      <c r="DF429" s="58">
        <f t="shared" si="237"/>
        <v>0</v>
      </c>
      <c r="DG42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2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29" s="111">
        <f>Table1[[#This Row],[Grand Total Savings]]/Table1[[#This Row],[Total Award]]</f>
        <v>0</v>
      </c>
      <c r="DJ429" s="207"/>
      <c r="DK429" s="58"/>
      <c r="DL429" s="31"/>
      <c r="DN429" s="58"/>
      <c r="EC429" s="17"/>
      <c r="ED429" s="21"/>
      <c r="EE429" s="58"/>
      <c r="EG429" s="21"/>
    </row>
    <row r="430" spans="1:138" ht="16.5" thickTop="1" thickBot="1" x14ac:dyDescent="0.3">
      <c r="A430" s="1">
        <v>554</v>
      </c>
      <c r="B430" s="138"/>
      <c r="C430" s="138"/>
      <c r="D430" s="134"/>
      <c r="E430" s="135"/>
      <c r="F430" s="135"/>
      <c r="G430" s="223" t="s">
        <v>2125</v>
      </c>
      <c r="H430" s="95" t="s">
        <v>2001</v>
      </c>
      <c r="I430" s="226" t="s">
        <v>118</v>
      </c>
      <c r="J430" t="s">
        <v>324</v>
      </c>
      <c r="K430" s="11">
        <v>26400</v>
      </c>
      <c r="L430" t="s">
        <v>2180</v>
      </c>
      <c r="M430" t="s">
        <v>2132</v>
      </c>
      <c r="N430" t="s">
        <v>2133</v>
      </c>
      <c r="O430" s="101"/>
      <c r="P430" t="s">
        <v>2162</v>
      </c>
      <c r="Q430" s="101" t="s">
        <v>206</v>
      </c>
      <c r="R430" s="101"/>
      <c r="S430" s="210"/>
      <c r="T430" s="210"/>
      <c r="U430" s="210"/>
      <c r="V430" s="210"/>
      <c r="W430" s="210"/>
      <c r="X430" s="210"/>
      <c r="Y430" s="235">
        <v>90432</v>
      </c>
      <c r="Z430" s="10">
        <v>960</v>
      </c>
      <c r="AA430" s="58">
        <v>94.2</v>
      </c>
      <c r="AB430" s="21"/>
      <c r="AC430" s="21"/>
      <c r="AE430" s="17" t="s">
        <v>2180</v>
      </c>
      <c r="AF430" s="58"/>
      <c r="AG430" s="58"/>
      <c r="AH430" s="58"/>
      <c r="AI430" s="58"/>
      <c r="AJ430" s="21">
        <f t="shared" si="250"/>
        <v>0</v>
      </c>
      <c r="AK430" s="58"/>
      <c r="AL430" s="21"/>
      <c r="AM430" s="58">
        <f t="shared" si="251"/>
        <v>0</v>
      </c>
      <c r="AN430" s="21">
        <f>IF(Table1[[#This Row],[Sustainability Check 1 (2017-2018) Status]]="Continued", Table1[[#This Row],[Students Per Summer]], 0)</f>
        <v>0</v>
      </c>
      <c r="AO430" s="58">
        <f t="shared" si="252"/>
        <v>0</v>
      </c>
      <c r="AP430" s="21">
        <f>IF(Table1[[#This Row],[Sustainability Check 1 (2017-2018) Status]]="Continued", Table1[[#This Row],[Students Per Fall]], 0)</f>
        <v>0</v>
      </c>
      <c r="AQ430" s="58">
        <f t="shared" si="253"/>
        <v>0</v>
      </c>
      <c r="AR430" s="21"/>
      <c r="AS430" s="58">
        <f t="shared" si="254"/>
        <v>0</v>
      </c>
      <c r="AT430" s="21"/>
      <c r="AU430" s="58">
        <f t="shared" si="255"/>
        <v>0</v>
      </c>
      <c r="AV430" s="21"/>
      <c r="AW430" s="58"/>
      <c r="AX430" s="31"/>
      <c r="AY430" s="58"/>
      <c r="AZ430" s="31"/>
      <c r="BA430" s="58"/>
      <c r="BB430" s="31"/>
      <c r="BC430" s="58"/>
      <c r="BD430" s="31"/>
      <c r="BE430" s="58"/>
      <c r="BF430" s="31"/>
      <c r="BG430" s="58"/>
      <c r="BH430" s="21">
        <v>0</v>
      </c>
      <c r="BI430" s="21">
        <v>0</v>
      </c>
      <c r="BJ430" s="21">
        <v>0</v>
      </c>
      <c r="BK430" s="21">
        <v>0</v>
      </c>
      <c r="BL430" s="17" t="s">
        <v>130</v>
      </c>
      <c r="BM430" s="21">
        <v>0</v>
      </c>
      <c r="BN430" s="21">
        <v>0</v>
      </c>
      <c r="BO430" s="21">
        <v>0</v>
      </c>
      <c r="BP430" s="31">
        <f t="shared" si="256"/>
        <v>0</v>
      </c>
      <c r="BQ430" s="21">
        <v>0</v>
      </c>
      <c r="BR430" s="21">
        <v>0</v>
      </c>
      <c r="BS430" s="21">
        <v>0</v>
      </c>
      <c r="BT430" s="21">
        <v>0</v>
      </c>
      <c r="BU430" s="21">
        <v>0</v>
      </c>
      <c r="BV430" s="21">
        <v>0</v>
      </c>
      <c r="BW430" s="21">
        <v>0</v>
      </c>
      <c r="BX430" s="136">
        <f>Table1[[#This Row],[Summer 2018 Price Check]]*Table1[[#This Row],[Spring 2019 Students]]</f>
        <v>0</v>
      </c>
      <c r="BY430" s="31">
        <f t="shared" si="257"/>
        <v>0</v>
      </c>
      <c r="BZ430" s="58">
        <f t="shared" si="258"/>
        <v>0</v>
      </c>
      <c r="CA430" s="17" t="s">
        <v>130</v>
      </c>
      <c r="CB430" s="21">
        <v>0</v>
      </c>
      <c r="CC430" s="21">
        <v>0</v>
      </c>
      <c r="CD430" s="21">
        <v>0</v>
      </c>
      <c r="CE430" s="21">
        <v>0</v>
      </c>
      <c r="CF430" s="21">
        <v>0</v>
      </c>
      <c r="CG430" s="21">
        <v>0</v>
      </c>
      <c r="CH430" t="s">
        <v>2180</v>
      </c>
      <c r="CI430" s="137">
        <f>IF(Table1[[#This Row],[Check 3 Status]]="Continued", Table1[[#This Row],[Check 3 Students Summer]], 0)</f>
        <v>0</v>
      </c>
      <c r="CJ430" s="136">
        <f>Table1[[#This Row],[Check 3 Per Student Savings]]*CI430</f>
        <v>0</v>
      </c>
      <c r="CK430" s="137">
        <f>IF(Table1[[#This Row],[Check 3 Status]]="Continued", Table1[[#This Row],[Check 3 Students Fall]], 0)</f>
        <v>0</v>
      </c>
      <c r="CL430" s="136">
        <f>Table1[[#This Row],[Check 3 Per Student Savings]]*CK430</f>
        <v>0</v>
      </c>
      <c r="CM430" s="124">
        <f>IF(Table1[[#This Row],[Check 3 Status]]="Continued", Table1[[#This Row],[Check 3 Students Spring]], 0)</f>
        <v>0</v>
      </c>
      <c r="CN430" s="123">
        <f>Table1[[#This Row],[Check 3 Per Student Savings]]*CM430</f>
        <v>0</v>
      </c>
      <c r="CO430" s="124">
        <f t="shared" si="259"/>
        <v>0</v>
      </c>
      <c r="CP430" s="123">
        <f t="shared" si="260"/>
        <v>0</v>
      </c>
      <c r="CQ430" s="123" t="s">
        <v>130</v>
      </c>
      <c r="CR430" s="124">
        <v>0</v>
      </c>
      <c r="CS430" s="124">
        <v>0</v>
      </c>
      <c r="CT430" s="124">
        <v>0</v>
      </c>
      <c r="CU430" s="124">
        <f t="shared" si="238"/>
        <v>0</v>
      </c>
      <c r="CV430" s="9">
        <v>94.2</v>
      </c>
      <c r="CW430" s="123">
        <f t="shared" si="235"/>
        <v>0</v>
      </c>
      <c r="CX430" t="s">
        <v>2180</v>
      </c>
      <c r="CY430" s="124">
        <v>0</v>
      </c>
      <c r="CZ430" s="58">
        <f>Table1[[#This Row],[Check 4 Per Student Savings]]*CY430</f>
        <v>0</v>
      </c>
      <c r="DA430" s="124">
        <v>0</v>
      </c>
      <c r="DB430" s="123">
        <f>Table1[[#This Row],[Check 4 Per Student Savings]]*DA430</f>
        <v>0</v>
      </c>
      <c r="DC430" s="124">
        <v>0</v>
      </c>
      <c r="DD430" s="58">
        <f>Table1[[#This Row],[Check 4 Per Student Savings]]*DC430</f>
        <v>0</v>
      </c>
      <c r="DE430" s="58">
        <f t="shared" si="236"/>
        <v>0</v>
      </c>
      <c r="DF430" s="58">
        <f t="shared" si="237"/>
        <v>0</v>
      </c>
      <c r="DG43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3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30" s="111">
        <f>Table1[[#This Row],[Grand Total Savings]]/Table1[[#This Row],[Total Award]]</f>
        <v>0</v>
      </c>
      <c r="DJ430" s="207"/>
      <c r="DK430" s="58"/>
      <c r="DL430" s="31"/>
      <c r="DN430" s="58"/>
      <c r="EC430" s="17"/>
      <c r="ED430" s="21"/>
      <c r="EE430" s="58"/>
      <c r="EG430" s="21"/>
    </row>
    <row r="431" spans="1:138" ht="16.5" thickTop="1" thickBot="1" x14ac:dyDescent="0.3">
      <c r="A431" s="1">
        <v>555</v>
      </c>
      <c r="B431" s="138"/>
      <c r="C431" s="138"/>
      <c r="D431" s="134"/>
      <c r="E431" s="135"/>
      <c r="F431" s="135"/>
      <c r="G431" s="223" t="s">
        <v>2125</v>
      </c>
      <c r="H431" s="95" t="s">
        <v>2001</v>
      </c>
      <c r="I431" s="226" t="s">
        <v>118</v>
      </c>
      <c r="J431" t="s">
        <v>499</v>
      </c>
      <c r="K431" s="11">
        <v>15000</v>
      </c>
      <c r="L431" t="s">
        <v>2180</v>
      </c>
      <c r="M431" t="s">
        <v>2134</v>
      </c>
      <c r="N431" t="s">
        <v>2135</v>
      </c>
      <c r="O431" s="101"/>
      <c r="P431" t="s">
        <v>2163</v>
      </c>
      <c r="Q431" s="101" t="s">
        <v>148</v>
      </c>
      <c r="R431" s="101"/>
      <c r="S431" s="210"/>
      <c r="T431" s="210"/>
      <c r="U431" s="210"/>
      <c r="V431" s="210"/>
      <c r="W431" s="210"/>
      <c r="X431" s="210"/>
      <c r="Y431" s="235">
        <v>61992</v>
      </c>
      <c r="Z431" s="10">
        <v>560</v>
      </c>
      <c r="AA431" s="58">
        <v>110.7</v>
      </c>
      <c r="AB431" s="21"/>
      <c r="AC431" s="21"/>
      <c r="AE431" s="17" t="s">
        <v>2180</v>
      </c>
      <c r="AF431" s="58"/>
      <c r="AG431" s="58"/>
      <c r="AH431" s="58"/>
      <c r="AI431" s="58"/>
      <c r="AJ431" s="21">
        <f t="shared" si="250"/>
        <v>0</v>
      </c>
      <c r="AK431" s="58"/>
      <c r="AL431" s="21"/>
      <c r="AM431" s="58">
        <f t="shared" si="251"/>
        <v>0</v>
      </c>
      <c r="AN431" s="21">
        <f>IF(Table1[[#This Row],[Sustainability Check 1 (2017-2018) Status]]="Continued", Table1[[#This Row],[Students Per Summer]], 0)</f>
        <v>0</v>
      </c>
      <c r="AO431" s="58">
        <f t="shared" si="252"/>
        <v>0</v>
      </c>
      <c r="AP431" s="21">
        <f>IF(Table1[[#This Row],[Sustainability Check 1 (2017-2018) Status]]="Continued", Table1[[#This Row],[Students Per Fall]], 0)</f>
        <v>0</v>
      </c>
      <c r="AQ431" s="58">
        <f t="shared" si="253"/>
        <v>0</v>
      </c>
      <c r="AR431" s="21"/>
      <c r="AS431" s="58">
        <f t="shared" si="254"/>
        <v>0</v>
      </c>
      <c r="AT431" s="21"/>
      <c r="AU431" s="58">
        <f t="shared" si="255"/>
        <v>0</v>
      </c>
      <c r="AV431" s="21"/>
      <c r="AW431" s="58"/>
      <c r="AX431" s="31"/>
      <c r="AY431" s="58"/>
      <c r="AZ431" s="31"/>
      <c r="BA431" s="58"/>
      <c r="BB431" s="31"/>
      <c r="BC431" s="58"/>
      <c r="BD431" s="31"/>
      <c r="BE431" s="58"/>
      <c r="BF431" s="31"/>
      <c r="BG431" s="58"/>
      <c r="BH431" s="21">
        <v>0</v>
      </c>
      <c r="BI431" s="21">
        <v>0</v>
      </c>
      <c r="BJ431" s="21">
        <v>0</v>
      </c>
      <c r="BK431" s="21">
        <v>0</v>
      </c>
      <c r="BL431" s="17" t="s">
        <v>130</v>
      </c>
      <c r="BM431" s="21">
        <v>0</v>
      </c>
      <c r="BN431" s="21">
        <v>0</v>
      </c>
      <c r="BO431" s="21">
        <v>0</v>
      </c>
      <c r="BP431" s="31">
        <f t="shared" si="256"/>
        <v>0</v>
      </c>
      <c r="BQ431" s="21">
        <v>0</v>
      </c>
      <c r="BR431" s="21">
        <v>0</v>
      </c>
      <c r="BS431" s="21">
        <v>0</v>
      </c>
      <c r="BT431" s="21">
        <v>0</v>
      </c>
      <c r="BU431" s="21">
        <v>0</v>
      </c>
      <c r="BV431" s="21">
        <v>0</v>
      </c>
      <c r="BW431" s="21">
        <v>0</v>
      </c>
      <c r="BX431" s="136">
        <f>Table1[[#This Row],[Summer 2018 Price Check]]*Table1[[#This Row],[Spring 2019 Students]]</f>
        <v>0</v>
      </c>
      <c r="BY431" s="31">
        <f t="shared" si="257"/>
        <v>0</v>
      </c>
      <c r="BZ431" s="58">
        <f t="shared" si="258"/>
        <v>0</v>
      </c>
      <c r="CA431" s="17" t="s">
        <v>130</v>
      </c>
      <c r="CB431" s="21">
        <v>0</v>
      </c>
      <c r="CC431" s="21">
        <v>0</v>
      </c>
      <c r="CD431" s="21">
        <v>0</v>
      </c>
      <c r="CE431" s="21">
        <v>0</v>
      </c>
      <c r="CF431" s="21">
        <v>0</v>
      </c>
      <c r="CG431" s="21">
        <v>0</v>
      </c>
      <c r="CH431" t="s">
        <v>2180</v>
      </c>
      <c r="CI431" s="137">
        <f>IF(Table1[[#This Row],[Check 3 Status]]="Continued", Table1[[#This Row],[Check 3 Students Summer]], 0)</f>
        <v>0</v>
      </c>
      <c r="CJ431" s="136">
        <f>Table1[[#This Row],[Check 3 Per Student Savings]]*CI431</f>
        <v>0</v>
      </c>
      <c r="CK431" s="137">
        <f>IF(Table1[[#This Row],[Check 3 Status]]="Continued", Table1[[#This Row],[Check 3 Students Fall]], 0)</f>
        <v>0</v>
      </c>
      <c r="CL431" s="136">
        <f>Table1[[#This Row],[Check 3 Per Student Savings]]*CK431</f>
        <v>0</v>
      </c>
      <c r="CM431" s="124">
        <f>IF(Table1[[#This Row],[Check 3 Status]]="Continued", Table1[[#This Row],[Check 3 Students Spring]], 0)</f>
        <v>0</v>
      </c>
      <c r="CN431" s="123">
        <f>Table1[[#This Row],[Check 3 Per Student Savings]]*CM431</f>
        <v>0</v>
      </c>
      <c r="CO431" s="124">
        <f t="shared" si="259"/>
        <v>0</v>
      </c>
      <c r="CP431" s="123">
        <f t="shared" si="260"/>
        <v>0</v>
      </c>
      <c r="CQ431" s="123" t="s">
        <v>130</v>
      </c>
      <c r="CR431" s="124">
        <v>0</v>
      </c>
      <c r="CS431" s="124">
        <v>0</v>
      </c>
      <c r="CT431" s="124">
        <v>0</v>
      </c>
      <c r="CU431" s="124">
        <f t="shared" si="238"/>
        <v>0</v>
      </c>
      <c r="CV431" s="9">
        <v>110.7</v>
      </c>
      <c r="CW431" s="123">
        <f t="shared" si="235"/>
        <v>0</v>
      </c>
      <c r="CX431" t="s">
        <v>2180</v>
      </c>
      <c r="CY431" s="124">
        <v>0</v>
      </c>
      <c r="CZ431" s="58">
        <f>Table1[[#This Row],[Check 4 Per Student Savings]]*CY431</f>
        <v>0</v>
      </c>
      <c r="DA431" s="124">
        <v>0</v>
      </c>
      <c r="DB431" s="123">
        <f>Table1[[#This Row],[Check 4 Per Student Savings]]*DA431</f>
        <v>0</v>
      </c>
      <c r="DC431" s="124">
        <v>0</v>
      </c>
      <c r="DD431" s="58">
        <f>Table1[[#This Row],[Check 4 Per Student Savings]]*DC431</f>
        <v>0</v>
      </c>
      <c r="DE431" s="58">
        <f t="shared" si="236"/>
        <v>0</v>
      </c>
      <c r="DF431" s="58">
        <f t="shared" si="237"/>
        <v>0</v>
      </c>
      <c r="DG43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3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31" s="111">
        <f>Table1[[#This Row],[Grand Total Savings]]/Table1[[#This Row],[Total Award]]</f>
        <v>0</v>
      </c>
      <c r="DJ431" s="207"/>
      <c r="DK431" s="58"/>
      <c r="DL431" s="31"/>
      <c r="DN431" s="58"/>
      <c r="EC431" s="17"/>
      <c r="ED431" s="21"/>
      <c r="EE431" s="58"/>
      <c r="EG431" s="21"/>
    </row>
    <row r="432" spans="1:138" ht="16.5" thickTop="1" thickBot="1" x14ac:dyDescent="0.3">
      <c r="A432" s="1">
        <v>556</v>
      </c>
      <c r="B432" s="138"/>
      <c r="C432" s="138"/>
      <c r="D432" s="134"/>
      <c r="E432" s="135"/>
      <c r="F432" s="135"/>
      <c r="G432" s="223" t="s">
        <v>2125</v>
      </c>
      <c r="H432" s="95" t="s">
        <v>2001</v>
      </c>
      <c r="I432" s="226" t="s">
        <v>118</v>
      </c>
      <c r="J432" t="s">
        <v>172</v>
      </c>
      <c r="K432" s="11">
        <v>20000</v>
      </c>
      <c r="L432" t="s">
        <v>2180</v>
      </c>
      <c r="M432" t="s">
        <v>2136</v>
      </c>
      <c r="N432" t="s">
        <v>2137</v>
      </c>
      <c r="O432" s="101"/>
      <c r="P432" t="s">
        <v>2164</v>
      </c>
      <c r="Q432" s="101" t="s">
        <v>206</v>
      </c>
      <c r="R432" s="101"/>
      <c r="S432" s="210"/>
      <c r="T432" s="210"/>
      <c r="U432" s="210"/>
      <c r="V432" s="210"/>
      <c r="W432" s="210"/>
      <c r="X432" s="210"/>
      <c r="Y432" s="235">
        <v>69264</v>
      </c>
      <c r="Z432" s="10">
        <v>558</v>
      </c>
      <c r="AA432" s="58">
        <v>159</v>
      </c>
      <c r="AB432" s="21"/>
      <c r="AC432" s="21"/>
      <c r="AE432" s="17" t="s">
        <v>2180</v>
      </c>
      <c r="AF432" s="58"/>
      <c r="AG432" s="58"/>
      <c r="AH432" s="58"/>
      <c r="AI432" s="58"/>
      <c r="AJ432" s="21">
        <f t="shared" si="250"/>
        <v>0</v>
      </c>
      <c r="AK432" s="58"/>
      <c r="AL432" s="21"/>
      <c r="AM432" s="58">
        <f t="shared" si="251"/>
        <v>0</v>
      </c>
      <c r="AN432" s="21">
        <f>IF(Table1[[#This Row],[Sustainability Check 1 (2017-2018) Status]]="Continued", Table1[[#This Row],[Students Per Summer]], 0)</f>
        <v>0</v>
      </c>
      <c r="AO432" s="58">
        <f t="shared" si="252"/>
        <v>0</v>
      </c>
      <c r="AP432" s="21">
        <f>IF(Table1[[#This Row],[Sustainability Check 1 (2017-2018) Status]]="Continued", Table1[[#This Row],[Students Per Fall]], 0)</f>
        <v>0</v>
      </c>
      <c r="AQ432" s="58">
        <f t="shared" si="253"/>
        <v>0</v>
      </c>
      <c r="AR432" s="21"/>
      <c r="AS432" s="58">
        <f t="shared" si="254"/>
        <v>0</v>
      </c>
      <c r="AT432" s="21"/>
      <c r="AU432" s="58">
        <f t="shared" si="255"/>
        <v>0</v>
      </c>
      <c r="AV432" s="21"/>
      <c r="AW432" s="58"/>
      <c r="AX432" s="31"/>
      <c r="AY432" s="58"/>
      <c r="AZ432" s="31"/>
      <c r="BA432" s="58"/>
      <c r="BB432" s="31"/>
      <c r="BC432" s="58"/>
      <c r="BD432" s="31"/>
      <c r="BE432" s="58"/>
      <c r="BF432" s="31"/>
      <c r="BG432" s="58"/>
      <c r="BH432" s="21">
        <v>0</v>
      </c>
      <c r="BI432" s="21">
        <v>0</v>
      </c>
      <c r="BJ432" s="21">
        <v>0</v>
      </c>
      <c r="BK432" s="21">
        <v>0</v>
      </c>
      <c r="BL432" s="17" t="s">
        <v>130</v>
      </c>
      <c r="BM432" s="21">
        <v>0</v>
      </c>
      <c r="BN432" s="21">
        <v>0</v>
      </c>
      <c r="BO432" s="21">
        <v>0</v>
      </c>
      <c r="BP432" s="31">
        <f t="shared" si="256"/>
        <v>0</v>
      </c>
      <c r="BQ432" s="21">
        <v>0</v>
      </c>
      <c r="BR432" s="21">
        <v>0</v>
      </c>
      <c r="BS432" s="21">
        <v>0</v>
      </c>
      <c r="BT432" s="21">
        <v>0</v>
      </c>
      <c r="BU432" s="21">
        <v>0</v>
      </c>
      <c r="BV432" s="21">
        <v>0</v>
      </c>
      <c r="BW432" s="21">
        <v>0</v>
      </c>
      <c r="BX432" s="136">
        <f>Table1[[#This Row],[Summer 2018 Price Check]]*Table1[[#This Row],[Spring 2019 Students]]</f>
        <v>0</v>
      </c>
      <c r="BY432" s="31">
        <f t="shared" si="257"/>
        <v>0</v>
      </c>
      <c r="BZ432" s="58">
        <f t="shared" si="258"/>
        <v>0</v>
      </c>
      <c r="CA432" s="17" t="s">
        <v>130</v>
      </c>
      <c r="CB432" s="21">
        <v>0</v>
      </c>
      <c r="CC432" s="21">
        <v>0</v>
      </c>
      <c r="CD432" s="21">
        <v>0</v>
      </c>
      <c r="CE432" s="21">
        <v>0</v>
      </c>
      <c r="CF432" s="21">
        <v>0</v>
      </c>
      <c r="CG432" s="21">
        <v>0</v>
      </c>
      <c r="CH432" t="s">
        <v>2180</v>
      </c>
      <c r="CI432" s="137">
        <f>IF(Table1[[#This Row],[Check 3 Status]]="Continued", Table1[[#This Row],[Check 3 Students Summer]], 0)</f>
        <v>0</v>
      </c>
      <c r="CJ432" s="136">
        <f>Table1[[#This Row],[Check 3 Per Student Savings]]*CI432</f>
        <v>0</v>
      </c>
      <c r="CK432" s="137">
        <f>IF(Table1[[#This Row],[Check 3 Status]]="Continued", Table1[[#This Row],[Check 3 Students Fall]], 0)</f>
        <v>0</v>
      </c>
      <c r="CL432" s="136">
        <f>Table1[[#This Row],[Check 3 Per Student Savings]]*CK432</f>
        <v>0</v>
      </c>
      <c r="CM432" s="124">
        <f>IF(Table1[[#This Row],[Check 3 Status]]="Continued", Table1[[#This Row],[Check 3 Students Spring]], 0)</f>
        <v>0</v>
      </c>
      <c r="CN432" s="123">
        <f>Table1[[#This Row],[Check 3 Per Student Savings]]*CM432</f>
        <v>0</v>
      </c>
      <c r="CO432" s="124">
        <f t="shared" si="259"/>
        <v>0</v>
      </c>
      <c r="CP432" s="123">
        <f t="shared" si="260"/>
        <v>0</v>
      </c>
      <c r="CQ432" s="123" t="s">
        <v>130</v>
      </c>
      <c r="CR432" s="124">
        <v>0</v>
      </c>
      <c r="CS432" s="124">
        <v>0</v>
      </c>
      <c r="CT432" s="124">
        <v>0</v>
      </c>
      <c r="CU432" s="124">
        <f t="shared" si="238"/>
        <v>0</v>
      </c>
      <c r="CV432" s="9">
        <v>90</v>
      </c>
      <c r="CW432" s="123">
        <f t="shared" si="235"/>
        <v>0</v>
      </c>
      <c r="CX432" t="s">
        <v>2180</v>
      </c>
      <c r="CY432" s="124">
        <v>0</v>
      </c>
      <c r="CZ432" s="58">
        <f>Table1[[#This Row],[Check 4 Per Student Savings]]*CY432</f>
        <v>0</v>
      </c>
      <c r="DA432" s="124">
        <v>0</v>
      </c>
      <c r="DB432" s="123">
        <f>Table1[[#This Row],[Check 4 Per Student Savings]]*DA432</f>
        <v>0</v>
      </c>
      <c r="DC432" s="124">
        <v>0</v>
      </c>
      <c r="DD432" s="58">
        <f>Table1[[#This Row],[Check 4 Per Student Savings]]*DC432</f>
        <v>0</v>
      </c>
      <c r="DE432" s="58">
        <f t="shared" si="236"/>
        <v>0</v>
      </c>
      <c r="DF432" s="58">
        <f t="shared" si="237"/>
        <v>0</v>
      </c>
      <c r="DG43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3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32" s="111">
        <f>Table1[[#This Row],[Grand Total Savings]]/Table1[[#This Row],[Total Award]]</f>
        <v>0</v>
      </c>
      <c r="DJ432" s="207"/>
      <c r="DK432" s="58"/>
      <c r="DL432" s="31"/>
      <c r="DN432" s="58"/>
      <c r="EC432" s="17"/>
      <c r="ED432" s="21"/>
      <c r="EE432" s="58"/>
      <c r="EG432" s="21"/>
    </row>
    <row r="433" spans="1:137" ht="16.5" thickTop="1" thickBot="1" x14ac:dyDescent="0.3">
      <c r="A433" s="1">
        <v>557</v>
      </c>
      <c r="B433" s="138"/>
      <c r="C433" s="138"/>
      <c r="D433" s="134"/>
      <c r="E433" s="135"/>
      <c r="F433" s="135"/>
      <c r="G433" s="223" t="s">
        <v>2125</v>
      </c>
      <c r="H433" s="95" t="s">
        <v>2001</v>
      </c>
      <c r="I433" s="226" t="s">
        <v>118</v>
      </c>
      <c r="J433" t="s">
        <v>172</v>
      </c>
      <c r="K433" s="11">
        <v>30000</v>
      </c>
      <c r="L433" t="s">
        <v>2180</v>
      </c>
      <c r="M433" t="s">
        <v>2138</v>
      </c>
      <c r="N433" t="s">
        <v>1138</v>
      </c>
      <c r="O433" s="101"/>
      <c r="P433" t="s">
        <v>303</v>
      </c>
      <c r="Q433" s="101" t="s">
        <v>304</v>
      </c>
      <c r="R433" s="101"/>
      <c r="S433" s="210"/>
      <c r="T433" s="210"/>
      <c r="U433" s="210"/>
      <c r="V433" s="210"/>
      <c r="W433" s="210"/>
      <c r="X433" s="210"/>
      <c r="Y433" s="235">
        <v>115500</v>
      </c>
      <c r="Z433" s="10">
        <v>525</v>
      </c>
      <c r="AA433" s="58">
        <v>220</v>
      </c>
      <c r="AB433" s="21"/>
      <c r="AC433" s="21"/>
      <c r="AE433" s="17" t="s">
        <v>2180</v>
      </c>
      <c r="AF433" s="58"/>
      <c r="AG433" s="58"/>
      <c r="AH433" s="58"/>
      <c r="AI433" s="58"/>
      <c r="AJ433" s="21">
        <f t="shared" si="250"/>
        <v>0</v>
      </c>
      <c r="AK433" s="58"/>
      <c r="AL433" s="21"/>
      <c r="AM433" s="58">
        <f t="shared" si="251"/>
        <v>0</v>
      </c>
      <c r="AN433" s="21">
        <f>IF(Table1[[#This Row],[Sustainability Check 1 (2017-2018) Status]]="Continued", Table1[[#This Row],[Students Per Summer]], 0)</f>
        <v>0</v>
      </c>
      <c r="AO433" s="58">
        <f t="shared" si="252"/>
        <v>0</v>
      </c>
      <c r="AP433" s="21">
        <f>IF(Table1[[#This Row],[Sustainability Check 1 (2017-2018) Status]]="Continued", Table1[[#This Row],[Students Per Fall]], 0)</f>
        <v>0</v>
      </c>
      <c r="AQ433" s="58">
        <f t="shared" si="253"/>
        <v>0</v>
      </c>
      <c r="AR433" s="21"/>
      <c r="AS433" s="58">
        <f t="shared" si="254"/>
        <v>0</v>
      </c>
      <c r="AT433" s="21"/>
      <c r="AU433" s="58">
        <f t="shared" si="255"/>
        <v>0</v>
      </c>
      <c r="AV433" s="21"/>
      <c r="AW433" s="58"/>
      <c r="AX433" s="31"/>
      <c r="AY433" s="58"/>
      <c r="AZ433" s="31"/>
      <c r="BA433" s="58"/>
      <c r="BB433" s="31"/>
      <c r="BC433" s="58"/>
      <c r="BD433" s="31"/>
      <c r="BE433" s="58"/>
      <c r="BF433" s="31"/>
      <c r="BG433" s="58"/>
      <c r="BH433" s="21">
        <v>0</v>
      </c>
      <c r="BI433" s="21">
        <v>0</v>
      </c>
      <c r="BJ433" s="21">
        <v>0</v>
      </c>
      <c r="BK433" s="21">
        <v>0</v>
      </c>
      <c r="BL433" s="17" t="s">
        <v>130</v>
      </c>
      <c r="BM433" s="21">
        <v>0</v>
      </c>
      <c r="BN433" s="21">
        <v>0</v>
      </c>
      <c r="BO433" s="21">
        <v>0</v>
      </c>
      <c r="BP433" s="31">
        <f t="shared" si="256"/>
        <v>0</v>
      </c>
      <c r="BQ433" s="21">
        <v>0</v>
      </c>
      <c r="BR433" s="21">
        <v>0</v>
      </c>
      <c r="BS433" s="21">
        <v>0</v>
      </c>
      <c r="BT433" s="21">
        <v>0</v>
      </c>
      <c r="BU433" s="21">
        <v>0</v>
      </c>
      <c r="BV433" s="21">
        <v>0</v>
      </c>
      <c r="BW433" s="21">
        <v>0</v>
      </c>
      <c r="BX433" s="136">
        <f>Table1[[#This Row],[Summer 2018 Price Check]]*Table1[[#This Row],[Spring 2019 Students]]</f>
        <v>0</v>
      </c>
      <c r="BY433" s="31">
        <f t="shared" si="257"/>
        <v>0</v>
      </c>
      <c r="BZ433" s="58">
        <f t="shared" si="258"/>
        <v>0</v>
      </c>
      <c r="CA433" s="17" t="s">
        <v>130</v>
      </c>
      <c r="CB433" s="21">
        <v>0</v>
      </c>
      <c r="CC433" s="21">
        <v>0</v>
      </c>
      <c r="CD433" s="21">
        <v>0</v>
      </c>
      <c r="CE433" s="21">
        <v>0</v>
      </c>
      <c r="CF433" s="21">
        <v>0</v>
      </c>
      <c r="CG433" s="21">
        <v>0</v>
      </c>
      <c r="CH433" t="s">
        <v>2180</v>
      </c>
      <c r="CI433" s="137">
        <f>IF(Table1[[#This Row],[Check 3 Status]]="Continued", Table1[[#This Row],[Check 3 Students Summer]], 0)</f>
        <v>0</v>
      </c>
      <c r="CJ433" s="136">
        <f>Table1[[#This Row],[Check 3 Per Student Savings]]*CI433</f>
        <v>0</v>
      </c>
      <c r="CK433" s="137">
        <f>IF(Table1[[#This Row],[Check 3 Status]]="Continued", Table1[[#This Row],[Check 3 Students Fall]], 0)</f>
        <v>0</v>
      </c>
      <c r="CL433" s="136">
        <f>Table1[[#This Row],[Check 3 Per Student Savings]]*CK433</f>
        <v>0</v>
      </c>
      <c r="CM433" s="124">
        <f>IF(Table1[[#This Row],[Check 3 Status]]="Continued", Table1[[#This Row],[Check 3 Students Spring]], 0)</f>
        <v>0</v>
      </c>
      <c r="CN433" s="123">
        <f>Table1[[#This Row],[Check 3 Per Student Savings]]*CM433</f>
        <v>0</v>
      </c>
      <c r="CO433" s="124">
        <f t="shared" si="259"/>
        <v>0</v>
      </c>
      <c r="CP433" s="123">
        <f t="shared" si="260"/>
        <v>0</v>
      </c>
      <c r="CQ433" s="123" t="s">
        <v>130</v>
      </c>
      <c r="CR433" s="124">
        <v>0</v>
      </c>
      <c r="CS433" s="124">
        <v>0</v>
      </c>
      <c r="CT433" s="124">
        <v>0</v>
      </c>
      <c r="CU433" s="124">
        <f t="shared" si="238"/>
        <v>0</v>
      </c>
      <c r="CV433" s="9">
        <v>220</v>
      </c>
      <c r="CW433" s="123">
        <f t="shared" si="235"/>
        <v>0</v>
      </c>
      <c r="CX433" t="s">
        <v>2180</v>
      </c>
      <c r="CY433" s="124">
        <v>0</v>
      </c>
      <c r="CZ433" s="58">
        <f>Table1[[#This Row],[Check 4 Per Student Savings]]*CY433</f>
        <v>0</v>
      </c>
      <c r="DA433" s="124">
        <v>0</v>
      </c>
      <c r="DB433" s="123">
        <f>Table1[[#This Row],[Check 4 Per Student Savings]]*DA433</f>
        <v>0</v>
      </c>
      <c r="DC433" s="124">
        <v>0</v>
      </c>
      <c r="DD433" s="58">
        <f>Table1[[#This Row],[Check 4 Per Student Savings]]*DC433</f>
        <v>0</v>
      </c>
      <c r="DE433" s="58">
        <f t="shared" si="236"/>
        <v>0</v>
      </c>
      <c r="DF433" s="58">
        <f t="shared" si="237"/>
        <v>0</v>
      </c>
      <c r="DG43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3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33" s="111">
        <f>Table1[[#This Row],[Grand Total Savings]]/Table1[[#This Row],[Total Award]]</f>
        <v>0</v>
      </c>
      <c r="DJ433" s="207"/>
      <c r="DK433" s="58"/>
      <c r="DL433" s="31"/>
      <c r="DN433" s="58"/>
      <c r="EC433" s="17"/>
      <c r="ED433" s="21"/>
      <c r="EE433" s="58"/>
      <c r="EG433" s="21"/>
    </row>
    <row r="434" spans="1:137" ht="16.5" thickTop="1" thickBot="1" x14ac:dyDescent="0.3">
      <c r="A434" s="1">
        <v>559</v>
      </c>
      <c r="B434" s="138"/>
      <c r="C434" s="138"/>
      <c r="D434" s="134"/>
      <c r="E434" s="135"/>
      <c r="F434" s="135"/>
      <c r="G434" s="223" t="s">
        <v>2125</v>
      </c>
      <c r="H434" s="95" t="s">
        <v>2001</v>
      </c>
      <c r="I434" s="226" t="s">
        <v>118</v>
      </c>
      <c r="J434" t="s">
        <v>225</v>
      </c>
      <c r="K434" s="11">
        <v>10000</v>
      </c>
      <c r="L434" t="s">
        <v>2180</v>
      </c>
      <c r="M434" t="s">
        <v>736</v>
      </c>
      <c r="N434" t="s">
        <v>737</v>
      </c>
      <c r="O434" s="101"/>
      <c r="P434" t="s">
        <v>987</v>
      </c>
      <c r="Q434" s="101" t="s">
        <v>192</v>
      </c>
      <c r="R434" s="101"/>
      <c r="S434" s="210"/>
      <c r="T434" s="210"/>
      <c r="U434" s="210"/>
      <c r="V434" s="210"/>
      <c r="W434" s="210"/>
      <c r="X434" s="210"/>
      <c r="Y434" s="235">
        <v>33295.5</v>
      </c>
      <c r="Z434" s="10">
        <v>294</v>
      </c>
      <c r="AA434" s="58">
        <v>113.25</v>
      </c>
      <c r="AB434" s="21"/>
      <c r="AC434" s="21"/>
      <c r="AE434" s="17" t="s">
        <v>2180</v>
      </c>
      <c r="AF434" s="58"/>
      <c r="AG434" s="58"/>
      <c r="AH434" s="58"/>
      <c r="AI434" s="58"/>
      <c r="AJ434" s="21">
        <f t="shared" si="250"/>
        <v>0</v>
      </c>
      <c r="AK434" s="58"/>
      <c r="AL434" s="21"/>
      <c r="AM434" s="58">
        <f t="shared" si="251"/>
        <v>0</v>
      </c>
      <c r="AN434" s="21">
        <f>IF(Table1[[#This Row],[Sustainability Check 1 (2017-2018) Status]]="Continued", Table1[[#This Row],[Students Per Summer]], 0)</f>
        <v>0</v>
      </c>
      <c r="AO434" s="58">
        <f t="shared" si="252"/>
        <v>0</v>
      </c>
      <c r="AP434" s="21">
        <f>IF(Table1[[#This Row],[Sustainability Check 1 (2017-2018) Status]]="Continued", Table1[[#This Row],[Students Per Fall]], 0)</f>
        <v>0</v>
      </c>
      <c r="AQ434" s="58">
        <f t="shared" si="253"/>
        <v>0</v>
      </c>
      <c r="AR434" s="21"/>
      <c r="AS434" s="58">
        <f t="shared" si="254"/>
        <v>0</v>
      </c>
      <c r="AT434" s="21"/>
      <c r="AU434" s="58">
        <f t="shared" si="255"/>
        <v>0</v>
      </c>
      <c r="AV434" s="21"/>
      <c r="AW434" s="58"/>
      <c r="AX434" s="31"/>
      <c r="AY434" s="58"/>
      <c r="AZ434" s="31"/>
      <c r="BA434" s="58"/>
      <c r="BB434" s="31"/>
      <c r="BC434" s="58"/>
      <c r="BD434" s="31"/>
      <c r="BE434" s="58"/>
      <c r="BF434" s="31"/>
      <c r="BG434" s="58"/>
      <c r="BH434" s="21">
        <v>0</v>
      </c>
      <c r="BI434" s="21">
        <v>0</v>
      </c>
      <c r="BJ434" s="21">
        <v>0</v>
      </c>
      <c r="BK434" s="21">
        <v>0</v>
      </c>
      <c r="BL434" s="17" t="s">
        <v>130</v>
      </c>
      <c r="BM434" s="21">
        <v>0</v>
      </c>
      <c r="BN434" s="21">
        <v>0</v>
      </c>
      <c r="BO434" s="21">
        <v>0</v>
      </c>
      <c r="BP434" s="31">
        <f t="shared" si="256"/>
        <v>0</v>
      </c>
      <c r="BQ434" s="21">
        <v>0</v>
      </c>
      <c r="BR434" s="21">
        <v>0</v>
      </c>
      <c r="BS434" s="21">
        <v>0</v>
      </c>
      <c r="BT434" s="21">
        <v>0</v>
      </c>
      <c r="BU434" s="21">
        <v>0</v>
      </c>
      <c r="BV434" s="21">
        <v>0</v>
      </c>
      <c r="BW434" s="21">
        <v>0</v>
      </c>
      <c r="BX434" s="136">
        <f>Table1[[#This Row],[Summer 2018 Price Check]]*Table1[[#This Row],[Spring 2019 Students]]</f>
        <v>0</v>
      </c>
      <c r="BY434" s="31">
        <f t="shared" si="257"/>
        <v>0</v>
      </c>
      <c r="BZ434" s="58">
        <f t="shared" si="258"/>
        <v>0</v>
      </c>
      <c r="CA434" s="17" t="s">
        <v>130</v>
      </c>
      <c r="CB434" s="21">
        <v>0</v>
      </c>
      <c r="CC434" s="21">
        <v>0</v>
      </c>
      <c r="CD434" s="21">
        <v>0</v>
      </c>
      <c r="CE434" s="21">
        <v>0</v>
      </c>
      <c r="CF434" s="21">
        <v>0</v>
      </c>
      <c r="CG434" s="21">
        <v>0</v>
      </c>
      <c r="CH434" t="s">
        <v>2180</v>
      </c>
      <c r="CI434" s="137">
        <f>IF(Table1[[#This Row],[Check 3 Status]]="Continued", Table1[[#This Row],[Check 3 Students Summer]], 0)</f>
        <v>0</v>
      </c>
      <c r="CJ434" s="136">
        <f>Table1[[#This Row],[Check 3 Per Student Savings]]*CI434</f>
        <v>0</v>
      </c>
      <c r="CK434" s="137">
        <f>IF(Table1[[#This Row],[Check 3 Status]]="Continued", Table1[[#This Row],[Check 3 Students Fall]], 0)</f>
        <v>0</v>
      </c>
      <c r="CL434" s="136">
        <f>Table1[[#This Row],[Check 3 Per Student Savings]]*CK434</f>
        <v>0</v>
      </c>
      <c r="CM434" s="124">
        <f>IF(Table1[[#This Row],[Check 3 Status]]="Continued", Table1[[#This Row],[Check 3 Students Spring]], 0)</f>
        <v>0</v>
      </c>
      <c r="CN434" s="123">
        <f>Table1[[#This Row],[Check 3 Per Student Savings]]*CM434</f>
        <v>0</v>
      </c>
      <c r="CO434" s="124">
        <f t="shared" si="259"/>
        <v>0</v>
      </c>
      <c r="CP434" s="123">
        <f t="shared" si="260"/>
        <v>0</v>
      </c>
      <c r="CQ434" s="123" t="s">
        <v>130</v>
      </c>
      <c r="CR434" s="124">
        <v>0</v>
      </c>
      <c r="CS434" s="124">
        <v>0</v>
      </c>
      <c r="CT434" s="124">
        <v>0</v>
      </c>
      <c r="CU434" s="124">
        <f t="shared" si="238"/>
        <v>0</v>
      </c>
      <c r="CV434" s="9">
        <v>113.25</v>
      </c>
      <c r="CW434" s="123">
        <f t="shared" si="235"/>
        <v>0</v>
      </c>
      <c r="CX434" t="s">
        <v>2180</v>
      </c>
      <c r="CY434" s="124">
        <v>0</v>
      </c>
      <c r="CZ434" s="58">
        <f>Table1[[#This Row],[Check 4 Per Student Savings]]*CY434</f>
        <v>0</v>
      </c>
      <c r="DA434" s="124">
        <v>0</v>
      </c>
      <c r="DB434" s="123">
        <f>Table1[[#This Row],[Check 4 Per Student Savings]]*DA434</f>
        <v>0</v>
      </c>
      <c r="DC434" s="124">
        <v>0</v>
      </c>
      <c r="DD434" s="58">
        <f>Table1[[#This Row],[Check 4 Per Student Savings]]*DC434</f>
        <v>0</v>
      </c>
      <c r="DE434" s="58">
        <f t="shared" si="236"/>
        <v>0</v>
      </c>
      <c r="DF434" s="58">
        <f t="shared" si="237"/>
        <v>0</v>
      </c>
      <c r="DG43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3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34" s="111">
        <f>Table1[[#This Row],[Grand Total Savings]]/Table1[[#This Row],[Total Award]]</f>
        <v>0</v>
      </c>
      <c r="DJ434" s="207"/>
      <c r="DK434" s="58"/>
      <c r="DL434" s="31"/>
      <c r="DN434" s="58"/>
      <c r="EC434" s="17"/>
      <c r="ED434" s="21"/>
      <c r="EE434" s="58"/>
      <c r="EG434" s="21"/>
    </row>
    <row r="435" spans="1:137" ht="16.5" thickTop="1" thickBot="1" x14ac:dyDescent="0.3">
      <c r="A435" s="1">
        <v>560</v>
      </c>
      <c r="B435" s="138"/>
      <c r="C435" s="138"/>
      <c r="D435" s="134"/>
      <c r="E435" s="135"/>
      <c r="F435" s="135"/>
      <c r="G435" s="223" t="s">
        <v>2125</v>
      </c>
      <c r="H435" s="95" t="s">
        <v>2001</v>
      </c>
      <c r="I435" s="226" t="s">
        <v>118</v>
      </c>
      <c r="J435" t="s">
        <v>243</v>
      </c>
      <c r="K435" s="11">
        <v>25000</v>
      </c>
      <c r="L435" t="s">
        <v>2180</v>
      </c>
      <c r="M435" t="s">
        <v>2139</v>
      </c>
      <c r="N435" t="s">
        <v>2140</v>
      </c>
      <c r="O435" s="101"/>
      <c r="P435" t="s">
        <v>2165</v>
      </c>
      <c r="Q435" s="101" t="s">
        <v>177</v>
      </c>
      <c r="R435" s="101"/>
      <c r="S435" s="210"/>
      <c r="T435" s="210"/>
      <c r="U435" s="210"/>
      <c r="V435" s="210"/>
      <c r="W435" s="210"/>
      <c r="X435" s="210"/>
      <c r="Y435" s="235">
        <v>25597.47</v>
      </c>
      <c r="Z435" s="10">
        <v>292</v>
      </c>
      <c r="AA435" s="58">
        <v>111.51749999999998</v>
      </c>
      <c r="AB435" s="21"/>
      <c r="AC435" s="21"/>
      <c r="AE435" s="17" t="s">
        <v>2180</v>
      </c>
      <c r="AF435" s="58"/>
      <c r="AG435" s="58"/>
      <c r="AH435" s="58"/>
      <c r="AI435" s="58"/>
      <c r="AJ435" s="21">
        <f t="shared" si="250"/>
        <v>0</v>
      </c>
      <c r="AK435" s="58"/>
      <c r="AL435" s="21"/>
      <c r="AM435" s="58">
        <f t="shared" si="251"/>
        <v>0</v>
      </c>
      <c r="AN435" s="21">
        <f>IF(Table1[[#This Row],[Sustainability Check 1 (2017-2018) Status]]="Continued", Table1[[#This Row],[Students Per Summer]], 0)</f>
        <v>0</v>
      </c>
      <c r="AO435" s="58">
        <f t="shared" si="252"/>
        <v>0</v>
      </c>
      <c r="AP435" s="21">
        <f>IF(Table1[[#This Row],[Sustainability Check 1 (2017-2018) Status]]="Continued", Table1[[#This Row],[Students Per Fall]], 0)</f>
        <v>0</v>
      </c>
      <c r="AQ435" s="58">
        <f t="shared" si="253"/>
        <v>0</v>
      </c>
      <c r="AR435" s="21"/>
      <c r="AS435" s="58">
        <f t="shared" si="254"/>
        <v>0</v>
      </c>
      <c r="AT435" s="21"/>
      <c r="AU435" s="58">
        <f t="shared" si="255"/>
        <v>0</v>
      </c>
      <c r="AV435" s="21"/>
      <c r="AW435" s="58"/>
      <c r="AX435" s="31"/>
      <c r="AY435" s="58"/>
      <c r="AZ435" s="31"/>
      <c r="BA435" s="58"/>
      <c r="BB435" s="31"/>
      <c r="BC435" s="58"/>
      <c r="BD435" s="31"/>
      <c r="BE435" s="58"/>
      <c r="BF435" s="31"/>
      <c r="BG435" s="58"/>
      <c r="BH435" s="21">
        <v>0</v>
      </c>
      <c r="BI435" s="21">
        <v>0</v>
      </c>
      <c r="BJ435" s="21">
        <v>0</v>
      </c>
      <c r="BK435" s="21">
        <v>0</v>
      </c>
      <c r="BL435" s="17" t="s">
        <v>130</v>
      </c>
      <c r="BM435" s="21">
        <v>0</v>
      </c>
      <c r="BN435" s="21">
        <v>0</v>
      </c>
      <c r="BO435" s="21">
        <v>0</v>
      </c>
      <c r="BP435" s="31">
        <f t="shared" si="256"/>
        <v>0</v>
      </c>
      <c r="BQ435" s="21">
        <v>0</v>
      </c>
      <c r="BR435" s="21">
        <v>0</v>
      </c>
      <c r="BS435" s="21">
        <v>0</v>
      </c>
      <c r="BT435" s="21">
        <v>0</v>
      </c>
      <c r="BU435" s="21">
        <v>0</v>
      </c>
      <c r="BV435" s="21">
        <v>0</v>
      </c>
      <c r="BW435" s="21">
        <v>0</v>
      </c>
      <c r="BX435" s="136">
        <f>Table1[[#This Row],[Summer 2018 Price Check]]*Table1[[#This Row],[Spring 2019 Students]]</f>
        <v>0</v>
      </c>
      <c r="BY435" s="31">
        <f t="shared" si="257"/>
        <v>0</v>
      </c>
      <c r="BZ435" s="58">
        <f t="shared" si="258"/>
        <v>0</v>
      </c>
      <c r="CA435" s="17" t="s">
        <v>130</v>
      </c>
      <c r="CB435" s="21">
        <v>0</v>
      </c>
      <c r="CC435" s="21">
        <v>0</v>
      </c>
      <c r="CD435" s="21">
        <v>0</v>
      </c>
      <c r="CE435" s="21">
        <v>0</v>
      </c>
      <c r="CF435" s="21">
        <v>0</v>
      </c>
      <c r="CG435" s="21">
        <v>0</v>
      </c>
      <c r="CH435" t="s">
        <v>2180</v>
      </c>
      <c r="CI435" s="137">
        <f>IF(Table1[[#This Row],[Check 3 Status]]="Continued", Table1[[#This Row],[Check 3 Students Summer]], 0)</f>
        <v>0</v>
      </c>
      <c r="CJ435" s="136">
        <f>Table1[[#This Row],[Check 3 Per Student Savings]]*CI435</f>
        <v>0</v>
      </c>
      <c r="CK435" s="137">
        <f>IF(Table1[[#This Row],[Check 3 Status]]="Continued", Table1[[#This Row],[Check 3 Students Fall]], 0)</f>
        <v>0</v>
      </c>
      <c r="CL435" s="136">
        <f>Table1[[#This Row],[Check 3 Per Student Savings]]*CK435</f>
        <v>0</v>
      </c>
      <c r="CM435" s="124">
        <f>IF(Table1[[#This Row],[Check 3 Status]]="Continued", Table1[[#This Row],[Check 3 Students Spring]], 0)</f>
        <v>0</v>
      </c>
      <c r="CN435" s="123">
        <f>Table1[[#This Row],[Check 3 Per Student Savings]]*CM435</f>
        <v>0</v>
      </c>
      <c r="CO435" s="124">
        <f t="shared" si="259"/>
        <v>0</v>
      </c>
      <c r="CP435" s="123">
        <f t="shared" si="260"/>
        <v>0</v>
      </c>
      <c r="CQ435" s="123" t="s">
        <v>130</v>
      </c>
      <c r="CR435" s="124">
        <v>0</v>
      </c>
      <c r="CS435" s="124">
        <v>0</v>
      </c>
      <c r="CT435" s="124">
        <v>0</v>
      </c>
      <c r="CU435" s="124">
        <f t="shared" si="238"/>
        <v>0</v>
      </c>
      <c r="CV435" s="9">
        <v>187.95</v>
      </c>
      <c r="CW435" s="123">
        <f t="shared" si="235"/>
        <v>0</v>
      </c>
      <c r="CX435" t="s">
        <v>2180</v>
      </c>
      <c r="CY435" s="124">
        <v>0</v>
      </c>
      <c r="CZ435" s="58">
        <f>Table1[[#This Row],[Check 4 Per Student Savings]]*CY435</f>
        <v>0</v>
      </c>
      <c r="DA435" s="124">
        <v>0</v>
      </c>
      <c r="DB435" s="123">
        <f>Table1[[#This Row],[Check 4 Per Student Savings]]*DA435</f>
        <v>0</v>
      </c>
      <c r="DC435" s="124">
        <v>0</v>
      </c>
      <c r="DD435" s="58">
        <f>Table1[[#This Row],[Check 4 Per Student Savings]]*DC435</f>
        <v>0</v>
      </c>
      <c r="DE435" s="58">
        <f t="shared" si="236"/>
        <v>0</v>
      </c>
      <c r="DF435" s="58">
        <f t="shared" si="237"/>
        <v>0</v>
      </c>
      <c r="DG43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3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35" s="111">
        <f>Table1[[#This Row],[Grand Total Savings]]/Table1[[#This Row],[Total Award]]</f>
        <v>0</v>
      </c>
      <c r="DJ435" s="207"/>
      <c r="DK435" s="58"/>
      <c r="DL435" s="31"/>
      <c r="DN435" s="58"/>
      <c r="EC435" s="17"/>
      <c r="ED435" s="21"/>
      <c r="EE435" s="58"/>
      <c r="EG435" s="21"/>
    </row>
    <row r="436" spans="1:137" ht="16.5" thickTop="1" thickBot="1" x14ac:dyDescent="0.3">
      <c r="A436" s="1">
        <v>561</v>
      </c>
      <c r="B436" s="138"/>
      <c r="C436" s="138"/>
      <c r="D436" s="134"/>
      <c r="E436" s="135"/>
      <c r="F436" s="135"/>
      <c r="G436" s="223" t="s">
        <v>2125</v>
      </c>
      <c r="H436" s="95" t="s">
        <v>2001</v>
      </c>
      <c r="I436" s="226" t="s">
        <v>118</v>
      </c>
      <c r="J436" t="s">
        <v>388</v>
      </c>
      <c r="K436" s="11">
        <v>27550</v>
      </c>
      <c r="L436" t="s">
        <v>2180</v>
      </c>
      <c r="M436" t="s">
        <v>2141</v>
      </c>
      <c r="N436" t="s">
        <v>2142</v>
      </c>
      <c r="O436" s="101"/>
      <c r="P436" t="s">
        <v>1502</v>
      </c>
      <c r="Q436" s="101" t="s">
        <v>272</v>
      </c>
      <c r="R436" s="101"/>
      <c r="S436" s="210"/>
      <c r="T436" s="210"/>
      <c r="U436" s="210"/>
      <c r="V436" s="210"/>
      <c r="W436" s="210"/>
      <c r="X436" s="210"/>
      <c r="Y436" s="235">
        <v>46641.3</v>
      </c>
      <c r="Z436" s="10">
        <v>294</v>
      </c>
      <c r="AA436" s="58">
        <v>127.13749999999999</v>
      </c>
      <c r="AB436" s="21"/>
      <c r="AC436" s="21"/>
      <c r="AE436" s="17" t="s">
        <v>2180</v>
      </c>
      <c r="AF436" s="58"/>
      <c r="AG436" s="58"/>
      <c r="AH436" s="58"/>
      <c r="AI436" s="58"/>
      <c r="AJ436" s="21">
        <f t="shared" si="250"/>
        <v>0</v>
      </c>
      <c r="AK436" s="58"/>
      <c r="AL436" s="21"/>
      <c r="AM436" s="58">
        <f t="shared" si="251"/>
        <v>0</v>
      </c>
      <c r="AN436" s="21">
        <f>IF(Table1[[#This Row],[Sustainability Check 1 (2017-2018) Status]]="Continued", Table1[[#This Row],[Students Per Summer]], 0)</f>
        <v>0</v>
      </c>
      <c r="AO436" s="58">
        <f t="shared" si="252"/>
        <v>0</v>
      </c>
      <c r="AP436" s="21">
        <f>IF(Table1[[#This Row],[Sustainability Check 1 (2017-2018) Status]]="Continued", Table1[[#This Row],[Students Per Fall]], 0)</f>
        <v>0</v>
      </c>
      <c r="AQ436" s="58">
        <f t="shared" si="253"/>
        <v>0</v>
      </c>
      <c r="AR436" s="21"/>
      <c r="AS436" s="58">
        <f t="shared" si="254"/>
        <v>0</v>
      </c>
      <c r="AT436" s="21"/>
      <c r="AU436" s="58">
        <f t="shared" si="255"/>
        <v>0</v>
      </c>
      <c r="AV436" s="21"/>
      <c r="AW436" s="58"/>
      <c r="AX436" s="31"/>
      <c r="AY436" s="58"/>
      <c r="AZ436" s="31"/>
      <c r="BA436" s="58"/>
      <c r="BB436" s="31"/>
      <c r="BC436" s="58"/>
      <c r="BD436" s="31"/>
      <c r="BE436" s="58"/>
      <c r="BF436" s="31"/>
      <c r="BG436" s="58"/>
      <c r="BH436" s="21">
        <v>0</v>
      </c>
      <c r="BI436" s="21">
        <v>0</v>
      </c>
      <c r="BJ436" s="21">
        <v>0</v>
      </c>
      <c r="BK436" s="21">
        <v>0</v>
      </c>
      <c r="BL436" s="17" t="s">
        <v>130</v>
      </c>
      <c r="BM436" s="21">
        <v>0</v>
      </c>
      <c r="BN436" s="21">
        <v>0</v>
      </c>
      <c r="BO436" s="21">
        <v>0</v>
      </c>
      <c r="BP436" s="31">
        <f t="shared" si="256"/>
        <v>0</v>
      </c>
      <c r="BQ436" s="21">
        <v>0</v>
      </c>
      <c r="BR436" s="21">
        <v>0</v>
      </c>
      <c r="BS436" s="21">
        <v>0</v>
      </c>
      <c r="BT436" s="21">
        <v>0</v>
      </c>
      <c r="BU436" s="21">
        <v>0</v>
      </c>
      <c r="BV436" s="21">
        <v>0</v>
      </c>
      <c r="BW436" s="21">
        <v>0</v>
      </c>
      <c r="BX436" s="136">
        <f>Table1[[#This Row],[Summer 2018 Price Check]]*Table1[[#This Row],[Spring 2019 Students]]</f>
        <v>0</v>
      </c>
      <c r="BY436" s="31">
        <f t="shared" si="257"/>
        <v>0</v>
      </c>
      <c r="BZ436" s="58">
        <f t="shared" si="258"/>
        <v>0</v>
      </c>
      <c r="CA436" s="17" t="s">
        <v>130</v>
      </c>
      <c r="CB436" s="21">
        <v>0</v>
      </c>
      <c r="CC436" s="21">
        <v>0</v>
      </c>
      <c r="CD436" s="21">
        <v>0</v>
      </c>
      <c r="CE436" s="21">
        <v>0</v>
      </c>
      <c r="CF436" s="21">
        <v>0</v>
      </c>
      <c r="CG436" s="21">
        <v>0</v>
      </c>
      <c r="CH436" t="s">
        <v>2180</v>
      </c>
      <c r="CI436" s="137">
        <f>IF(Table1[[#This Row],[Check 3 Status]]="Continued", Table1[[#This Row],[Check 3 Students Summer]], 0)</f>
        <v>0</v>
      </c>
      <c r="CJ436" s="136">
        <f>Table1[[#This Row],[Check 3 Per Student Savings]]*CI436</f>
        <v>0</v>
      </c>
      <c r="CK436" s="137">
        <f>IF(Table1[[#This Row],[Check 3 Status]]="Continued", Table1[[#This Row],[Check 3 Students Fall]], 0)</f>
        <v>0</v>
      </c>
      <c r="CL436" s="136">
        <f>Table1[[#This Row],[Check 3 Per Student Savings]]*CK436</f>
        <v>0</v>
      </c>
      <c r="CM436" s="124">
        <f>IF(Table1[[#This Row],[Check 3 Status]]="Continued", Table1[[#This Row],[Check 3 Students Spring]], 0)</f>
        <v>0</v>
      </c>
      <c r="CN436" s="123">
        <f>Table1[[#This Row],[Check 3 Per Student Savings]]*CM436</f>
        <v>0</v>
      </c>
      <c r="CO436" s="124">
        <f t="shared" si="259"/>
        <v>0</v>
      </c>
      <c r="CP436" s="123">
        <f t="shared" si="260"/>
        <v>0</v>
      </c>
      <c r="CQ436" s="123" t="s">
        <v>130</v>
      </c>
      <c r="CR436" s="124">
        <v>0</v>
      </c>
      <c r="CS436" s="124">
        <v>0</v>
      </c>
      <c r="CT436" s="124">
        <v>0</v>
      </c>
      <c r="CU436" s="124">
        <f t="shared" si="238"/>
        <v>0</v>
      </c>
      <c r="CV436" s="9">
        <v>230</v>
      </c>
      <c r="CW436" s="123">
        <f t="shared" si="235"/>
        <v>0</v>
      </c>
      <c r="CX436" t="s">
        <v>2180</v>
      </c>
      <c r="CY436" s="124">
        <v>0</v>
      </c>
      <c r="CZ436" s="58">
        <f>Table1[[#This Row],[Check 4 Per Student Savings]]*CY436</f>
        <v>0</v>
      </c>
      <c r="DA436" s="124">
        <v>0</v>
      </c>
      <c r="DB436" s="123">
        <f>Table1[[#This Row],[Check 4 Per Student Savings]]*DA436</f>
        <v>0</v>
      </c>
      <c r="DC436" s="124">
        <v>0</v>
      </c>
      <c r="DD436" s="58">
        <f>Table1[[#This Row],[Check 4 Per Student Savings]]*DC436</f>
        <v>0</v>
      </c>
      <c r="DE436" s="58">
        <f t="shared" si="236"/>
        <v>0</v>
      </c>
      <c r="DF436" s="58">
        <f t="shared" si="237"/>
        <v>0</v>
      </c>
      <c r="DG43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3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36" s="111">
        <f>Table1[[#This Row],[Grand Total Savings]]/Table1[[#This Row],[Total Award]]</f>
        <v>0</v>
      </c>
      <c r="DJ436" s="207"/>
      <c r="DK436" s="58"/>
      <c r="DL436" s="31"/>
      <c r="DN436" s="58"/>
      <c r="EC436" s="17"/>
      <c r="ED436" s="21"/>
      <c r="EE436" s="58"/>
      <c r="EG436" s="21"/>
    </row>
    <row r="437" spans="1:137" ht="16.5" thickTop="1" thickBot="1" x14ac:dyDescent="0.3">
      <c r="A437" s="1" t="s">
        <v>2108</v>
      </c>
      <c r="B437" s="138"/>
      <c r="C437" s="138"/>
      <c r="D437" s="134"/>
      <c r="E437" s="135"/>
      <c r="F437" s="135"/>
      <c r="G437" s="223" t="s">
        <v>2125</v>
      </c>
      <c r="H437" s="95" t="s">
        <v>2001</v>
      </c>
      <c r="I437" s="17" t="s">
        <v>962</v>
      </c>
      <c r="J437" t="s">
        <v>132</v>
      </c>
      <c r="K437" s="11">
        <v>10000</v>
      </c>
      <c r="L437" t="s">
        <v>2180</v>
      </c>
      <c r="M437" t="s">
        <v>664</v>
      </c>
      <c r="N437" t="s">
        <v>665</v>
      </c>
      <c r="O437" s="101"/>
      <c r="P437" t="s">
        <v>2169</v>
      </c>
      <c r="Q437" s="101" t="s">
        <v>177</v>
      </c>
      <c r="R437" s="101"/>
      <c r="S437" s="210"/>
      <c r="T437" s="210"/>
      <c r="U437" s="210"/>
      <c r="V437" s="210"/>
      <c r="W437" s="210"/>
      <c r="X437" s="210"/>
      <c r="Y437" s="58"/>
      <c r="Z437" s="139"/>
      <c r="AA437" s="58"/>
      <c r="AB437" s="21"/>
      <c r="AC437" s="21"/>
      <c r="AE437" s="139" t="s">
        <v>13</v>
      </c>
      <c r="AF437" s="58"/>
      <c r="AG437" s="58"/>
      <c r="AH437" s="58"/>
      <c r="AI437" s="58"/>
      <c r="AJ437" s="21">
        <f t="shared" si="250"/>
        <v>0</v>
      </c>
      <c r="AK437" s="58"/>
      <c r="AL437" s="21"/>
      <c r="AM437" s="58">
        <f t="shared" si="251"/>
        <v>0</v>
      </c>
      <c r="AN437" s="21">
        <f>IF(Table1[[#This Row],[Sustainability Check 1 (2017-2018) Status]]="Continued", Table1[[#This Row],[Students Per Summer]], 0)</f>
        <v>0</v>
      </c>
      <c r="AO437" s="58">
        <f t="shared" si="252"/>
        <v>0</v>
      </c>
      <c r="AP437" s="21">
        <f>IF(Table1[[#This Row],[Sustainability Check 1 (2017-2018) Status]]="Continued", Table1[[#This Row],[Students Per Fall]], 0)</f>
        <v>0</v>
      </c>
      <c r="AQ437" s="58">
        <f t="shared" si="253"/>
        <v>0</v>
      </c>
      <c r="AR437" s="21"/>
      <c r="AS437" s="58">
        <f t="shared" si="254"/>
        <v>0</v>
      </c>
      <c r="AT437" s="21"/>
      <c r="AU437" s="58">
        <f t="shared" si="255"/>
        <v>0</v>
      </c>
      <c r="AV437" s="21"/>
      <c r="AW437" s="58"/>
      <c r="AX437" s="31"/>
      <c r="AY437" s="58"/>
      <c r="AZ437" s="31"/>
      <c r="BA437" s="58"/>
      <c r="BB437" s="31"/>
      <c r="BC437" s="58"/>
      <c r="BD437" s="31"/>
      <c r="BE437" s="58"/>
      <c r="BF437" s="31"/>
      <c r="BG437" s="58"/>
      <c r="BH437" s="21">
        <v>0</v>
      </c>
      <c r="BI437" s="21">
        <v>0</v>
      </c>
      <c r="BJ437" s="21">
        <v>0</v>
      </c>
      <c r="BK437" s="21">
        <v>0</v>
      </c>
      <c r="BL437" s="58" t="s">
        <v>964</v>
      </c>
      <c r="BM437" s="21">
        <v>0</v>
      </c>
      <c r="BN437" s="21">
        <v>0</v>
      </c>
      <c r="BO437" s="21">
        <v>0</v>
      </c>
      <c r="BP437" s="31">
        <f t="shared" si="256"/>
        <v>0</v>
      </c>
      <c r="BQ437" s="21">
        <v>0</v>
      </c>
      <c r="BR437" s="21">
        <v>0</v>
      </c>
      <c r="BS437" s="21">
        <v>0</v>
      </c>
      <c r="BT437" s="21">
        <v>0</v>
      </c>
      <c r="BU437" s="21">
        <v>0</v>
      </c>
      <c r="BV437" s="21">
        <v>0</v>
      </c>
      <c r="BW437" s="21">
        <v>0</v>
      </c>
      <c r="BX437" s="136">
        <f>Table1[[#This Row],[Summer 2018 Price Check]]*Table1[[#This Row],[Spring 2019 Students]]</f>
        <v>0</v>
      </c>
      <c r="BY437" s="31">
        <f t="shared" si="257"/>
        <v>0</v>
      </c>
      <c r="BZ437" s="58">
        <f t="shared" si="258"/>
        <v>0</v>
      </c>
      <c r="CA437" s="58" t="s">
        <v>964</v>
      </c>
      <c r="CB437" s="21">
        <v>0</v>
      </c>
      <c r="CC437" s="21">
        <v>0</v>
      </c>
      <c r="CD437" s="21">
        <v>0</v>
      </c>
      <c r="CE437" s="21">
        <v>0</v>
      </c>
      <c r="CF437" s="21">
        <v>0</v>
      </c>
      <c r="CG437" s="21">
        <v>0</v>
      </c>
      <c r="CH437" t="s">
        <v>2180</v>
      </c>
      <c r="CI437" s="137">
        <f>IF(Table1[[#This Row],[Check 3 Status]]="Continued", Table1[[#This Row],[Check 3 Students Summer]], 0)</f>
        <v>0</v>
      </c>
      <c r="CJ437" s="136">
        <f>Table1[[#This Row],[Check 3 Per Student Savings]]*CI437</f>
        <v>0</v>
      </c>
      <c r="CK437" s="137">
        <f>IF(Table1[[#This Row],[Check 3 Status]]="Continued", Table1[[#This Row],[Check 3 Students Fall]], 0)</f>
        <v>0</v>
      </c>
      <c r="CL437" s="136">
        <f>Table1[[#This Row],[Check 3 Per Student Savings]]*CK437</f>
        <v>0</v>
      </c>
      <c r="CM437" s="124">
        <f>IF(Table1[[#This Row],[Check 3 Status]]="Continued", Table1[[#This Row],[Check 3 Students Spring]], 0)</f>
        <v>0</v>
      </c>
      <c r="CN437" s="123">
        <f>Table1[[#This Row],[Check 3 Per Student Savings]]*CM437</f>
        <v>0</v>
      </c>
      <c r="CO437" s="124">
        <f t="shared" si="259"/>
        <v>0</v>
      </c>
      <c r="CP437" s="123">
        <f t="shared" si="260"/>
        <v>0</v>
      </c>
      <c r="CQ437" s="123" t="s">
        <v>964</v>
      </c>
      <c r="CR437" s="124">
        <v>0</v>
      </c>
      <c r="CS437" s="124">
        <v>0</v>
      </c>
      <c r="CT437" s="124">
        <v>0</v>
      </c>
      <c r="CU437" s="124">
        <f t="shared" si="238"/>
        <v>0</v>
      </c>
      <c r="CV437" s="123">
        <v>0</v>
      </c>
      <c r="CW437" s="123">
        <f t="shared" si="235"/>
        <v>0</v>
      </c>
      <c r="CX437" t="s">
        <v>2180</v>
      </c>
      <c r="CY437" s="124">
        <v>0</v>
      </c>
      <c r="CZ437" s="58">
        <f>Table1[[#This Row],[Check 4 Per Student Savings]]*CY437</f>
        <v>0</v>
      </c>
      <c r="DA437" s="124">
        <v>0</v>
      </c>
      <c r="DB437" s="123">
        <f>Table1[[#This Row],[Check 4 Per Student Savings]]*DA437</f>
        <v>0</v>
      </c>
      <c r="DC437" s="124">
        <v>0</v>
      </c>
      <c r="DD437" s="58">
        <f>Table1[[#This Row],[Check 4 Per Student Savings]]*DC437</f>
        <v>0</v>
      </c>
      <c r="DE437" s="58">
        <f t="shared" si="236"/>
        <v>0</v>
      </c>
      <c r="DF437" s="58">
        <f t="shared" si="237"/>
        <v>0</v>
      </c>
      <c r="DG43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3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37" s="111">
        <f>Table1[[#This Row],[Grand Total Savings]]/Table1[[#This Row],[Total Award]]</f>
        <v>0</v>
      </c>
      <c r="DJ437" s="207"/>
      <c r="DK437" s="58"/>
      <c r="DL437" s="31"/>
      <c r="DN437" s="58"/>
      <c r="EC437" s="17"/>
      <c r="ED437" s="21"/>
      <c r="EE437" s="58"/>
      <c r="EG437" s="21"/>
    </row>
    <row r="438" spans="1:137" ht="16.5" thickTop="1" thickBot="1" x14ac:dyDescent="0.3">
      <c r="A438" s="1" t="s">
        <v>2109</v>
      </c>
      <c r="B438" s="138"/>
      <c r="C438" s="138"/>
      <c r="D438" s="134"/>
      <c r="E438" s="135"/>
      <c r="F438" s="135"/>
      <c r="G438" s="223" t="s">
        <v>2125</v>
      </c>
      <c r="H438" s="95" t="s">
        <v>2001</v>
      </c>
      <c r="I438" s="17" t="s">
        <v>962</v>
      </c>
      <c r="J438" t="s">
        <v>132</v>
      </c>
      <c r="K438" s="11">
        <v>10000</v>
      </c>
      <c r="L438" t="s">
        <v>2180</v>
      </c>
      <c r="M438" t="s">
        <v>435</v>
      </c>
      <c r="N438" t="s">
        <v>436</v>
      </c>
      <c r="O438" s="101"/>
      <c r="P438" s="5" t="s">
        <v>2170</v>
      </c>
      <c r="Q438" s="101" t="s">
        <v>177</v>
      </c>
      <c r="R438" s="101"/>
      <c r="S438" s="210"/>
      <c r="T438" s="210"/>
      <c r="U438" s="210"/>
      <c r="V438" s="210"/>
      <c r="W438" s="210"/>
      <c r="X438" s="210"/>
      <c r="Y438" s="58"/>
      <c r="Z438" s="139"/>
      <c r="AA438" s="58"/>
      <c r="AB438" s="21"/>
      <c r="AC438" s="21"/>
      <c r="AE438" s="139" t="s">
        <v>13</v>
      </c>
      <c r="AF438" s="58"/>
      <c r="AG438" s="58"/>
      <c r="AH438" s="58"/>
      <c r="AI438" s="58"/>
      <c r="AJ438" s="21">
        <f t="shared" si="250"/>
        <v>0</v>
      </c>
      <c r="AK438" s="58"/>
      <c r="AL438" s="21"/>
      <c r="AM438" s="58">
        <f t="shared" si="251"/>
        <v>0</v>
      </c>
      <c r="AN438" s="21">
        <f>IF(Table1[[#This Row],[Sustainability Check 1 (2017-2018) Status]]="Continued", Table1[[#This Row],[Students Per Summer]], 0)</f>
        <v>0</v>
      </c>
      <c r="AO438" s="58">
        <f t="shared" si="252"/>
        <v>0</v>
      </c>
      <c r="AP438" s="21">
        <f>IF(Table1[[#This Row],[Sustainability Check 1 (2017-2018) Status]]="Continued", Table1[[#This Row],[Students Per Fall]], 0)</f>
        <v>0</v>
      </c>
      <c r="AQ438" s="58">
        <f t="shared" si="253"/>
        <v>0</v>
      </c>
      <c r="AR438" s="21"/>
      <c r="AS438" s="58">
        <f t="shared" si="254"/>
        <v>0</v>
      </c>
      <c r="AT438" s="21"/>
      <c r="AU438" s="58">
        <f t="shared" si="255"/>
        <v>0</v>
      </c>
      <c r="AV438" s="21"/>
      <c r="AW438" s="58"/>
      <c r="AX438" s="31"/>
      <c r="AY438" s="58"/>
      <c r="AZ438" s="31"/>
      <c r="BA438" s="58"/>
      <c r="BB438" s="31"/>
      <c r="BC438" s="58"/>
      <c r="BD438" s="31"/>
      <c r="BE438" s="58"/>
      <c r="BF438" s="31"/>
      <c r="BG438" s="58"/>
      <c r="BH438" s="21">
        <v>0</v>
      </c>
      <c r="BI438" s="21">
        <v>0</v>
      </c>
      <c r="BJ438" s="21">
        <v>0</v>
      </c>
      <c r="BK438" s="21">
        <v>0</v>
      </c>
      <c r="BL438" s="58" t="s">
        <v>964</v>
      </c>
      <c r="BM438" s="21">
        <v>0</v>
      </c>
      <c r="BN438" s="21">
        <v>0</v>
      </c>
      <c r="BO438" s="21">
        <v>0</v>
      </c>
      <c r="BP438" s="31">
        <f t="shared" si="256"/>
        <v>0</v>
      </c>
      <c r="BQ438" s="21">
        <v>0</v>
      </c>
      <c r="BR438" s="21">
        <v>0</v>
      </c>
      <c r="BS438" s="21">
        <v>0</v>
      </c>
      <c r="BT438" s="21">
        <v>0</v>
      </c>
      <c r="BU438" s="21">
        <v>0</v>
      </c>
      <c r="BV438" s="21">
        <v>0</v>
      </c>
      <c r="BW438" s="21">
        <v>0</v>
      </c>
      <c r="BX438" s="136">
        <f>Table1[[#This Row],[Summer 2018 Price Check]]*Table1[[#This Row],[Spring 2019 Students]]</f>
        <v>0</v>
      </c>
      <c r="BY438" s="31">
        <f t="shared" si="257"/>
        <v>0</v>
      </c>
      <c r="BZ438" s="58">
        <f t="shared" si="258"/>
        <v>0</v>
      </c>
      <c r="CA438" s="58" t="s">
        <v>964</v>
      </c>
      <c r="CB438" s="21">
        <v>0</v>
      </c>
      <c r="CC438" s="21">
        <v>0</v>
      </c>
      <c r="CD438" s="21">
        <v>0</v>
      </c>
      <c r="CE438" s="21">
        <v>0</v>
      </c>
      <c r="CF438" s="21">
        <v>0</v>
      </c>
      <c r="CG438" s="21">
        <v>0</v>
      </c>
      <c r="CH438" t="s">
        <v>2180</v>
      </c>
      <c r="CI438" s="137">
        <f>IF(Table1[[#This Row],[Check 3 Status]]="Continued", Table1[[#This Row],[Check 3 Students Summer]], 0)</f>
        <v>0</v>
      </c>
      <c r="CJ438" s="136">
        <f>Table1[[#This Row],[Check 3 Per Student Savings]]*CI438</f>
        <v>0</v>
      </c>
      <c r="CK438" s="137">
        <f>IF(Table1[[#This Row],[Check 3 Status]]="Continued", Table1[[#This Row],[Check 3 Students Fall]], 0)</f>
        <v>0</v>
      </c>
      <c r="CL438" s="136">
        <f>Table1[[#This Row],[Check 3 Per Student Savings]]*CK438</f>
        <v>0</v>
      </c>
      <c r="CM438" s="124">
        <f>IF(Table1[[#This Row],[Check 3 Status]]="Continued", Table1[[#This Row],[Check 3 Students Spring]], 0)</f>
        <v>0</v>
      </c>
      <c r="CN438" s="123">
        <f>Table1[[#This Row],[Check 3 Per Student Savings]]*CM438</f>
        <v>0</v>
      </c>
      <c r="CO438" s="124">
        <f t="shared" si="259"/>
        <v>0</v>
      </c>
      <c r="CP438" s="123">
        <f t="shared" si="260"/>
        <v>0</v>
      </c>
      <c r="CQ438" s="123" t="s">
        <v>964</v>
      </c>
      <c r="CR438" s="124">
        <v>0</v>
      </c>
      <c r="CS438" s="124">
        <v>0</v>
      </c>
      <c r="CT438" s="124">
        <v>0</v>
      </c>
      <c r="CU438" s="124">
        <f t="shared" si="238"/>
        <v>0</v>
      </c>
      <c r="CV438" s="123">
        <v>0</v>
      </c>
      <c r="CW438" s="123">
        <f t="shared" si="235"/>
        <v>0</v>
      </c>
      <c r="CX438" t="s">
        <v>2180</v>
      </c>
      <c r="CY438" s="124">
        <v>0</v>
      </c>
      <c r="CZ438" s="58">
        <f>Table1[[#This Row],[Check 4 Per Student Savings]]*CY438</f>
        <v>0</v>
      </c>
      <c r="DA438" s="124">
        <v>0</v>
      </c>
      <c r="DB438" s="123">
        <f>Table1[[#This Row],[Check 4 Per Student Savings]]*DA438</f>
        <v>0</v>
      </c>
      <c r="DC438" s="124">
        <v>0</v>
      </c>
      <c r="DD438" s="58">
        <f>Table1[[#This Row],[Check 4 Per Student Savings]]*DC438</f>
        <v>0</v>
      </c>
      <c r="DE438" s="58">
        <f t="shared" si="236"/>
        <v>0</v>
      </c>
      <c r="DF438" s="58">
        <f t="shared" si="237"/>
        <v>0</v>
      </c>
      <c r="DG43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3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38" s="111">
        <f>Table1[[#This Row],[Grand Total Savings]]/Table1[[#This Row],[Total Award]]</f>
        <v>0</v>
      </c>
      <c r="DJ438" s="207"/>
      <c r="DK438" s="58"/>
      <c r="DL438" s="31"/>
      <c r="DN438" s="58"/>
      <c r="EC438" s="17"/>
      <c r="ED438" s="21"/>
      <c r="EE438" s="58"/>
      <c r="EG438" s="21"/>
    </row>
    <row r="439" spans="1:137" ht="16.5" thickTop="1" thickBot="1" x14ac:dyDescent="0.3">
      <c r="A439" s="1" t="s">
        <v>2110</v>
      </c>
      <c r="B439" s="138"/>
      <c r="C439" s="138"/>
      <c r="D439" s="134"/>
      <c r="E439" s="135"/>
      <c r="F439" s="135"/>
      <c r="G439" s="223" t="s">
        <v>2125</v>
      </c>
      <c r="H439" s="95" t="s">
        <v>2001</v>
      </c>
      <c r="I439" s="17" t="s">
        <v>962</v>
      </c>
      <c r="J439" t="s">
        <v>172</v>
      </c>
      <c r="K439" s="11">
        <v>10000</v>
      </c>
      <c r="L439" t="s">
        <v>2180</v>
      </c>
      <c r="M439" t="s">
        <v>2143</v>
      </c>
      <c r="N439" t="s">
        <v>2144</v>
      </c>
      <c r="O439" s="101"/>
      <c r="P439" t="s">
        <v>2171</v>
      </c>
      <c r="Q439" s="101" t="s">
        <v>177</v>
      </c>
      <c r="R439" s="101"/>
      <c r="S439" s="210"/>
      <c r="T439" s="210"/>
      <c r="U439" s="210"/>
      <c r="V439" s="210"/>
      <c r="W439" s="210"/>
      <c r="X439" s="210"/>
      <c r="Y439" s="58"/>
      <c r="Z439" s="139"/>
      <c r="AA439" s="58"/>
      <c r="AB439" s="21"/>
      <c r="AC439" s="21"/>
      <c r="AE439" s="139" t="s">
        <v>13</v>
      </c>
      <c r="AF439" s="58"/>
      <c r="AG439" s="58"/>
      <c r="AH439" s="58"/>
      <c r="AI439" s="58"/>
      <c r="AJ439" s="21">
        <f t="shared" si="250"/>
        <v>0</v>
      </c>
      <c r="AK439" s="58"/>
      <c r="AL439" s="21"/>
      <c r="AM439" s="58">
        <f t="shared" si="251"/>
        <v>0</v>
      </c>
      <c r="AN439" s="21">
        <f>IF(Table1[[#This Row],[Sustainability Check 1 (2017-2018) Status]]="Continued", Table1[[#This Row],[Students Per Summer]], 0)</f>
        <v>0</v>
      </c>
      <c r="AO439" s="58">
        <f t="shared" si="252"/>
        <v>0</v>
      </c>
      <c r="AP439" s="21">
        <f>IF(Table1[[#This Row],[Sustainability Check 1 (2017-2018) Status]]="Continued", Table1[[#This Row],[Students Per Fall]], 0)</f>
        <v>0</v>
      </c>
      <c r="AQ439" s="58">
        <f t="shared" si="253"/>
        <v>0</v>
      </c>
      <c r="AR439" s="21"/>
      <c r="AS439" s="58">
        <f t="shared" si="254"/>
        <v>0</v>
      </c>
      <c r="AT439" s="21"/>
      <c r="AU439" s="58">
        <f t="shared" si="255"/>
        <v>0</v>
      </c>
      <c r="AV439" s="21"/>
      <c r="AW439" s="58"/>
      <c r="AX439" s="31"/>
      <c r="AY439" s="58"/>
      <c r="AZ439" s="31"/>
      <c r="BA439" s="58"/>
      <c r="BB439" s="31"/>
      <c r="BC439" s="58"/>
      <c r="BD439" s="31"/>
      <c r="BE439" s="58"/>
      <c r="BF439" s="31"/>
      <c r="BG439" s="58"/>
      <c r="BH439" s="21">
        <v>0</v>
      </c>
      <c r="BI439" s="21">
        <v>0</v>
      </c>
      <c r="BJ439" s="21">
        <v>0</v>
      </c>
      <c r="BK439" s="21">
        <v>0</v>
      </c>
      <c r="BL439" s="58" t="s">
        <v>964</v>
      </c>
      <c r="BM439" s="21">
        <v>0</v>
      </c>
      <c r="BN439" s="21">
        <v>0</v>
      </c>
      <c r="BO439" s="21">
        <v>0</v>
      </c>
      <c r="BP439" s="31">
        <f t="shared" si="256"/>
        <v>0</v>
      </c>
      <c r="BQ439" s="21">
        <v>0</v>
      </c>
      <c r="BR439" s="21">
        <v>0</v>
      </c>
      <c r="BS439" s="21">
        <v>0</v>
      </c>
      <c r="BT439" s="21">
        <v>0</v>
      </c>
      <c r="BU439" s="21">
        <v>0</v>
      </c>
      <c r="BV439" s="21">
        <v>0</v>
      </c>
      <c r="BW439" s="21">
        <v>0</v>
      </c>
      <c r="BX439" s="136">
        <f>Table1[[#This Row],[Summer 2018 Price Check]]*Table1[[#This Row],[Spring 2019 Students]]</f>
        <v>0</v>
      </c>
      <c r="BY439" s="31">
        <f t="shared" si="257"/>
        <v>0</v>
      </c>
      <c r="BZ439" s="58">
        <f t="shared" si="258"/>
        <v>0</v>
      </c>
      <c r="CA439" s="58" t="s">
        <v>964</v>
      </c>
      <c r="CB439" s="21">
        <v>0</v>
      </c>
      <c r="CC439" s="21">
        <v>0</v>
      </c>
      <c r="CD439" s="21">
        <v>0</v>
      </c>
      <c r="CE439" s="21">
        <v>0</v>
      </c>
      <c r="CF439" s="21">
        <v>0</v>
      </c>
      <c r="CG439" s="21">
        <v>0</v>
      </c>
      <c r="CH439" t="s">
        <v>2180</v>
      </c>
      <c r="CI439" s="137">
        <f>IF(Table1[[#This Row],[Check 3 Status]]="Continued", Table1[[#This Row],[Check 3 Students Summer]], 0)</f>
        <v>0</v>
      </c>
      <c r="CJ439" s="136">
        <f>Table1[[#This Row],[Check 3 Per Student Savings]]*CI439</f>
        <v>0</v>
      </c>
      <c r="CK439" s="137">
        <f>IF(Table1[[#This Row],[Check 3 Status]]="Continued", Table1[[#This Row],[Check 3 Students Fall]], 0)</f>
        <v>0</v>
      </c>
      <c r="CL439" s="136">
        <f>Table1[[#This Row],[Check 3 Per Student Savings]]*CK439</f>
        <v>0</v>
      </c>
      <c r="CM439" s="124">
        <f>IF(Table1[[#This Row],[Check 3 Status]]="Continued", Table1[[#This Row],[Check 3 Students Spring]], 0)</f>
        <v>0</v>
      </c>
      <c r="CN439" s="123">
        <f>Table1[[#This Row],[Check 3 Per Student Savings]]*CM439</f>
        <v>0</v>
      </c>
      <c r="CO439" s="124">
        <f t="shared" si="259"/>
        <v>0</v>
      </c>
      <c r="CP439" s="123">
        <f t="shared" si="260"/>
        <v>0</v>
      </c>
      <c r="CQ439" s="123" t="s">
        <v>964</v>
      </c>
      <c r="CR439" s="124">
        <v>0</v>
      </c>
      <c r="CS439" s="124">
        <v>0</v>
      </c>
      <c r="CT439" s="124">
        <v>0</v>
      </c>
      <c r="CU439" s="124">
        <f t="shared" si="238"/>
        <v>0</v>
      </c>
      <c r="CV439" s="123">
        <v>0</v>
      </c>
      <c r="CW439" s="123">
        <f t="shared" si="235"/>
        <v>0</v>
      </c>
      <c r="CX439" t="s">
        <v>2180</v>
      </c>
      <c r="CY439" s="124">
        <v>0</v>
      </c>
      <c r="CZ439" s="58">
        <f>Table1[[#This Row],[Check 4 Per Student Savings]]*CY439</f>
        <v>0</v>
      </c>
      <c r="DA439" s="124">
        <v>0</v>
      </c>
      <c r="DB439" s="123">
        <f>Table1[[#This Row],[Check 4 Per Student Savings]]*DA439</f>
        <v>0</v>
      </c>
      <c r="DC439" s="124">
        <v>0</v>
      </c>
      <c r="DD439" s="58">
        <f>Table1[[#This Row],[Check 4 Per Student Savings]]*DC439</f>
        <v>0</v>
      </c>
      <c r="DE439" s="58">
        <f t="shared" si="236"/>
        <v>0</v>
      </c>
      <c r="DF439" s="58">
        <f t="shared" si="237"/>
        <v>0</v>
      </c>
      <c r="DG43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3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39" s="111">
        <f>Table1[[#This Row],[Grand Total Savings]]/Table1[[#This Row],[Total Award]]</f>
        <v>0</v>
      </c>
      <c r="DJ439" s="207"/>
      <c r="DK439" s="58"/>
      <c r="DL439" s="31"/>
      <c r="DN439" s="58"/>
      <c r="EC439" s="17"/>
      <c r="ED439" s="21"/>
      <c r="EE439" s="58"/>
      <c r="EG439" s="21"/>
    </row>
    <row r="440" spans="1:137" ht="16.5" thickTop="1" thickBot="1" x14ac:dyDescent="0.3">
      <c r="A440" s="1" t="s">
        <v>2111</v>
      </c>
      <c r="B440" s="138"/>
      <c r="C440" s="138"/>
      <c r="D440" s="134"/>
      <c r="E440" s="135"/>
      <c r="F440" s="135"/>
      <c r="G440" s="223" t="s">
        <v>2125</v>
      </c>
      <c r="H440" s="95" t="s">
        <v>2001</v>
      </c>
      <c r="I440" s="17" t="s">
        <v>962</v>
      </c>
      <c r="J440" t="s">
        <v>276</v>
      </c>
      <c r="K440" s="11">
        <v>4000</v>
      </c>
      <c r="L440" t="s">
        <v>2180</v>
      </c>
      <c r="M440" t="s">
        <v>1536</v>
      </c>
      <c r="N440" t="s">
        <v>827</v>
      </c>
      <c r="O440" s="101"/>
      <c r="P440" t="s">
        <v>2166</v>
      </c>
      <c r="Q440" s="101" t="s">
        <v>714</v>
      </c>
      <c r="R440" s="101"/>
      <c r="S440" s="210"/>
      <c r="T440" s="210"/>
      <c r="U440" s="210"/>
      <c r="V440" s="210"/>
      <c r="W440" s="210"/>
      <c r="X440" s="210"/>
      <c r="Y440" s="58"/>
      <c r="Z440" s="139"/>
      <c r="AA440" s="58"/>
      <c r="AB440" s="21"/>
      <c r="AC440" s="21"/>
      <c r="AE440" s="139" t="s">
        <v>13</v>
      </c>
      <c r="AF440" s="58"/>
      <c r="AG440" s="58"/>
      <c r="AH440" s="58"/>
      <c r="AI440" s="58"/>
      <c r="AJ440" s="21">
        <f t="shared" si="250"/>
        <v>0</v>
      </c>
      <c r="AK440" s="58"/>
      <c r="AL440" s="21"/>
      <c r="AM440" s="58">
        <f t="shared" si="251"/>
        <v>0</v>
      </c>
      <c r="AN440" s="21">
        <f>IF(Table1[[#This Row],[Sustainability Check 1 (2017-2018) Status]]="Continued", Table1[[#This Row],[Students Per Summer]], 0)</f>
        <v>0</v>
      </c>
      <c r="AO440" s="58">
        <f t="shared" si="252"/>
        <v>0</v>
      </c>
      <c r="AP440" s="21">
        <f>IF(Table1[[#This Row],[Sustainability Check 1 (2017-2018) Status]]="Continued", Table1[[#This Row],[Students Per Fall]], 0)</f>
        <v>0</v>
      </c>
      <c r="AQ440" s="58">
        <f t="shared" si="253"/>
        <v>0</v>
      </c>
      <c r="AR440" s="21"/>
      <c r="AS440" s="58">
        <f t="shared" si="254"/>
        <v>0</v>
      </c>
      <c r="AT440" s="21"/>
      <c r="AU440" s="58">
        <f t="shared" si="255"/>
        <v>0</v>
      </c>
      <c r="AV440" s="21"/>
      <c r="AW440" s="58"/>
      <c r="AX440" s="31"/>
      <c r="AY440" s="58"/>
      <c r="AZ440" s="31"/>
      <c r="BA440" s="58"/>
      <c r="BB440" s="31"/>
      <c r="BC440" s="58"/>
      <c r="BD440" s="31"/>
      <c r="BE440" s="58"/>
      <c r="BF440" s="31"/>
      <c r="BG440" s="58"/>
      <c r="BH440" s="21">
        <v>0</v>
      </c>
      <c r="BI440" s="21">
        <v>0</v>
      </c>
      <c r="BJ440" s="21">
        <v>0</v>
      </c>
      <c r="BK440" s="21">
        <v>0</v>
      </c>
      <c r="BL440" s="58" t="s">
        <v>964</v>
      </c>
      <c r="BM440" s="21">
        <v>0</v>
      </c>
      <c r="BN440" s="21">
        <v>0</v>
      </c>
      <c r="BO440" s="21">
        <v>0</v>
      </c>
      <c r="BP440" s="31">
        <f t="shared" si="256"/>
        <v>0</v>
      </c>
      <c r="BQ440" s="21">
        <v>0</v>
      </c>
      <c r="BR440" s="21">
        <v>0</v>
      </c>
      <c r="BS440" s="21">
        <v>0</v>
      </c>
      <c r="BT440" s="21">
        <v>0</v>
      </c>
      <c r="BU440" s="21">
        <v>0</v>
      </c>
      <c r="BV440" s="21">
        <v>0</v>
      </c>
      <c r="BW440" s="21">
        <v>0</v>
      </c>
      <c r="BX440" s="136">
        <f>Table1[[#This Row],[Summer 2018 Price Check]]*Table1[[#This Row],[Spring 2019 Students]]</f>
        <v>0</v>
      </c>
      <c r="BY440" s="31">
        <f t="shared" si="257"/>
        <v>0</v>
      </c>
      <c r="BZ440" s="58">
        <f t="shared" si="258"/>
        <v>0</v>
      </c>
      <c r="CA440" s="58" t="s">
        <v>964</v>
      </c>
      <c r="CB440" s="21">
        <v>0</v>
      </c>
      <c r="CC440" s="21">
        <v>0</v>
      </c>
      <c r="CD440" s="21">
        <v>0</v>
      </c>
      <c r="CE440" s="21">
        <v>0</v>
      </c>
      <c r="CF440" s="21">
        <v>0</v>
      </c>
      <c r="CG440" s="21">
        <v>0</v>
      </c>
      <c r="CH440" t="s">
        <v>2180</v>
      </c>
      <c r="CI440" s="137">
        <f>IF(Table1[[#This Row],[Check 3 Status]]="Continued", Table1[[#This Row],[Check 3 Students Summer]], 0)</f>
        <v>0</v>
      </c>
      <c r="CJ440" s="136">
        <f>Table1[[#This Row],[Check 3 Per Student Savings]]*CI440</f>
        <v>0</v>
      </c>
      <c r="CK440" s="137">
        <f>IF(Table1[[#This Row],[Check 3 Status]]="Continued", Table1[[#This Row],[Check 3 Students Fall]], 0)</f>
        <v>0</v>
      </c>
      <c r="CL440" s="136">
        <f>Table1[[#This Row],[Check 3 Per Student Savings]]*CK440</f>
        <v>0</v>
      </c>
      <c r="CM440" s="124">
        <f>IF(Table1[[#This Row],[Check 3 Status]]="Continued", Table1[[#This Row],[Check 3 Students Spring]], 0)</f>
        <v>0</v>
      </c>
      <c r="CN440" s="123">
        <f>Table1[[#This Row],[Check 3 Per Student Savings]]*CM440</f>
        <v>0</v>
      </c>
      <c r="CO440" s="124">
        <f t="shared" si="259"/>
        <v>0</v>
      </c>
      <c r="CP440" s="123">
        <f t="shared" si="260"/>
        <v>0</v>
      </c>
      <c r="CQ440" s="123" t="s">
        <v>964</v>
      </c>
      <c r="CR440" s="124">
        <v>0</v>
      </c>
      <c r="CS440" s="124">
        <v>0</v>
      </c>
      <c r="CT440" s="124">
        <v>0</v>
      </c>
      <c r="CU440" s="124">
        <f t="shared" si="238"/>
        <v>0</v>
      </c>
      <c r="CV440" s="123">
        <v>0</v>
      </c>
      <c r="CW440" s="123">
        <f t="shared" si="235"/>
        <v>0</v>
      </c>
      <c r="CX440" t="s">
        <v>2180</v>
      </c>
      <c r="CY440" s="124">
        <v>0</v>
      </c>
      <c r="CZ440" s="58">
        <f>Table1[[#This Row],[Check 4 Per Student Savings]]*CY440</f>
        <v>0</v>
      </c>
      <c r="DA440" s="124">
        <v>0</v>
      </c>
      <c r="DB440" s="123">
        <f>Table1[[#This Row],[Check 4 Per Student Savings]]*DA440</f>
        <v>0</v>
      </c>
      <c r="DC440" s="124">
        <v>0</v>
      </c>
      <c r="DD440" s="58">
        <f>Table1[[#This Row],[Check 4 Per Student Savings]]*DC440</f>
        <v>0</v>
      </c>
      <c r="DE440" s="58">
        <f t="shared" si="236"/>
        <v>0</v>
      </c>
      <c r="DF440" s="58">
        <f t="shared" si="237"/>
        <v>0</v>
      </c>
      <c r="DG44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4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40" s="111">
        <f>Table1[[#This Row],[Grand Total Savings]]/Table1[[#This Row],[Total Award]]</f>
        <v>0</v>
      </c>
      <c r="DJ440" s="207"/>
      <c r="DK440" s="58"/>
      <c r="DL440" s="31"/>
      <c r="DN440" s="58"/>
      <c r="EC440" s="17"/>
      <c r="ED440" s="21"/>
      <c r="EE440" s="58"/>
      <c r="EG440" s="21"/>
    </row>
    <row r="441" spans="1:137" ht="16.5" thickTop="1" thickBot="1" x14ac:dyDescent="0.3">
      <c r="A441" s="1" t="s">
        <v>2112</v>
      </c>
      <c r="B441" s="138"/>
      <c r="C441" s="138"/>
      <c r="D441" s="134"/>
      <c r="E441" s="135"/>
      <c r="F441" s="135"/>
      <c r="G441" s="223" t="s">
        <v>2125</v>
      </c>
      <c r="H441" s="95" t="s">
        <v>2001</v>
      </c>
      <c r="I441" s="17" t="s">
        <v>962</v>
      </c>
      <c r="J441" t="s">
        <v>276</v>
      </c>
      <c r="K441" s="11">
        <v>10000</v>
      </c>
      <c r="L441" t="s">
        <v>2180</v>
      </c>
      <c r="M441" t="s">
        <v>763</v>
      </c>
      <c r="N441" t="s">
        <v>764</v>
      </c>
      <c r="O441" s="101"/>
      <c r="P441" t="s">
        <v>2172</v>
      </c>
      <c r="Q441" s="101" t="s">
        <v>641</v>
      </c>
      <c r="R441" s="101"/>
      <c r="S441" s="210"/>
      <c r="T441" s="210"/>
      <c r="U441" s="210"/>
      <c r="V441" s="210"/>
      <c r="W441" s="210"/>
      <c r="X441" s="210"/>
      <c r="Y441" s="58"/>
      <c r="Z441" s="139"/>
      <c r="AA441" s="58"/>
      <c r="AB441" s="21"/>
      <c r="AC441" s="21"/>
      <c r="AE441" s="139" t="s">
        <v>13</v>
      </c>
      <c r="AF441" s="58"/>
      <c r="AG441" s="58"/>
      <c r="AH441" s="58"/>
      <c r="AI441" s="58"/>
      <c r="AJ441" s="21">
        <f t="shared" si="250"/>
        <v>0</v>
      </c>
      <c r="AK441" s="58"/>
      <c r="AL441" s="21"/>
      <c r="AM441" s="58">
        <f t="shared" si="251"/>
        <v>0</v>
      </c>
      <c r="AN441" s="21">
        <f>IF(Table1[[#This Row],[Sustainability Check 1 (2017-2018) Status]]="Continued", Table1[[#This Row],[Students Per Summer]], 0)</f>
        <v>0</v>
      </c>
      <c r="AO441" s="58">
        <f t="shared" si="252"/>
        <v>0</v>
      </c>
      <c r="AP441" s="21">
        <f>IF(Table1[[#This Row],[Sustainability Check 1 (2017-2018) Status]]="Continued", Table1[[#This Row],[Students Per Fall]], 0)</f>
        <v>0</v>
      </c>
      <c r="AQ441" s="58">
        <f t="shared" si="253"/>
        <v>0</v>
      </c>
      <c r="AR441" s="21"/>
      <c r="AS441" s="58">
        <f t="shared" si="254"/>
        <v>0</v>
      </c>
      <c r="AT441" s="21"/>
      <c r="AU441" s="58">
        <f t="shared" si="255"/>
        <v>0</v>
      </c>
      <c r="AV441" s="21"/>
      <c r="AW441" s="58"/>
      <c r="AX441" s="31"/>
      <c r="AY441" s="58"/>
      <c r="AZ441" s="31"/>
      <c r="BA441" s="58"/>
      <c r="BB441" s="31"/>
      <c r="BC441" s="58"/>
      <c r="BD441" s="31"/>
      <c r="BE441" s="58"/>
      <c r="BF441" s="31"/>
      <c r="BG441" s="58"/>
      <c r="BH441" s="21">
        <v>0</v>
      </c>
      <c r="BI441" s="21">
        <v>0</v>
      </c>
      <c r="BJ441" s="21">
        <v>0</v>
      </c>
      <c r="BK441" s="21">
        <v>0</v>
      </c>
      <c r="BL441" s="58" t="s">
        <v>964</v>
      </c>
      <c r="BM441" s="21">
        <v>0</v>
      </c>
      <c r="BN441" s="21">
        <v>0</v>
      </c>
      <c r="BO441" s="21">
        <v>0</v>
      </c>
      <c r="BP441" s="31">
        <f t="shared" si="256"/>
        <v>0</v>
      </c>
      <c r="BQ441" s="21">
        <v>0</v>
      </c>
      <c r="BR441" s="21">
        <v>0</v>
      </c>
      <c r="BS441" s="21">
        <v>0</v>
      </c>
      <c r="BT441" s="21">
        <v>0</v>
      </c>
      <c r="BU441" s="21">
        <v>0</v>
      </c>
      <c r="BV441" s="21">
        <v>0</v>
      </c>
      <c r="BW441" s="21">
        <v>0</v>
      </c>
      <c r="BX441" s="136">
        <f>Table1[[#This Row],[Summer 2018 Price Check]]*Table1[[#This Row],[Spring 2019 Students]]</f>
        <v>0</v>
      </c>
      <c r="BY441" s="31">
        <f t="shared" si="257"/>
        <v>0</v>
      </c>
      <c r="BZ441" s="58">
        <f t="shared" si="258"/>
        <v>0</v>
      </c>
      <c r="CA441" s="58" t="s">
        <v>964</v>
      </c>
      <c r="CB441" s="21">
        <v>0</v>
      </c>
      <c r="CC441" s="21">
        <v>0</v>
      </c>
      <c r="CD441" s="21">
        <v>0</v>
      </c>
      <c r="CE441" s="21">
        <v>0</v>
      </c>
      <c r="CF441" s="21">
        <v>0</v>
      </c>
      <c r="CG441" s="21">
        <v>0</v>
      </c>
      <c r="CH441" t="s">
        <v>2180</v>
      </c>
      <c r="CI441" s="137">
        <f>IF(Table1[[#This Row],[Check 3 Status]]="Continued", Table1[[#This Row],[Check 3 Students Summer]], 0)</f>
        <v>0</v>
      </c>
      <c r="CJ441" s="136">
        <f>Table1[[#This Row],[Check 3 Per Student Savings]]*CI441</f>
        <v>0</v>
      </c>
      <c r="CK441" s="137">
        <f>IF(Table1[[#This Row],[Check 3 Status]]="Continued", Table1[[#This Row],[Check 3 Students Fall]], 0)</f>
        <v>0</v>
      </c>
      <c r="CL441" s="136">
        <f>Table1[[#This Row],[Check 3 Per Student Savings]]*CK441</f>
        <v>0</v>
      </c>
      <c r="CM441" s="124">
        <f>IF(Table1[[#This Row],[Check 3 Status]]="Continued", Table1[[#This Row],[Check 3 Students Spring]], 0)</f>
        <v>0</v>
      </c>
      <c r="CN441" s="123">
        <f>Table1[[#This Row],[Check 3 Per Student Savings]]*CM441</f>
        <v>0</v>
      </c>
      <c r="CO441" s="124">
        <f t="shared" si="259"/>
        <v>0</v>
      </c>
      <c r="CP441" s="123">
        <f t="shared" si="260"/>
        <v>0</v>
      </c>
      <c r="CQ441" s="123" t="s">
        <v>964</v>
      </c>
      <c r="CR441" s="124">
        <v>0</v>
      </c>
      <c r="CS441" s="124">
        <v>0</v>
      </c>
      <c r="CT441" s="124">
        <v>0</v>
      </c>
      <c r="CU441" s="124">
        <f t="shared" si="238"/>
        <v>0</v>
      </c>
      <c r="CV441" s="123">
        <v>0</v>
      </c>
      <c r="CW441" s="123">
        <f t="shared" si="235"/>
        <v>0</v>
      </c>
      <c r="CX441" t="s">
        <v>2180</v>
      </c>
      <c r="CY441" s="124">
        <v>0</v>
      </c>
      <c r="CZ441" s="58">
        <f>Table1[[#This Row],[Check 4 Per Student Savings]]*CY441</f>
        <v>0</v>
      </c>
      <c r="DA441" s="124">
        <v>0</v>
      </c>
      <c r="DB441" s="123">
        <f>Table1[[#This Row],[Check 4 Per Student Savings]]*DA441</f>
        <v>0</v>
      </c>
      <c r="DC441" s="124">
        <v>0</v>
      </c>
      <c r="DD441" s="58">
        <f>Table1[[#This Row],[Check 4 Per Student Savings]]*DC441</f>
        <v>0</v>
      </c>
      <c r="DE441" s="58">
        <f t="shared" si="236"/>
        <v>0</v>
      </c>
      <c r="DF441" s="58">
        <f t="shared" si="237"/>
        <v>0</v>
      </c>
      <c r="DG44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4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41" s="111">
        <f>Table1[[#This Row],[Grand Total Savings]]/Table1[[#This Row],[Total Award]]</f>
        <v>0</v>
      </c>
      <c r="DJ441" s="207"/>
      <c r="DK441" s="58"/>
      <c r="DL441" s="31"/>
      <c r="DN441" s="58"/>
      <c r="EC441" s="17"/>
      <c r="ED441" s="21"/>
      <c r="EE441" s="58"/>
      <c r="EG441" s="21"/>
    </row>
    <row r="442" spans="1:137" ht="16.5" thickTop="1" thickBot="1" x14ac:dyDescent="0.3">
      <c r="A442" s="1" t="s">
        <v>2113</v>
      </c>
      <c r="B442" s="138"/>
      <c r="C442" s="138"/>
      <c r="D442" s="134"/>
      <c r="E442" s="135"/>
      <c r="F442" s="135"/>
      <c r="G442" s="223" t="s">
        <v>2125</v>
      </c>
      <c r="H442" s="95" t="s">
        <v>2001</v>
      </c>
      <c r="I442" s="17" t="s">
        <v>962</v>
      </c>
      <c r="J442" t="s">
        <v>276</v>
      </c>
      <c r="K442" s="11">
        <v>9000</v>
      </c>
      <c r="L442" t="s">
        <v>2180</v>
      </c>
      <c r="M442" t="s">
        <v>763</v>
      </c>
      <c r="N442" t="s">
        <v>764</v>
      </c>
      <c r="O442" s="101"/>
      <c r="P442" t="s">
        <v>893</v>
      </c>
      <c r="Q442" s="101" t="s">
        <v>192</v>
      </c>
      <c r="R442" s="101"/>
      <c r="S442" s="210"/>
      <c r="T442" s="210"/>
      <c r="U442" s="210"/>
      <c r="V442" s="210"/>
      <c r="W442" s="210"/>
      <c r="X442" s="210"/>
      <c r="Y442" s="58"/>
      <c r="Z442" s="139"/>
      <c r="AA442" s="58"/>
      <c r="AB442" s="21"/>
      <c r="AC442" s="21"/>
      <c r="AE442" s="139" t="s">
        <v>13</v>
      </c>
      <c r="AF442" s="58"/>
      <c r="AG442" s="58"/>
      <c r="AH442" s="58"/>
      <c r="AI442" s="58"/>
      <c r="AJ442" s="21">
        <f t="shared" si="250"/>
        <v>0</v>
      </c>
      <c r="AK442" s="58"/>
      <c r="AL442" s="21"/>
      <c r="AM442" s="58">
        <f t="shared" si="251"/>
        <v>0</v>
      </c>
      <c r="AN442" s="21">
        <f>IF(Table1[[#This Row],[Sustainability Check 1 (2017-2018) Status]]="Continued", Table1[[#This Row],[Students Per Summer]], 0)</f>
        <v>0</v>
      </c>
      <c r="AO442" s="58">
        <f t="shared" si="252"/>
        <v>0</v>
      </c>
      <c r="AP442" s="21">
        <f>IF(Table1[[#This Row],[Sustainability Check 1 (2017-2018) Status]]="Continued", Table1[[#This Row],[Students Per Fall]], 0)</f>
        <v>0</v>
      </c>
      <c r="AQ442" s="58">
        <f t="shared" si="253"/>
        <v>0</v>
      </c>
      <c r="AR442" s="21"/>
      <c r="AS442" s="58">
        <f t="shared" si="254"/>
        <v>0</v>
      </c>
      <c r="AT442" s="21"/>
      <c r="AU442" s="58">
        <f t="shared" si="255"/>
        <v>0</v>
      </c>
      <c r="AV442" s="21"/>
      <c r="AW442" s="58"/>
      <c r="AX442" s="31"/>
      <c r="AY442" s="58"/>
      <c r="AZ442" s="31"/>
      <c r="BA442" s="58"/>
      <c r="BB442" s="31"/>
      <c r="BC442" s="58"/>
      <c r="BD442" s="31"/>
      <c r="BE442" s="58"/>
      <c r="BF442" s="31"/>
      <c r="BG442" s="58"/>
      <c r="BH442" s="21">
        <v>0</v>
      </c>
      <c r="BI442" s="21">
        <v>0</v>
      </c>
      <c r="BJ442" s="21">
        <v>0</v>
      </c>
      <c r="BK442" s="21">
        <v>0</v>
      </c>
      <c r="BL442" s="58" t="s">
        <v>964</v>
      </c>
      <c r="BM442" s="21">
        <v>0</v>
      </c>
      <c r="BN442" s="21">
        <v>0</v>
      </c>
      <c r="BO442" s="21">
        <v>0</v>
      </c>
      <c r="BP442" s="31">
        <f t="shared" si="256"/>
        <v>0</v>
      </c>
      <c r="BQ442" s="21">
        <v>0</v>
      </c>
      <c r="BR442" s="21">
        <v>0</v>
      </c>
      <c r="BS442" s="21">
        <v>0</v>
      </c>
      <c r="BT442" s="21">
        <v>0</v>
      </c>
      <c r="BU442" s="21">
        <v>0</v>
      </c>
      <c r="BV442" s="21">
        <v>0</v>
      </c>
      <c r="BW442" s="21">
        <v>0</v>
      </c>
      <c r="BX442" s="136">
        <f>Table1[[#This Row],[Summer 2018 Price Check]]*Table1[[#This Row],[Spring 2019 Students]]</f>
        <v>0</v>
      </c>
      <c r="BY442" s="31">
        <f t="shared" si="257"/>
        <v>0</v>
      </c>
      <c r="BZ442" s="58">
        <f t="shared" si="258"/>
        <v>0</v>
      </c>
      <c r="CA442" s="58" t="s">
        <v>964</v>
      </c>
      <c r="CB442" s="21">
        <v>0</v>
      </c>
      <c r="CC442" s="21">
        <v>0</v>
      </c>
      <c r="CD442" s="21">
        <v>0</v>
      </c>
      <c r="CE442" s="21">
        <v>0</v>
      </c>
      <c r="CF442" s="21">
        <v>0</v>
      </c>
      <c r="CG442" s="21">
        <v>0</v>
      </c>
      <c r="CH442" t="s">
        <v>2180</v>
      </c>
      <c r="CI442" s="137">
        <f>IF(Table1[[#This Row],[Check 3 Status]]="Continued", Table1[[#This Row],[Check 3 Students Summer]], 0)</f>
        <v>0</v>
      </c>
      <c r="CJ442" s="136">
        <f>Table1[[#This Row],[Check 3 Per Student Savings]]*CI442</f>
        <v>0</v>
      </c>
      <c r="CK442" s="137">
        <f>IF(Table1[[#This Row],[Check 3 Status]]="Continued", Table1[[#This Row],[Check 3 Students Fall]], 0)</f>
        <v>0</v>
      </c>
      <c r="CL442" s="136">
        <f>Table1[[#This Row],[Check 3 Per Student Savings]]*CK442</f>
        <v>0</v>
      </c>
      <c r="CM442" s="124">
        <f>IF(Table1[[#This Row],[Check 3 Status]]="Continued", Table1[[#This Row],[Check 3 Students Spring]], 0)</f>
        <v>0</v>
      </c>
      <c r="CN442" s="123">
        <f>Table1[[#This Row],[Check 3 Per Student Savings]]*CM442</f>
        <v>0</v>
      </c>
      <c r="CO442" s="124">
        <f t="shared" si="259"/>
        <v>0</v>
      </c>
      <c r="CP442" s="123">
        <f t="shared" si="260"/>
        <v>0</v>
      </c>
      <c r="CQ442" s="123" t="s">
        <v>964</v>
      </c>
      <c r="CR442" s="124">
        <v>0</v>
      </c>
      <c r="CS442" s="124">
        <v>0</v>
      </c>
      <c r="CT442" s="124">
        <v>0</v>
      </c>
      <c r="CU442" s="124">
        <f t="shared" si="238"/>
        <v>0</v>
      </c>
      <c r="CV442" s="123">
        <v>0</v>
      </c>
      <c r="CW442" s="123">
        <f t="shared" si="235"/>
        <v>0</v>
      </c>
      <c r="CX442" t="s">
        <v>2180</v>
      </c>
      <c r="CY442" s="124">
        <v>0</v>
      </c>
      <c r="CZ442" s="58">
        <f>Table1[[#This Row],[Check 4 Per Student Savings]]*CY442</f>
        <v>0</v>
      </c>
      <c r="DA442" s="124">
        <v>0</v>
      </c>
      <c r="DB442" s="123">
        <f>Table1[[#This Row],[Check 4 Per Student Savings]]*DA442</f>
        <v>0</v>
      </c>
      <c r="DC442" s="124">
        <v>0</v>
      </c>
      <c r="DD442" s="58">
        <f>Table1[[#This Row],[Check 4 Per Student Savings]]*DC442</f>
        <v>0</v>
      </c>
      <c r="DE442" s="58">
        <f t="shared" si="236"/>
        <v>0</v>
      </c>
      <c r="DF442" s="58">
        <f t="shared" si="237"/>
        <v>0</v>
      </c>
      <c r="DG44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4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42" s="111">
        <f>Table1[[#This Row],[Grand Total Savings]]/Table1[[#This Row],[Total Award]]</f>
        <v>0</v>
      </c>
      <c r="DJ442" s="207"/>
      <c r="DK442" s="58"/>
      <c r="DL442" s="31"/>
      <c r="DN442" s="58"/>
      <c r="EC442" s="17"/>
      <c r="ED442" s="21"/>
      <c r="EE442" s="58"/>
      <c r="EG442" s="21"/>
    </row>
    <row r="443" spans="1:137" ht="16.5" thickTop="1" thickBot="1" x14ac:dyDescent="0.3">
      <c r="A443" s="1" t="s">
        <v>2114</v>
      </c>
      <c r="B443" s="138"/>
      <c r="C443" s="138"/>
      <c r="D443" s="134"/>
      <c r="E443" s="135"/>
      <c r="F443" s="135"/>
      <c r="G443" s="223" t="s">
        <v>2125</v>
      </c>
      <c r="H443" s="95" t="s">
        <v>2001</v>
      </c>
      <c r="I443" s="17" t="s">
        <v>962</v>
      </c>
      <c r="J443" t="s">
        <v>210</v>
      </c>
      <c r="K443" s="11">
        <v>10000</v>
      </c>
      <c r="L443" t="s">
        <v>2180</v>
      </c>
      <c r="M443" t="s">
        <v>1505</v>
      </c>
      <c r="N443" t="s">
        <v>1506</v>
      </c>
      <c r="O443" s="101"/>
      <c r="P443" t="s">
        <v>2173</v>
      </c>
      <c r="Q443" s="101" t="s">
        <v>234</v>
      </c>
      <c r="R443" s="101"/>
      <c r="S443" s="210"/>
      <c r="T443" s="210"/>
      <c r="U443" s="210"/>
      <c r="V443" s="210"/>
      <c r="W443" s="210"/>
      <c r="X443" s="210"/>
      <c r="Y443" s="58"/>
      <c r="Z443" s="139"/>
      <c r="AA443" s="58"/>
      <c r="AB443" s="21"/>
      <c r="AC443" s="21"/>
      <c r="AE443" s="139" t="s">
        <v>13</v>
      </c>
      <c r="AF443" s="58"/>
      <c r="AG443" s="58"/>
      <c r="AH443" s="58"/>
      <c r="AI443" s="58"/>
      <c r="AJ443" s="21">
        <f t="shared" si="250"/>
        <v>0</v>
      </c>
      <c r="AK443" s="58"/>
      <c r="AL443" s="21"/>
      <c r="AM443" s="58">
        <f t="shared" si="251"/>
        <v>0</v>
      </c>
      <c r="AN443" s="21">
        <f>IF(Table1[[#This Row],[Sustainability Check 1 (2017-2018) Status]]="Continued", Table1[[#This Row],[Students Per Summer]], 0)</f>
        <v>0</v>
      </c>
      <c r="AO443" s="58">
        <f t="shared" si="252"/>
        <v>0</v>
      </c>
      <c r="AP443" s="21">
        <f>IF(Table1[[#This Row],[Sustainability Check 1 (2017-2018) Status]]="Continued", Table1[[#This Row],[Students Per Fall]], 0)</f>
        <v>0</v>
      </c>
      <c r="AQ443" s="58">
        <f t="shared" si="253"/>
        <v>0</v>
      </c>
      <c r="AR443" s="21"/>
      <c r="AS443" s="58">
        <f t="shared" si="254"/>
        <v>0</v>
      </c>
      <c r="AT443" s="21"/>
      <c r="AU443" s="58">
        <f t="shared" si="255"/>
        <v>0</v>
      </c>
      <c r="AV443" s="21"/>
      <c r="AW443" s="58"/>
      <c r="AX443" s="31"/>
      <c r="AY443" s="58"/>
      <c r="AZ443" s="31"/>
      <c r="BA443" s="58"/>
      <c r="BB443" s="31"/>
      <c r="BC443" s="58"/>
      <c r="BD443" s="31"/>
      <c r="BE443" s="58"/>
      <c r="BF443" s="31"/>
      <c r="BG443" s="58"/>
      <c r="BH443" s="21">
        <v>0</v>
      </c>
      <c r="BI443" s="21">
        <v>0</v>
      </c>
      <c r="BJ443" s="21">
        <v>0</v>
      </c>
      <c r="BK443" s="21">
        <v>0</v>
      </c>
      <c r="BL443" s="58" t="s">
        <v>964</v>
      </c>
      <c r="BM443" s="21">
        <v>0</v>
      </c>
      <c r="BN443" s="21">
        <v>0</v>
      </c>
      <c r="BO443" s="21">
        <v>0</v>
      </c>
      <c r="BP443" s="31">
        <f t="shared" si="256"/>
        <v>0</v>
      </c>
      <c r="BQ443" s="21">
        <v>0</v>
      </c>
      <c r="BR443" s="21">
        <v>0</v>
      </c>
      <c r="BS443" s="21">
        <v>0</v>
      </c>
      <c r="BT443" s="21">
        <v>0</v>
      </c>
      <c r="BU443" s="21">
        <v>0</v>
      </c>
      <c r="BV443" s="21">
        <v>0</v>
      </c>
      <c r="BW443" s="21">
        <v>0</v>
      </c>
      <c r="BX443" s="136">
        <f>Table1[[#This Row],[Summer 2018 Price Check]]*Table1[[#This Row],[Spring 2019 Students]]</f>
        <v>0</v>
      </c>
      <c r="BY443" s="31">
        <f t="shared" si="257"/>
        <v>0</v>
      </c>
      <c r="BZ443" s="58">
        <f t="shared" si="258"/>
        <v>0</v>
      </c>
      <c r="CA443" s="58" t="s">
        <v>964</v>
      </c>
      <c r="CB443" s="21">
        <v>0</v>
      </c>
      <c r="CC443" s="21">
        <v>0</v>
      </c>
      <c r="CD443" s="21">
        <v>0</v>
      </c>
      <c r="CE443" s="21">
        <v>0</v>
      </c>
      <c r="CF443" s="21">
        <v>0</v>
      </c>
      <c r="CG443" s="21">
        <v>0</v>
      </c>
      <c r="CH443" t="s">
        <v>2180</v>
      </c>
      <c r="CI443" s="137">
        <f>IF(Table1[[#This Row],[Check 3 Status]]="Continued", Table1[[#This Row],[Check 3 Students Summer]], 0)</f>
        <v>0</v>
      </c>
      <c r="CJ443" s="136">
        <f>Table1[[#This Row],[Check 3 Per Student Savings]]*CI443</f>
        <v>0</v>
      </c>
      <c r="CK443" s="137">
        <f>IF(Table1[[#This Row],[Check 3 Status]]="Continued", Table1[[#This Row],[Check 3 Students Fall]], 0)</f>
        <v>0</v>
      </c>
      <c r="CL443" s="136">
        <f>Table1[[#This Row],[Check 3 Per Student Savings]]*CK443</f>
        <v>0</v>
      </c>
      <c r="CM443" s="124">
        <f>IF(Table1[[#This Row],[Check 3 Status]]="Continued", Table1[[#This Row],[Check 3 Students Spring]], 0)</f>
        <v>0</v>
      </c>
      <c r="CN443" s="123">
        <f>Table1[[#This Row],[Check 3 Per Student Savings]]*CM443</f>
        <v>0</v>
      </c>
      <c r="CO443" s="124">
        <f t="shared" si="259"/>
        <v>0</v>
      </c>
      <c r="CP443" s="123">
        <f t="shared" si="260"/>
        <v>0</v>
      </c>
      <c r="CQ443" s="123" t="s">
        <v>964</v>
      </c>
      <c r="CR443" s="124">
        <v>0</v>
      </c>
      <c r="CS443" s="124">
        <v>0</v>
      </c>
      <c r="CT443" s="124">
        <v>0</v>
      </c>
      <c r="CU443" s="124">
        <f t="shared" si="238"/>
        <v>0</v>
      </c>
      <c r="CV443" s="123">
        <v>0</v>
      </c>
      <c r="CW443" s="123">
        <f t="shared" si="235"/>
        <v>0</v>
      </c>
      <c r="CX443" t="s">
        <v>2180</v>
      </c>
      <c r="CY443" s="124">
        <v>0</v>
      </c>
      <c r="CZ443" s="58">
        <f>Table1[[#This Row],[Check 4 Per Student Savings]]*CY443</f>
        <v>0</v>
      </c>
      <c r="DA443" s="124">
        <v>0</v>
      </c>
      <c r="DB443" s="123">
        <f>Table1[[#This Row],[Check 4 Per Student Savings]]*DA443</f>
        <v>0</v>
      </c>
      <c r="DC443" s="124">
        <v>0</v>
      </c>
      <c r="DD443" s="58">
        <f>Table1[[#This Row],[Check 4 Per Student Savings]]*DC443</f>
        <v>0</v>
      </c>
      <c r="DE443" s="58">
        <f t="shared" si="236"/>
        <v>0</v>
      </c>
      <c r="DF443" s="58">
        <f t="shared" si="237"/>
        <v>0</v>
      </c>
      <c r="DG44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4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43" s="111">
        <f>Table1[[#This Row],[Grand Total Savings]]/Table1[[#This Row],[Total Award]]</f>
        <v>0</v>
      </c>
      <c r="DJ443" s="207"/>
      <c r="DK443" s="58"/>
      <c r="DL443" s="31"/>
      <c r="DN443" s="58"/>
      <c r="EC443" s="17"/>
      <c r="ED443" s="21"/>
      <c r="EE443" s="58"/>
      <c r="EG443" s="21"/>
    </row>
    <row r="444" spans="1:137" ht="16.5" thickTop="1" thickBot="1" x14ac:dyDescent="0.3">
      <c r="A444" s="1" t="s">
        <v>2115</v>
      </c>
      <c r="B444" s="138"/>
      <c r="C444" s="138"/>
      <c r="D444" s="134"/>
      <c r="E444" s="135"/>
      <c r="F444" s="135"/>
      <c r="G444" s="223" t="s">
        <v>2125</v>
      </c>
      <c r="H444" s="95" t="s">
        <v>2001</v>
      </c>
      <c r="I444" s="17" t="s">
        <v>962</v>
      </c>
      <c r="J444" t="s">
        <v>119</v>
      </c>
      <c r="K444" s="11">
        <v>10000</v>
      </c>
      <c r="L444" t="s">
        <v>2180</v>
      </c>
      <c r="M444" t="s">
        <v>2145</v>
      </c>
      <c r="N444" t="s">
        <v>2146</v>
      </c>
      <c r="O444" s="101"/>
      <c r="P444" t="s">
        <v>2174</v>
      </c>
      <c r="Q444" s="101" t="s">
        <v>714</v>
      </c>
      <c r="R444" s="101"/>
      <c r="S444" s="210"/>
      <c r="T444" s="210"/>
      <c r="U444" s="210"/>
      <c r="V444" s="210"/>
      <c r="W444" s="210"/>
      <c r="X444" s="210"/>
      <c r="Y444" s="58"/>
      <c r="Z444" s="139"/>
      <c r="AA444" s="58"/>
      <c r="AB444" s="21"/>
      <c r="AC444" s="21"/>
      <c r="AE444" s="139" t="s">
        <v>13</v>
      </c>
      <c r="AF444" s="58"/>
      <c r="AG444" s="58"/>
      <c r="AH444" s="58"/>
      <c r="AI444" s="58"/>
      <c r="AJ444" s="21">
        <f t="shared" si="250"/>
        <v>0</v>
      </c>
      <c r="AK444" s="58"/>
      <c r="AL444" s="21"/>
      <c r="AM444" s="58">
        <f t="shared" si="251"/>
        <v>0</v>
      </c>
      <c r="AN444" s="21">
        <f>IF(Table1[[#This Row],[Sustainability Check 1 (2017-2018) Status]]="Continued", Table1[[#This Row],[Students Per Summer]], 0)</f>
        <v>0</v>
      </c>
      <c r="AO444" s="58">
        <f t="shared" si="252"/>
        <v>0</v>
      </c>
      <c r="AP444" s="21">
        <f>IF(Table1[[#This Row],[Sustainability Check 1 (2017-2018) Status]]="Continued", Table1[[#This Row],[Students Per Fall]], 0)</f>
        <v>0</v>
      </c>
      <c r="AQ444" s="58">
        <f t="shared" si="253"/>
        <v>0</v>
      </c>
      <c r="AR444" s="21"/>
      <c r="AS444" s="58">
        <f t="shared" si="254"/>
        <v>0</v>
      </c>
      <c r="AT444" s="21"/>
      <c r="AU444" s="58">
        <f t="shared" si="255"/>
        <v>0</v>
      </c>
      <c r="AV444" s="21"/>
      <c r="AW444" s="58"/>
      <c r="AX444" s="31"/>
      <c r="AY444" s="58"/>
      <c r="AZ444" s="31"/>
      <c r="BA444" s="58"/>
      <c r="BB444" s="31"/>
      <c r="BC444" s="58"/>
      <c r="BD444" s="31"/>
      <c r="BE444" s="58"/>
      <c r="BF444" s="31"/>
      <c r="BG444" s="58"/>
      <c r="BH444" s="21">
        <v>0</v>
      </c>
      <c r="BI444" s="21">
        <v>0</v>
      </c>
      <c r="BJ444" s="21">
        <v>0</v>
      </c>
      <c r="BK444" s="21">
        <v>0</v>
      </c>
      <c r="BL444" s="58" t="s">
        <v>964</v>
      </c>
      <c r="BM444" s="21">
        <v>0</v>
      </c>
      <c r="BN444" s="21">
        <v>0</v>
      </c>
      <c r="BO444" s="21">
        <v>0</v>
      </c>
      <c r="BP444" s="31">
        <f t="shared" si="256"/>
        <v>0</v>
      </c>
      <c r="BQ444" s="21">
        <v>0</v>
      </c>
      <c r="BR444" s="21">
        <v>0</v>
      </c>
      <c r="BS444" s="21">
        <v>0</v>
      </c>
      <c r="BT444" s="21">
        <v>0</v>
      </c>
      <c r="BU444" s="21">
        <v>0</v>
      </c>
      <c r="BV444" s="21">
        <v>0</v>
      </c>
      <c r="BW444" s="21">
        <v>0</v>
      </c>
      <c r="BX444" s="136">
        <f>Table1[[#This Row],[Summer 2018 Price Check]]*Table1[[#This Row],[Spring 2019 Students]]</f>
        <v>0</v>
      </c>
      <c r="BY444" s="31">
        <f t="shared" si="257"/>
        <v>0</v>
      </c>
      <c r="BZ444" s="58">
        <f t="shared" si="258"/>
        <v>0</v>
      </c>
      <c r="CA444" s="58" t="s">
        <v>964</v>
      </c>
      <c r="CB444" s="21">
        <v>0</v>
      </c>
      <c r="CC444" s="21">
        <v>0</v>
      </c>
      <c r="CD444" s="21">
        <v>0</v>
      </c>
      <c r="CE444" s="21">
        <v>0</v>
      </c>
      <c r="CF444" s="21">
        <v>0</v>
      </c>
      <c r="CG444" s="21">
        <v>0</v>
      </c>
      <c r="CH444" t="s">
        <v>2180</v>
      </c>
      <c r="CI444" s="137">
        <f>IF(Table1[[#This Row],[Check 3 Status]]="Continued", Table1[[#This Row],[Check 3 Students Summer]], 0)</f>
        <v>0</v>
      </c>
      <c r="CJ444" s="136">
        <f>Table1[[#This Row],[Check 3 Per Student Savings]]*CI444</f>
        <v>0</v>
      </c>
      <c r="CK444" s="137">
        <f>IF(Table1[[#This Row],[Check 3 Status]]="Continued", Table1[[#This Row],[Check 3 Students Fall]], 0)</f>
        <v>0</v>
      </c>
      <c r="CL444" s="136">
        <f>Table1[[#This Row],[Check 3 Per Student Savings]]*CK444</f>
        <v>0</v>
      </c>
      <c r="CM444" s="124">
        <f>IF(Table1[[#This Row],[Check 3 Status]]="Continued", Table1[[#This Row],[Check 3 Students Spring]], 0)</f>
        <v>0</v>
      </c>
      <c r="CN444" s="123">
        <f>Table1[[#This Row],[Check 3 Per Student Savings]]*CM444</f>
        <v>0</v>
      </c>
      <c r="CO444" s="124">
        <f t="shared" si="259"/>
        <v>0</v>
      </c>
      <c r="CP444" s="123">
        <f t="shared" si="260"/>
        <v>0</v>
      </c>
      <c r="CQ444" s="123" t="s">
        <v>964</v>
      </c>
      <c r="CR444" s="124">
        <v>0</v>
      </c>
      <c r="CS444" s="124">
        <v>0</v>
      </c>
      <c r="CT444" s="124">
        <v>0</v>
      </c>
      <c r="CU444" s="124">
        <f t="shared" si="238"/>
        <v>0</v>
      </c>
      <c r="CV444" s="123">
        <v>0</v>
      </c>
      <c r="CW444" s="123">
        <f t="shared" si="235"/>
        <v>0</v>
      </c>
      <c r="CX444" t="s">
        <v>2180</v>
      </c>
      <c r="CY444" s="124">
        <v>0</v>
      </c>
      <c r="CZ444" s="58">
        <f>Table1[[#This Row],[Check 4 Per Student Savings]]*CY444</f>
        <v>0</v>
      </c>
      <c r="DA444" s="124">
        <v>0</v>
      </c>
      <c r="DB444" s="123">
        <f>Table1[[#This Row],[Check 4 Per Student Savings]]*DA444</f>
        <v>0</v>
      </c>
      <c r="DC444" s="124">
        <v>0</v>
      </c>
      <c r="DD444" s="58">
        <f>Table1[[#This Row],[Check 4 Per Student Savings]]*DC444</f>
        <v>0</v>
      </c>
      <c r="DE444" s="58">
        <f t="shared" si="236"/>
        <v>0</v>
      </c>
      <c r="DF444" s="58">
        <f t="shared" si="237"/>
        <v>0</v>
      </c>
      <c r="DG444"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44"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44" s="111">
        <f>Table1[[#This Row],[Grand Total Savings]]/Table1[[#This Row],[Total Award]]</f>
        <v>0</v>
      </c>
      <c r="DJ444" s="207"/>
      <c r="DK444" s="58"/>
      <c r="DL444" s="31"/>
      <c r="DN444" s="58"/>
      <c r="EC444" s="17"/>
      <c r="ED444" s="21"/>
      <c r="EE444" s="58"/>
      <c r="EG444" s="21"/>
    </row>
    <row r="445" spans="1:137" ht="16.5" thickTop="1" thickBot="1" x14ac:dyDescent="0.3">
      <c r="A445" s="1" t="s">
        <v>2116</v>
      </c>
      <c r="B445" s="138"/>
      <c r="C445" s="138"/>
      <c r="D445" s="134"/>
      <c r="E445" s="135"/>
      <c r="F445" s="135"/>
      <c r="G445" s="223" t="s">
        <v>2125</v>
      </c>
      <c r="H445" s="95" t="s">
        <v>2001</v>
      </c>
      <c r="I445" s="17" t="s">
        <v>962</v>
      </c>
      <c r="J445" t="s">
        <v>419</v>
      </c>
      <c r="K445" s="11">
        <v>10000</v>
      </c>
      <c r="L445" t="s">
        <v>2180</v>
      </c>
      <c r="M445" t="s">
        <v>420</v>
      </c>
      <c r="N445" t="s">
        <v>740</v>
      </c>
      <c r="O445" s="101"/>
      <c r="P445" t="s">
        <v>849</v>
      </c>
      <c r="Q445" s="101" t="s">
        <v>148</v>
      </c>
      <c r="R445" s="101"/>
      <c r="S445" s="210"/>
      <c r="T445" s="210"/>
      <c r="U445" s="210"/>
      <c r="V445" s="210"/>
      <c r="W445" s="210"/>
      <c r="X445" s="210"/>
      <c r="Y445" s="58"/>
      <c r="Z445" s="139"/>
      <c r="AA445" s="58"/>
      <c r="AB445" s="21"/>
      <c r="AC445" s="21"/>
      <c r="AE445" s="139" t="s">
        <v>13</v>
      </c>
      <c r="AF445" s="58"/>
      <c r="AG445" s="58"/>
      <c r="AH445" s="58"/>
      <c r="AI445" s="58"/>
      <c r="AJ445" s="21">
        <f t="shared" si="250"/>
        <v>0</v>
      </c>
      <c r="AK445" s="58"/>
      <c r="AL445" s="21"/>
      <c r="AM445" s="58">
        <f t="shared" si="251"/>
        <v>0</v>
      </c>
      <c r="AN445" s="21">
        <f>IF(Table1[[#This Row],[Sustainability Check 1 (2017-2018) Status]]="Continued", Table1[[#This Row],[Students Per Summer]], 0)</f>
        <v>0</v>
      </c>
      <c r="AO445" s="58">
        <f t="shared" si="252"/>
        <v>0</v>
      </c>
      <c r="AP445" s="21">
        <f>IF(Table1[[#This Row],[Sustainability Check 1 (2017-2018) Status]]="Continued", Table1[[#This Row],[Students Per Fall]], 0)</f>
        <v>0</v>
      </c>
      <c r="AQ445" s="58">
        <f t="shared" si="253"/>
        <v>0</v>
      </c>
      <c r="AR445" s="21"/>
      <c r="AS445" s="58">
        <f t="shared" si="254"/>
        <v>0</v>
      </c>
      <c r="AT445" s="21"/>
      <c r="AU445" s="58">
        <f t="shared" si="255"/>
        <v>0</v>
      </c>
      <c r="AV445" s="21"/>
      <c r="AW445" s="58"/>
      <c r="AX445" s="31"/>
      <c r="AY445" s="58"/>
      <c r="AZ445" s="31"/>
      <c r="BA445" s="58"/>
      <c r="BB445" s="31"/>
      <c r="BC445" s="58"/>
      <c r="BD445" s="31"/>
      <c r="BE445" s="58"/>
      <c r="BF445" s="31"/>
      <c r="BG445" s="58"/>
      <c r="BH445" s="21">
        <v>0</v>
      </c>
      <c r="BI445" s="21">
        <v>0</v>
      </c>
      <c r="BJ445" s="21">
        <v>0</v>
      </c>
      <c r="BK445" s="21">
        <v>0</v>
      </c>
      <c r="BL445" s="58" t="s">
        <v>964</v>
      </c>
      <c r="BM445" s="21">
        <v>0</v>
      </c>
      <c r="BN445" s="21">
        <v>0</v>
      </c>
      <c r="BO445" s="21">
        <v>0</v>
      </c>
      <c r="BP445" s="31">
        <f t="shared" si="256"/>
        <v>0</v>
      </c>
      <c r="BQ445" s="21">
        <v>0</v>
      </c>
      <c r="BR445" s="21">
        <v>0</v>
      </c>
      <c r="BS445" s="21">
        <v>0</v>
      </c>
      <c r="BT445" s="21">
        <v>0</v>
      </c>
      <c r="BU445" s="21">
        <v>0</v>
      </c>
      <c r="BV445" s="21">
        <v>0</v>
      </c>
      <c r="BW445" s="21">
        <v>0</v>
      </c>
      <c r="BX445" s="136">
        <f>Table1[[#This Row],[Summer 2018 Price Check]]*Table1[[#This Row],[Spring 2019 Students]]</f>
        <v>0</v>
      </c>
      <c r="BY445" s="31">
        <f t="shared" si="257"/>
        <v>0</v>
      </c>
      <c r="BZ445" s="58">
        <f t="shared" si="258"/>
        <v>0</v>
      </c>
      <c r="CA445" s="58" t="s">
        <v>964</v>
      </c>
      <c r="CB445" s="21">
        <v>0</v>
      </c>
      <c r="CC445" s="21">
        <v>0</v>
      </c>
      <c r="CD445" s="21">
        <v>0</v>
      </c>
      <c r="CE445" s="21">
        <v>0</v>
      </c>
      <c r="CF445" s="21">
        <v>0</v>
      </c>
      <c r="CG445" s="21">
        <v>0</v>
      </c>
      <c r="CH445" t="s">
        <v>2180</v>
      </c>
      <c r="CI445" s="137">
        <f>IF(Table1[[#This Row],[Check 3 Status]]="Continued", Table1[[#This Row],[Check 3 Students Summer]], 0)</f>
        <v>0</v>
      </c>
      <c r="CJ445" s="136">
        <f>Table1[[#This Row],[Check 3 Per Student Savings]]*CI445</f>
        <v>0</v>
      </c>
      <c r="CK445" s="137">
        <f>IF(Table1[[#This Row],[Check 3 Status]]="Continued", Table1[[#This Row],[Check 3 Students Fall]], 0)</f>
        <v>0</v>
      </c>
      <c r="CL445" s="136">
        <f>Table1[[#This Row],[Check 3 Per Student Savings]]*CK445</f>
        <v>0</v>
      </c>
      <c r="CM445" s="124">
        <f>IF(Table1[[#This Row],[Check 3 Status]]="Continued", Table1[[#This Row],[Check 3 Students Spring]], 0)</f>
        <v>0</v>
      </c>
      <c r="CN445" s="123">
        <f>Table1[[#This Row],[Check 3 Per Student Savings]]*CM445</f>
        <v>0</v>
      </c>
      <c r="CO445" s="124">
        <f t="shared" si="259"/>
        <v>0</v>
      </c>
      <c r="CP445" s="123">
        <f t="shared" si="260"/>
        <v>0</v>
      </c>
      <c r="CQ445" s="123" t="s">
        <v>964</v>
      </c>
      <c r="CR445" s="124">
        <v>0</v>
      </c>
      <c r="CS445" s="124">
        <v>0</v>
      </c>
      <c r="CT445" s="124">
        <v>0</v>
      </c>
      <c r="CU445" s="124">
        <f t="shared" si="238"/>
        <v>0</v>
      </c>
      <c r="CV445" s="123">
        <v>0</v>
      </c>
      <c r="CW445" s="123">
        <f t="shared" si="235"/>
        <v>0</v>
      </c>
      <c r="CX445" t="s">
        <v>2180</v>
      </c>
      <c r="CY445" s="124">
        <v>0</v>
      </c>
      <c r="CZ445" s="58">
        <f>Table1[[#This Row],[Check 4 Per Student Savings]]*CY445</f>
        <v>0</v>
      </c>
      <c r="DA445" s="124">
        <v>0</v>
      </c>
      <c r="DB445" s="123">
        <f>Table1[[#This Row],[Check 4 Per Student Savings]]*DA445</f>
        <v>0</v>
      </c>
      <c r="DC445" s="124">
        <v>0</v>
      </c>
      <c r="DD445" s="58">
        <f>Table1[[#This Row],[Check 4 Per Student Savings]]*DC445</f>
        <v>0</v>
      </c>
      <c r="DE445" s="58">
        <f t="shared" si="236"/>
        <v>0</v>
      </c>
      <c r="DF445" s="58">
        <f t="shared" si="237"/>
        <v>0</v>
      </c>
      <c r="DG445"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45"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45" s="111">
        <f>Table1[[#This Row],[Grand Total Savings]]/Table1[[#This Row],[Total Award]]</f>
        <v>0</v>
      </c>
      <c r="DJ445" s="207"/>
      <c r="DK445" s="58"/>
      <c r="DL445" s="31"/>
      <c r="DN445" s="58"/>
      <c r="EC445" s="17"/>
      <c r="ED445" s="21"/>
      <c r="EE445" s="58"/>
      <c r="EG445" s="21"/>
    </row>
    <row r="446" spans="1:137" ht="16.5" thickTop="1" thickBot="1" x14ac:dyDescent="0.3">
      <c r="A446" s="1" t="s">
        <v>2117</v>
      </c>
      <c r="B446" s="138"/>
      <c r="C446" s="138"/>
      <c r="D446" s="134"/>
      <c r="E446" s="135"/>
      <c r="F446" s="135"/>
      <c r="G446" s="223" t="s">
        <v>2125</v>
      </c>
      <c r="H446" s="95" t="s">
        <v>2001</v>
      </c>
      <c r="I446" s="17" t="s">
        <v>962</v>
      </c>
      <c r="J446" t="s">
        <v>179</v>
      </c>
      <c r="K446" s="11">
        <v>1500</v>
      </c>
      <c r="L446" t="s">
        <v>2086</v>
      </c>
      <c r="M446" t="s">
        <v>1648</v>
      </c>
      <c r="N446" t="s">
        <v>1649</v>
      </c>
      <c r="O446" s="101"/>
      <c r="P446" t="s">
        <v>2167</v>
      </c>
      <c r="Q446" s="101" t="s">
        <v>272</v>
      </c>
      <c r="R446" s="101"/>
      <c r="S446" s="210"/>
      <c r="T446" s="210"/>
      <c r="U446" s="210"/>
      <c r="V446" s="210"/>
      <c r="W446" s="210"/>
      <c r="X446" s="210"/>
      <c r="Y446" s="58"/>
      <c r="Z446" s="139"/>
      <c r="AA446" s="58"/>
      <c r="AB446" s="21"/>
      <c r="AC446" s="21"/>
      <c r="AE446" s="139" t="s">
        <v>13</v>
      </c>
      <c r="AF446" s="58"/>
      <c r="AG446" s="58"/>
      <c r="AH446" s="58"/>
      <c r="AI446" s="58"/>
      <c r="AJ446" s="21">
        <f t="shared" si="250"/>
        <v>0</v>
      </c>
      <c r="AK446" s="58"/>
      <c r="AL446" s="21"/>
      <c r="AM446" s="58">
        <f t="shared" si="251"/>
        <v>0</v>
      </c>
      <c r="AN446" s="21">
        <f>IF(Table1[[#This Row],[Sustainability Check 1 (2017-2018) Status]]="Continued", Table1[[#This Row],[Students Per Summer]], 0)</f>
        <v>0</v>
      </c>
      <c r="AO446" s="58">
        <f t="shared" si="252"/>
        <v>0</v>
      </c>
      <c r="AP446" s="21">
        <f>IF(Table1[[#This Row],[Sustainability Check 1 (2017-2018) Status]]="Continued", Table1[[#This Row],[Students Per Fall]], 0)</f>
        <v>0</v>
      </c>
      <c r="AQ446" s="58">
        <f t="shared" si="253"/>
        <v>0</v>
      </c>
      <c r="AR446" s="21"/>
      <c r="AS446" s="58">
        <f t="shared" si="254"/>
        <v>0</v>
      </c>
      <c r="AT446" s="21"/>
      <c r="AU446" s="58">
        <f t="shared" si="255"/>
        <v>0</v>
      </c>
      <c r="AV446" s="21"/>
      <c r="AW446" s="58"/>
      <c r="AX446" s="31"/>
      <c r="AY446" s="58"/>
      <c r="AZ446" s="31"/>
      <c r="BA446" s="58"/>
      <c r="BB446" s="31"/>
      <c r="BC446" s="58"/>
      <c r="BD446" s="31"/>
      <c r="BE446" s="58"/>
      <c r="BF446" s="31"/>
      <c r="BG446" s="58"/>
      <c r="BH446" s="21">
        <v>0</v>
      </c>
      <c r="BI446" s="21">
        <v>0</v>
      </c>
      <c r="BJ446" s="21">
        <v>0</v>
      </c>
      <c r="BK446" s="21">
        <v>0</v>
      </c>
      <c r="BL446" s="58" t="s">
        <v>964</v>
      </c>
      <c r="BM446" s="21">
        <v>0</v>
      </c>
      <c r="BN446" s="21">
        <v>0</v>
      </c>
      <c r="BO446" s="21">
        <v>0</v>
      </c>
      <c r="BP446" s="31">
        <f t="shared" si="256"/>
        <v>0</v>
      </c>
      <c r="BQ446" s="21">
        <v>0</v>
      </c>
      <c r="BR446" s="21">
        <v>0</v>
      </c>
      <c r="BS446" s="21">
        <v>0</v>
      </c>
      <c r="BT446" s="21">
        <v>0</v>
      </c>
      <c r="BU446" s="21">
        <v>0</v>
      </c>
      <c r="BV446" s="21">
        <v>0</v>
      </c>
      <c r="BW446" s="21">
        <v>0</v>
      </c>
      <c r="BX446" s="136">
        <f>Table1[[#This Row],[Summer 2018 Price Check]]*Table1[[#This Row],[Spring 2019 Students]]</f>
        <v>0</v>
      </c>
      <c r="BY446" s="31">
        <f t="shared" si="257"/>
        <v>0</v>
      </c>
      <c r="BZ446" s="58">
        <f t="shared" si="258"/>
        <v>0</v>
      </c>
      <c r="CA446" s="58" t="s">
        <v>964</v>
      </c>
      <c r="CB446" s="21">
        <v>0</v>
      </c>
      <c r="CC446" s="21">
        <v>0</v>
      </c>
      <c r="CD446" s="21">
        <v>0</v>
      </c>
      <c r="CE446" s="21">
        <v>0</v>
      </c>
      <c r="CF446" s="21">
        <v>0</v>
      </c>
      <c r="CG446" s="21">
        <v>0</v>
      </c>
      <c r="CH446" t="s">
        <v>2086</v>
      </c>
      <c r="CI446" s="137">
        <f>IF(Table1[[#This Row],[Check 3 Status]]="Continued", Table1[[#This Row],[Check 3 Students Summer]], 0)</f>
        <v>0</v>
      </c>
      <c r="CJ446" s="136">
        <f>Table1[[#This Row],[Check 3 Per Student Savings]]*CI446</f>
        <v>0</v>
      </c>
      <c r="CK446" s="137">
        <f>IF(Table1[[#This Row],[Check 3 Status]]="Continued", Table1[[#This Row],[Check 3 Students Fall]], 0)</f>
        <v>0</v>
      </c>
      <c r="CL446" s="136">
        <f>Table1[[#This Row],[Check 3 Per Student Savings]]*CK446</f>
        <v>0</v>
      </c>
      <c r="CM446" s="124">
        <f>IF(Table1[[#This Row],[Check 3 Status]]="Continued", Table1[[#This Row],[Check 3 Students Spring]], 0)</f>
        <v>0</v>
      </c>
      <c r="CN446" s="123">
        <f>Table1[[#This Row],[Check 3 Per Student Savings]]*CM446</f>
        <v>0</v>
      </c>
      <c r="CO446" s="124">
        <f t="shared" si="259"/>
        <v>0</v>
      </c>
      <c r="CP446" s="123">
        <f t="shared" si="260"/>
        <v>0</v>
      </c>
      <c r="CQ446" s="123" t="s">
        <v>964</v>
      </c>
      <c r="CR446" s="124">
        <v>0</v>
      </c>
      <c r="CS446" s="124">
        <v>0</v>
      </c>
      <c r="CT446" s="124">
        <v>0</v>
      </c>
      <c r="CU446" s="124">
        <f t="shared" si="238"/>
        <v>0</v>
      </c>
      <c r="CV446" s="123">
        <v>0</v>
      </c>
      <c r="CW446" s="123">
        <f t="shared" si="235"/>
        <v>0</v>
      </c>
      <c r="CX446" t="s">
        <v>2086</v>
      </c>
      <c r="CY446" s="124">
        <v>0</v>
      </c>
      <c r="CZ446" s="58">
        <f>Table1[[#This Row],[Check 4 Per Student Savings]]*CY446</f>
        <v>0</v>
      </c>
      <c r="DA446" s="124">
        <v>0</v>
      </c>
      <c r="DB446" s="123">
        <f>Table1[[#This Row],[Check 4 Per Student Savings]]*DA446</f>
        <v>0</v>
      </c>
      <c r="DC446" s="124">
        <v>0</v>
      </c>
      <c r="DD446" s="58">
        <f>Table1[[#This Row],[Check 4 Per Student Savings]]*DC446</f>
        <v>0</v>
      </c>
      <c r="DE446" s="58">
        <f t="shared" si="236"/>
        <v>0</v>
      </c>
      <c r="DF446" s="58">
        <f t="shared" si="237"/>
        <v>0</v>
      </c>
      <c r="DG446"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46"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46" s="111">
        <f>Table1[[#This Row],[Grand Total Savings]]/Table1[[#This Row],[Total Award]]</f>
        <v>0</v>
      </c>
      <c r="DJ446" s="207"/>
      <c r="DK446" s="58"/>
      <c r="DL446" s="31"/>
      <c r="DN446" s="58"/>
      <c r="EC446" s="17"/>
      <c r="ED446" s="21"/>
      <c r="EE446" s="58"/>
      <c r="EG446" s="21"/>
    </row>
    <row r="447" spans="1:137" ht="16.5" thickTop="1" thickBot="1" x14ac:dyDescent="0.3">
      <c r="A447" s="1" t="s">
        <v>2118</v>
      </c>
      <c r="B447" s="138"/>
      <c r="C447" s="138"/>
      <c r="D447" s="134"/>
      <c r="E447" s="135"/>
      <c r="F447" s="135"/>
      <c r="G447" s="223" t="s">
        <v>2125</v>
      </c>
      <c r="H447" s="95" t="s">
        <v>2001</v>
      </c>
      <c r="I447" s="17" t="s">
        <v>962</v>
      </c>
      <c r="J447" t="s">
        <v>276</v>
      </c>
      <c r="K447" s="11">
        <v>6000</v>
      </c>
      <c r="L447" t="s">
        <v>2086</v>
      </c>
      <c r="M447" t="s">
        <v>2147</v>
      </c>
      <c r="N447" t="s">
        <v>2148</v>
      </c>
      <c r="O447" s="101"/>
      <c r="P447" t="s">
        <v>2175</v>
      </c>
      <c r="Q447" s="101" t="s">
        <v>192</v>
      </c>
      <c r="R447" s="101"/>
      <c r="S447" s="210"/>
      <c r="T447" s="210"/>
      <c r="U447" s="210"/>
      <c r="V447" s="210"/>
      <c r="W447" s="210"/>
      <c r="X447" s="210"/>
      <c r="Y447" s="58"/>
      <c r="Z447" s="139"/>
      <c r="AA447" s="58"/>
      <c r="AB447" s="21"/>
      <c r="AC447" s="21"/>
      <c r="AE447" s="139" t="s">
        <v>13</v>
      </c>
      <c r="AF447" s="58"/>
      <c r="AG447" s="58"/>
      <c r="AH447" s="58"/>
      <c r="AI447" s="58"/>
      <c r="AJ447" s="21">
        <f t="shared" si="250"/>
        <v>0</v>
      </c>
      <c r="AK447" s="58"/>
      <c r="AL447" s="21"/>
      <c r="AM447" s="58">
        <f t="shared" si="251"/>
        <v>0</v>
      </c>
      <c r="AN447" s="21">
        <f>IF(Table1[[#This Row],[Sustainability Check 1 (2017-2018) Status]]="Continued", Table1[[#This Row],[Students Per Summer]], 0)</f>
        <v>0</v>
      </c>
      <c r="AO447" s="58">
        <f t="shared" si="252"/>
        <v>0</v>
      </c>
      <c r="AP447" s="21">
        <f>IF(Table1[[#This Row],[Sustainability Check 1 (2017-2018) Status]]="Continued", Table1[[#This Row],[Students Per Fall]], 0)</f>
        <v>0</v>
      </c>
      <c r="AQ447" s="58">
        <f t="shared" si="253"/>
        <v>0</v>
      </c>
      <c r="AR447" s="21"/>
      <c r="AS447" s="58">
        <f t="shared" si="254"/>
        <v>0</v>
      </c>
      <c r="AT447" s="21"/>
      <c r="AU447" s="58">
        <f t="shared" si="255"/>
        <v>0</v>
      </c>
      <c r="AV447" s="21"/>
      <c r="AW447" s="58"/>
      <c r="AX447" s="31"/>
      <c r="AY447" s="58"/>
      <c r="AZ447" s="31"/>
      <c r="BA447" s="58"/>
      <c r="BB447" s="31"/>
      <c r="BC447" s="58"/>
      <c r="BD447" s="31"/>
      <c r="BE447" s="58"/>
      <c r="BF447" s="31"/>
      <c r="BG447" s="58"/>
      <c r="BH447" s="21">
        <v>0</v>
      </c>
      <c r="BI447" s="21">
        <v>0</v>
      </c>
      <c r="BJ447" s="21">
        <v>0</v>
      </c>
      <c r="BK447" s="21">
        <v>0</v>
      </c>
      <c r="BL447" s="58" t="s">
        <v>964</v>
      </c>
      <c r="BM447" s="21">
        <v>0</v>
      </c>
      <c r="BN447" s="21">
        <v>0</v>
      </c>
      <c r="BO447" s="21">
        <v>0</v>
      </c>
      <c r="BP447" s="31">
        <f t="shared" si="256"/>
        <v>0</v>
      </c>
      <c r="BQ447" s="21">
        <v>0</v>
      </c>
      <c r="BR447" s="21">
        <v>0</v>
      </c>
      <c r="BS447" s="21">
        <v>0</v>
      </c>
      <c r="BT447" s="21">
        <v>0</v>
      </c>
      <c r="BU447" s="21">
        <v>0</v>
      </c>
      <c r="BV447" s="21">
        <v>0</v>
      </c>
      <c r="BW447" s="21">
        <v>0</v>
      </c>
      <c r="BX447" s="136">
        <f>Table1[[#This Row],[Summer 2018 Price Check]]*Table1[[#This Row],[Spring 2019 Students]]</f>
        <v>0</v>
      </c>
      <c r="BY447" s="31">
        <f t="shared" si="257"/>
        <v>0</v>
      </c>
      <c r="BZ447" s="58">
        <f t="shared" si="258"/>
        <v>0</v>
      </c>
      <c r="CA447" s="58" t="s">
        <v>964</v>
      </c>
      <c r="CB447" s="21">
        <v>0</v>
      </c>
      <c r="CC447" s="21">
        <v>0</v>
      </c>
      <c r="CD447" s="21">
        <v>0</v>
      </c>
      <c r="CE447" s="21">
        <v>0</v>
      </c>
      <c r="CF447" s="21">
        <v>0</v>
      </c>
      <c r="CG447" s="21">
        <v>0</v>
      </c>
      <c r="CH447" t="s">
        <v>2086</v>
      </c>
      <c r="CI447" s="137">
        <f>IF(Table1[[#This Row],[Check 3 Status]]="Continued", Table1[[#This Row],[Check 3 Students Summer]], 0)</f>
        <v>0</v>
      </c>
      <c r="CJ447" s="136">
        <f>Table1[[#This Row],[Check 3 Per Student Savings]]*CI447</f>
        <v>0</v>
      </c>
      <c r="CK447" s="137">
        <f>IF(Table1[[#This Row],[Check 3 Status]]="Continued", Table1[[#This Row],[Check 3 Students Fall]], 0)</f>
        <v>0</v>
      </c>
      <c r="CL447" s="136">
        <f>Table1[[#This Row],[Check 3 Per Student Savings]]*CK447</f>
        <v>0</v>
      </c>
      <c r="CM447" s="124">
        <f>IF(Table1[[#This Row],[Check 3 Status]]="Continued", Table1[[#This Row],[Check 3 Students Spring]], 0)</f>
        <v>0</v>
      </c>
      <c r="CN447" s="123">
        <f>Table1[[#This Row],[Check 3 Per Student Savings]]*CM447</f>
        <v>0</v>
      </c>
      <c r="CO447" s="124">
        <f t="shared" si="259"/>
        <v>0</v>
      </c>
      <c r="CP447" s="123">
        <f t="shared" si="260"/>
        <v>0</v>
      </c>
      <c r="CQ447" s="123" t="s">
        <v>964</v>
      </c>
      <c r="CR447" s="124">
        <v>0</v>
      </c>
      <c r="CS447" s="124">
        <v>0</v>
      </c>
      <c r="CT447" s="124">
        <v>0</v>
      </c>
      <c r="CU447" s="124">
        <f t="shared" si="238"/>
        <v>0</v>
      </c>
      <c r="CV447" s="123">
        <v>0</v>
      </c>
      <c r="CW447" s="123">
        <f t="shared" si="235"/>
        <v>0</v>
      </c>
      <c r="CX447" t="s">
        <v>2086</v>
      </c>
      <c r="CY447" s="124">
        <v>0</v>
      </c>
      <c r="CZ447" s="58">
        <f>Table1[[#This Row],[Check 4 Per Student Savings]]*CY447</f>
        <v>0</v>
      </c>
      <c r="DA447" s="124">
        <v>0</v>
      </c>
      <c r="DB447" s="123">
        <f>Table1[[#This Row],[Check 4 Per Student Savings]]*DA447</f>
        <v>0</v>
      </c>
      <c r="DC447" s="124">
        <v>0</v>
      </c>
      <c r="DD447" s="58">
        <f>Table1[[#This Row],[Check 4 Per Student Savings]]*DC447</f>
        <v>0</v>
      </c>
      <c r="DE447" s="58">
        <f t="shared" si="236"/>
        <v>0</v>
      </c>
      <c r="DF447" s="58">
        <f t="shared" si="237"/>
        <v>0</v>
      </c>
      <c r="DG447"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47"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47" s="111">
        <f>Table1[[#This Row],[Grand Total Savings]]/Table1[[#This Row],[Total Award]]</f>
        <v>0</v>
      </c>
      <c r="DJ447" s="207"/>
      <c r="DK447" s="58"/>
      <c r="DL447" s="31"/>
      <c r="DN447" s="58"/>
      <c r="EC447" s="17"/>
      <c r="ED447" s="21"/>
      <c r="EE447" s="58"/>
      <c r="EG447" s="21"/>
    </row>
    <row r="448" spans="1:137" ht="16.5" thickTop="1" thickBot="1" x14ac:dyDescent="0.3">
      <c r="A448" s="1" t="s">
        <v>2119</v>
      </c>
      <c r="B448" s="138"/>
      <c r="C448" s="138"/>
      <c r="D448" s="134"/>
      <c r="E448" s="135"/>
      <c r="F448" s="135"/>
      <c r="G448" s="223" t="s">
        <v>2125</v>
      </c>
      <c r="H448" s="95" t="s">
        <v>2001</v>
      </c>
      <c r="I448" s="17" t="s">
        <v>962</v>
      </c>
      <c r="J448" t="s">
        <v>499</v>
      </c>
      <c r="K448" s="11">
        <v>9594</v>
      </c>
      <c r="L448" t="s">
        <v>2180</v>
      </c>
      <c r="M448" t="s">
        <v>2149</v>
      </c>
      <c r="N448" t="s">
        <v>2150</v>
      </c>
      <c r="O448" s="101"/>
      <c r="P448" t="s">
        <v>1612</v>
      </c>
      <c r="Q448" s="101" t="s">
        <v>177</v>
      </c>
      <c r="R448" s="101"/>
      <c r="S448" s="210"/>
      <c r="T448" s="210"/>
      <c r="U448" s="210"/>
      <c r="V448" s="210"/>
      <c r="W448" s="210"/>
      <c r="X448" s="210"/>
      <c r="Y448" s="58"/>
      <c r="Z448" s="139"/>
      <c r="AA448" s="58"/>
      <c r="AB448" s="21"/>
      <c r="AC448" s="21"/>
      <c r="AE448" s="139" t="s">
        <v>13</v>
      </c>
      <c r="AF448" s="58"/>
      <c r="AG448" s="58"/>
      <c r="AH448" s="58"/>
      <c r="AI448" s="58"/>
      <c r="AJ448" s="21">
        <f t="shared" si="250"/>
        <v>0</v>
      </c>
      <c r="AK448" s="58"/>
      <c r="AL448" s="21"/>
      <c r="AM448" s="58">
        <f t="shared" si="251"/>
        <v>0</v>
      </c>
      <c r="AN448" s="21">
        <f>IF(Table1[[#This Row],[Sustainability Check 1 (2017-2018) Status]]="Continued", Table1[[#This Row],[Students Per Summer]], 0)</f>
        <v>0</v>
      </c>
      <c r="AO448" s="58">
        <f t="shared" si="252"/>
        <v>0</v>
      </c>
      <c r="AP448" s="21">
        <f>IF(Table1[[#This Row],[Sustainability Check 1 (2017-2018) Status]]="Continued", Table1[[#This Row],[Students Per Fall]], 0)</f>
        <v>0</v>
      </c>
      <c r="AQ448" s="58">
        <f t="shared" si="253"/>
        <v>0</v>
      </c>
      <c r="AR448" s="21"/>
      <c r="AS448" s="58">
        <f t="shared" si="254"/>
        <v>0</v>
      </c>
      <c r="AT448" s="21"/>
      <c r="AU448" s="58">
        <f t="shared" si="255"/>
        <v>0</v>
      </c>
      <c r="AV448" s="21"/>
      <c r="AW448" s="58"/>
      <c r="AX448" s="31"/>
      <c r="AY448" s="58"/>
      <c r="AZ448" s="31"/>
      <c r="BA448" s="58"/>
      <c r="BB448" s="31"/>
      <c r="BC448" s="58"/>
      <c r="BD448" s="31"/>
      <c r="BE448" s="58"/>
      <c r="BF448" s="31"/>
      <c r="BG448" s="58"/>
      <c r="BH448" s="21">
        <v>0</v>
      </c>
      <c r="BI448" s="21">
        <v>0</v>
      </c>
      <c r="BJ448" s="21">
        <v>0</v>
      </c>
      <c r="BK448" s="21">
        <v>0</v>
      </c>
      <c r="BL448" s="58" t="s">
        <v>964</v>
      </c>
      <c r="BM448" s="21">
        <v>0</v>
      </c>
      <c r="BN448" s="21">
        <v>0</v>
      </c>
      <c r="BO448" s="21">
        <v>0</v>
      </c>
      <c r="BP448" s="31">
        <f t="shared" si="256"/>
        <v>0</v>
      </c>
      <c r="BQ448" s="21">
        <v>0</v>
      </c>
      <c r="BR448" s="21">
        <v>0</v>
      </c>
      <c r="BS448" s="21">
        <v>0</v>
      </c>
      <c r="BT448" s="21">
        <v>0</v>
      </c>
      <c r="BU448" s="21">
        <v>0</v>
      </c>
      <c r="BV448" s="21">
        <v>0</v>
      </c>
      <c r="BW448" s="21">
        <v>0</v>
      </c>
      <c r="BX448" s="136">
        <f>Table1[[#This Row],[Summer 2018 Price Check]]*Table1[[#This Row],[Spring 2019 Students]]</f>
        <v>0</v>
      </c>
      <c r="BY448" s="31">
        <f t="shared" si="257"/>
        <v>0</v>
      </c>
      <c r="BZ448" s="58">
        <f t="shared" si="258"/>
        <v>0</v>
      </c>
      <c r="CA448" s="58" t="s">
        <v>964</v>
      </c>
      <c r="CB448" s="21">
        <v>0</v>
      </c>
      <c r="CC448" s="21">
        <v>0</v>
      </c>
      <c r="CD448" s="21">
        <v>0</v>
      </c>
      <c r="CE448" s="21">
        <v>0</v>
      </c>
      <c r="CF448" s="21">
        <v>0</v>
      </c>
      <c r="CG448" s="21">
        <v>0</v>
      </c>
      <c r="CH448" t="s">
        <v>2180</v>
      </c>
      <c r="CI448" s="137">
        <f>IF(Table1[[#This Row],[Check 3 Status]]="Continued", Table1[[#This Row],[Check 3 Students Summer]], 0)</f>
        <v>0</v>
      </c>
      <c r="CJ448" s="136">
        <f>Table1[[#This Row],[Check 3 Per Student Savings]]*CI448</f>
        <v>0</v>
      </c>
      <c r="CK448" s="137">
        <f>IF(Table1[[#This Row],[Check 3 Status]]="Continued", Table1[[#This Row],[Check 3 Students Fall]], 0)</f>
        <v>0</v>
      </c>
      <c r="CL448" s="136">
        <f>Table1[[#This Row],[Check 3 Per Student Savings]]*CK448</f>
        <v>0</v>
      </c>
      <c r="CM448" s="124">
        <f>IF(Table1[[#This Row],[Check 3 Status]]="Continued", Table1[[#This Row],[Check 3 Students Spring]], 0)</f>
        <v>0</v>
      </c>
      <c r="CN448" s="123">
        <f>Table1[[#This Row],[Check 3 Per Student Savings]]*CM448</f>
        <v>0</v>
      </c>
      <c r="CO448" s="124">
        <f t="shared" si="259"/>
        <v>0</v>
      </c>
      <c r="CP448" s="123">
        <f t="shared" si="260"/>
        <v>0</v>
      </c>
      <c r="CQ448" s="123" t="s">
        <v>964</v>
      </c>
      <c r="CR448" s="124">
        <v>0</v>
      </c>
      <c r="CS448" s="124">
        <v>0</v>
      </c>
      <c r="CT448" s="124">
        <v>0</v>
      </c>
      <c r="CU448" s="124">
        <f t="shared" si="238"/>
        <v>0</v>
      </c>
      <c r="CV448" s="123">
        <v>0</v>
      </c>
      <c r="CW448" s="123">
        <f t="shared" si="235"/>
        <v>0</v>
      </c>
      <c r="CX448" t="s">
        <v>2180</v>
      </c>
      <c r="CY448" s="124">
        <v>0</v>
      </c>
      <c r="CZ448" s="58">
        <f>Table1[[#This Row],[Check 4 Per Student Savings]]*CY448</f>
        <v>0</v>
      </c>
      <c r="DA448" s="124">
        <v>0</v>
      </c>
      <c r="DB448" s="123">
        <f>Table1[[#This Row],[Check 4 Per Student Savings]]*DA448</f>
        <v>0</v>
      </c>
      <c r="DC448" s="124">
        <v>0</v>
      </c>
      <c r="DD448" s="58">
        <f>Table1[[#This Row],[Check 4 Per Student Savings]]*DC448</f>
        <v>0</v>
      </c>
      <c r="DE448" s="58">
        <f t="shared" si="236"/>
        <v>0</v>
      </c>
      <c r="DF448" s="58">
        <f t="shared" si="237"/>
        <v>0</v>
      </c>
      <c r="DG448"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48"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48" s="111">
        <f>Table1[[#This Row],[Grand Total Savings]]/Table1[[#This Row],[Total Award]]</f>
        <v>0</v>
      </c>
      <c r="DJ448" s="207"/>
      <c r="DK448" s="58"/>
      <c r="DL448" s="31"/>
      <c r="DN448" s="58"/>
      <c r="EC448" s="17"/>
      <c r="ED448" s="21"/>
      <c r="EE448" s="58"/>
      <c r="EG448" s="21"/>
    </row>
    <row r="449" spans="1:137" ht="16.5" thickTop="1" thickBot="1" x14ac:dyDescent="0.3">
      <c r="A449" s="1" t="s">
        <v>2120</v>
      </c>
      <c r="B449" s="138"/>
      <c r="C449" s="138"/>
      <c r="D449" s="134"/>
      <c r="E449" s="135"/>
      <c r="F449" s="135"/>
      <c r="G449" s="223" t="s">
        <v>2125</v>
      </c>
      <c r="H449" s="95" t="s">
        <v>2001</v>
      </c>
      <c r="I449" s="17" t="s">
        <v>962</v>
      </c>
      <c r="J449" t="s">
        <v>671</v>
      </c>
      <c r="K449" s="11">
        <v>10000</v>
      </c>
      <c r="L449" t="s">
        <v>2180</v>
      </c>
      <c r="M449" t="s">
        <v>2151</v>
      </c>
      <c r="N449" t="s">
        <v>2152</v>
      </c>
      <c r="O449" s="101"/>
      <c r="P449" t="s">
        <v>2176</v>
      </c>
      <c r="Q449" s="101" t="s">
        <v>2302</v>
      </c>
      <c r="R449" s="101"/>
      <c r="S449" s="210"/>
      <c r="T449" s="210"/>
      <c r="U449" s="210"/>
      <c r="V449" s="210"/>
      <c r="W449" s="210"/>
      <c r="X449" s="210"/>
      <c r="Y449" s="58"/>
      <c r="Z449" s="139"/>
      <c r="AA449" s="58"/>
      <c r="AB449" s="21"/>
      <c r="AC449" s="21"/>
      <c r="AE449" s="139" t="s">
        <v>13</v>
      </c>
      <c r="AF449" s="58"/>
      <c r="AG449" s="58"/>
      <c r="AH449" s="58"/>
      <c r="AI449" s="58"/>
      <c r="AJ449" s="21">
        <f t="shared" si="250"/>
        <v>0</v>
      </c>
      <c r="AK449" s="58"/>
      <c r="AL449" s="21"/>
      <c r="AM449" s="58">
        <f t="shared" si="251"/>
        <v>0</v>
      </c>
      <c r="AN449" s="21">
        <f>IF(Table1[[#This Row],[Sustainability Check 1 (2017-2018) Status]]="Continued", Table1[[#This Row],[Students Per Summer]], 0)</f>
        <v>0</v>
      </c>
      <c r="AO449" s="58">
        <f t="shared" si="252"/>
        <v>0</v>
      </c>
      <c r="AP449" s="21">
        <f>IF(Table1[[#This Row],[Sustainability Check 1 (2017-2018) Status]]="Continued", Table1[[#This Row],[Students Per Fall]], 0)</f>
        <v>0</v>
      </c>
      <c r="AQ449" s="58">
        <f t="shared" si="253"/>
        <v>0</v>
      </c>
      <c r="AR449" s="21"/>
      <c r="AS449" s="58">
        <f t="shared" si="254"/>
        <v>0</v>
      </c>
      <c r="AT449" s="21"/>
      <c r="AU449" s="58">
        <f t="shared" si="255"/>
        <v>0</v>
      </c>
      <c r="AV449" s="21"/>
      <c r="AW449" s="58"/>
      <c r="AX449" s="31"/>
      <c r="AY449" s="58"/>
      <c r="AZ449" s="31"/>
      <c r="BA449" s="58"/>
      <c r="BB449" s="31"/>
      <c r="BC449" s="58"/>
      <c r="BD449" s="31"/>
      <c r="BE449" s="58"/>
      <c r="BF449" s="31"/>
      <c r="BG449" s="58"/>
      <c r="BH449" s="21">
        <v>0</v>
      </c>
      <c r="BI449" s="21">
        <v>0</v>
      </c>
      <c r="BJ449" s="21">
        <v>0</v>
      </c>
      <c r="BK449" s="21">
        <v>0</v>
      </c>
      <c r="BL449" s="58" t="s">
        <v>964</v>
      </c>
      <c r="BM449" s="21">
        <v>0</v>
      </c>
      <c r="BN449" s="21">
        <v>0</v>
      </c>
      <c r="BO449" s="21">
        <v>0</v>
      </c>
      <c r="BP449" s="31">
        <f t="shared" si="256"/>
        <v>0</v>
      </c>
      <c r="BQ449" s="21">
        <v>0</v>
      </c>
      <c r="BR449" s="21">
        <v>0</v>
      </c>
      <c r="BS449" s="21">
        <v>0</v>
      </c>
      <c r="BT449" s="21">
        <v>0</v>
      </c>
      <c r="BU449" s="21">
        <v>0</v>
      </c>
      <c r="BV449" s="21">
        <v>0</v>
      </c>
      <c r="BW449" s="21">
        <v>0</v>
      </c>
      <c r="BX449" s="136">
        <f>Table1[[#This Row],[Summer 2018 Price Check]]*Table1[[#This Row],[Spring 2019 Students]]</f>
        <v>0</v>
      </c>
      <c r="BY449" s="31">
        <f t="shared" si="257"/>
        <v>0</v>
      </c>
      <c r="BZ449" s="58">
        <f t="shared" si="258"/>
        <v>0</v>
      </c>
      <c r="CA449" s="58" t="s">
        <v>964</v>
      </c>
      <c r="CB449" s="21">
        <v>0</v>
      </c>
      <c r="CC449" s="21">
        <v>0</v>
      </c>
      <c r="CD449" s="21">
        <v>0</v>
      </c>
      <c r="CE449" s="21">
        <v>0</v>
      </c>
      <c r="CF449" s="21">
        <v>0</v>
      </c>
      <c r="CG449" s="21">
        <v>0</v>
      </c>
      <c r="CH449" t="s">
        <v>2180</v>
      </c>
      <c r="CI449" s="137">
        <f>IF(Table1[[#This Row],[Check 3 Status]]="Continued", Table1[[#This Row],[Check 3 Students Summer]], 0)</f>
        <v>0</v>
      </c>
      <c r="CJ449" s="136">
        <f>Table1[[#This Row],[Check 3 Per Student Savings]]*CI449</f>
        <v>0</v>
      </c>
      <c r="CK449" s="137">
        <f>IF(Table1[[#This Row],[Check 3 Status]]="Continued", Table1[[#This Row],[Check 3 Students Fall]], 0)</f>
        <v>0</v>
      </c>
      <c r="CL449" s="136">
        <f>Table1[[#This Row],[Check 3 Per Student Savings]]*CK449</f>
        <v>0</v>
      </c>
      <c r="CM449" s="124">
        <f>IF(Table1[[#This Row],[Check 3 Status]]="Continued", Table1[[#This Row],[Check 3 Students Spring]], 0)</f>
        <v>0</v>
      </c>
      <c r="CN449" s="123">
        <f>Table1[[#This Row],[Check 3 Per Student Savings]]*CM449</f>
        <v>0</v>
      </c>
      <c r="CO449" s="124">
        <f t="shared" si="259"/>
        <v>0</v>
      </c>
      <c r="CP449" s="123">
        <f t="shared" si="260"/>
        <v>0</v>
      </c>
      <c r="CQ449" s="123" t="s">
        <v>964</v>
      </c>
      <c r="CR449" s="124">
        <v>0</v>
      </c>
      <c r="CS449" s="124">
        <v>0</v>
      </c>
      <c r="CT449" s="124">
        <v>0</v>
      </c>
      <c r="CU449" s="124">
        <f t="shared" si="238"/>
        <v>0</v>
      </c>
      <c r="CV449" s="123">
        <v>0</v>
      </c>
      <c r="CW449" s="123">
        <f t="shared" si="235"/>
        <v>0</v>
      </c>
      <c r="CX449" t="s">
        <v>2180</v>
      </c>
      <c r="CY449" s="124">
        <v>0</v>
      </c>
      <c r="CZ449" s="58">
        <f>Table1[[#This Row],[Check 4 Per Student Savings]]*CY449</f>
        <v>0</v>
      </c>
      <c r="DA449" s="124">
        <v>0</v>
      </c>
      <c r="DB449" s="123">
        <f>Table1[[#This Row],[Check 4 Per Student Savings]]*DA449</f>
        <v>0</v>
      </c>
      <c r="DC449" s="124">
        <v>0</v>
      </c>
      <c r="DD449" s="58">
        <f>Table1[[#This Row],[Check 4 Per Student Savings]]*DC449</f>
        <v>0</v>
      </c>
      <c r="DE449" s="58">
        <f t="shared" si="236"/>
        <v>0</v>
      </c>
      <c r="DF449" s="58">
        <f t="shared" si="237"/>
        <v>0</v>
      </c>
      <c r="DG449"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49"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49" s="111">
        <f>Table1[[#This Row],[Grand Total Savings]]/Table1[[#This Row],[Total Award]]</f>
        <v>0</v>
      </c>
      <c r="DJ449" s="207"/>
      <c r="DK449" s="58"/>
      <c r="DL449" s="31"/>
      <c r="DN449" s="58"/>
      <c r="EC449" s="17"/>
      <c r="ED449" s="21"/>
      <c r="EE449" s="58"/>
      <c r="EG449" s="21"/>
    </row>
    <row r="450" spans="1:137" ht="16.5" thickTop="1" thickBot="1" x14ac:dyDescent="0.3">
      <c r="A450" s="1" t="s">
        <v>2121</v>
      </c>
      <c r="B450" s="138"/>
      <c r="C450" s="138"/>
      <c r="D450" s="134"/>
      <c r="E450" s="135"/>
      <c r="F450" s="135"/>
      <c r="G450" s="223" t="s">
        <v>2125</v>
      </c>
      <c r="H450" s="95" t="s">
        <v>2001</v>
      </c>
      <c r="I450" s="17" t="s">
        <v>962</v>
      </c>
      <c r="J450" t="s">
        <v>132</v>
      </c>
      <c r="K450" s="11">
        <v>2800</v>
      </c>
      <c r="L450" t="s">
        <v>2180</v>
      </c>
      <c r="M450" t="s">
        <v>1795</v>
      </c>
      <c r="N450" t="s">
        <v>1796</v>
      </c>
      <c r="O450" s="101"/>
      <c r="P450" t="s">
        <v>2177</v>
      </c>
      <c r="Q450" s="101" t="s">
        <v>177</v>
      </c>
      <c r="R450" s="101"/>
      <c r="S450" s="210"/>
      <c r="T450" s="210"/>
      <c r="U450" s="210"/>
      <c r="V450" s="210"/>
      <c r="W450" s="210"/>
      <c r="X450" s="210"/>
      <c r="Y450" s="58"/>
      <c r="Z450" s="139"/>
      <c r="AA450" s="58"/>
      <c r="AB450" s="21"/>
      <c r="AC450" s="21"/>
      <c r="AE450" s="139" t="s">
        <v>13</v>
      </c>
      <c r="AF450" s="58"/>
      <c r="AG450" s="58"/>
      <c r="AH450" s="58"/>
      <c r="AI450" s="58"/>
      <c r="AJ450" s="21">
        <f t="shared" si="250"/>
        <v>0</v>
      </c>
      <c r="AK450" s="58"/>
      <c r="AL450" s="21"/>
      <c r="AM450" s="58">
        <f t="shared" si="251"/>
        <v>0</v>
      </c>
      <c r="AN450" s="21">
        <f>IF(Table1[[#This Row],[Sustainability Check 1 (2017-2018) Status]]="Continued", Table1[[#This Row],[Students Per Summer]], 0)</f>
        <v>0</v>
      </c>
      <c r="AO450" s="58">
        <f t="shared" si="252"/>
        <v>0</v>
      </c>
      <c r="AP450" s="21">
        <f>IF(Table1[[#This Row],[Sustainability Check 1 (2017-2018) Status]]="Continued", Table1[[#This Row],[Students Per Fall]], 0)</f>
        <v>0</v>
      </c>
      <c r="AQ450" s="58">
        <f t="shared" si="253"/>
        <v>0</v>
      </c>
      <c r="AR450" s="21"/>
      <c r="AS450" s="58">
        <f t="shared" si="254"/>
        <v>0</v>
      </c>
      <c r="AT450" s="21"/>
      <c r="AU450" s="58">
        <f t="shared" si="255"/>
        <v>0</v>
      </c>
      <c r="AV450" s="21"/>
      <c r="AW450" s="58"/>
      <c r="AX450" s="31"/>
      <c r="AY450" s="58"/>
      <c r="AZ450" s="31"/>
      <c r="BA450" s="58"/>
      <c r="BB450" s="31"/>
      <c r="BC450" s="58"/>
      <c r="BD450" s="31"/>
      <c r="BE450" s="58"/>
      <c r="BF450" s="31"/>
      <c r="BG450" s="58"/>
      <c r="BH450" s="21">
        <v>0</v>
      </c>
      <c r="BI450" s="21">
        <v>0</v>
      </c>
      <c r="BJ450" s="21">
        <v>0</v>
      </c>
      <c r="BK450" s="21">
        <v>0</v>
      </c>
      <c r="BL450" s="58" t="s">
        <v>964</v>
      </c>
      <c r="BM450" s="21">
        <v>0</v>
      </c>
      <c r="BN450" s="21">
        <v>0</v>
      </c>
      <c r="BO450" s="21">
        <v>0</v>
      </c>
      <c r="BP450" s="31">
        <f t="shared" si="256"/>
        <v>0</v>
      </c>
      <c r="BQ450" s="21">
        <v>0</v>
      </c>
      <c r="BR450" s="21">
        <v>0</v>
      </c>
      <c r="BS450" s="21">
        <v>0</v>
      </c>
      <c r="BT450" s="21">
        <v>0</v>
      </c>
      <c r="BU450" s="21">
        <v>0</v>
      </c>
      <c r="BV450" s="21">
        <v>0</v>
      </c>
      <c r="BW450" s="21">
        <v>0</v>
      </c>
      <c r="BX450" s="136">
        <f>Table1[[#This Row],[Summer 2018 Price Check]]*Table1[[#This Row],[Spring 2019 Students]]</f>
        <v>0</v>
      </c>
      <c r="BY450" s="31">
        <f t="shared" si="257"/>
        <v>0</v>
      </c>
      <c r="BZ450" s="58">
        <f t="shared" si="258"/>
        <v>0</v>
      </c>
      <c r="CA450" s="58" t="s">
        <v>964</v>
      </c>
      <c r="CB450" s="21">
        <v>0</v>
      </c>
      <c r="CC450" s="21">
        <v>0</v>
      </c>
      <c r="CD450" s="21">
        <v>0</v>
      </c>
      <c r="CE450" s="21">
        <v>0</v>
      </c>
      <c r="CF450" s="21">
        <v>0</v>
      </c>
      <c r="CG450" s="21">
        <v>0</v>
      </c>
      <c r="CH450" t="s">
        <v>2180</v>
      </c>
      <c r="CI450" s="137">
        <f>IF(Table1[[#This Row],[Check 3 Status]]="Continued", Table1[[#This Row],[Check 3 Students Summer]], 0)</f>
        <v>0</v>
      </c>
      <c r="CJ450" s="136">
        <f>Table1[[#This Row],[Check 3 Per Student Savings]]*CI450</f>
        <v>0</v>
      </c>
      <c r="CK450" s="137">
        <f>IF(Table1[[#This Row],[Check 3 Status]]="Continued", Table1[[#This Row],[Check 3 Students Fall]], 0)</f>
        <v>0</v>
      </c>
      <c r="CL450" s="136">
        <f>Table1[[#This Row],[Check 3 Per Student Savings]]*CK450</f>
        <v>0</v>
      </c>
      <c r="CM450" s="124">
        <f>IF(Table1[[#This Row],[Check 3 Status]]="Continued", Table1[[#This Row],[Check 3 Students Spring]], 0)</f>
        <v>0</v>
      </c>
      <c r="CN450" s="123">
        <f>Table1[[#This Row],[Check 3 Per Student Savings]]*CM450</f>
        <v>0</v>
      </c>
      <c r="CO450" s="124">
        <f t="shared" si="259"/>
        <v>0</v>
      </c>
      <c r="CP450" s="123">
        <f t="shared" si="260"/>
        <v>0</v>
      </c>
      <c r="CQ450" s="123" t="s">
        <v>964</v>
      </c>
      <c r="CR450" s="124">
        <v>0</v>
      </c>
      <c r="CS450" s="124">
        <v>0</v>
      </c>
      <c r="CT450" s="124">
        <v>0</v>
      </c>
      <c r="CU450" s="124">
        <f t="shared" ref="CU450:CU453" si="261">CR450+CS450+CT450</f>
        <v>0</v>
      </c>
      <c r="CV450" s="123">
        <v>0</v>
      </c>
      <c r="CW450" s="123">
        <f t="shared" ref="CW450:CW453" si="262">CU450*CV450</f>
        <v>0</v>
      </c>
      <c r="CX450" t="s">
        <v>2180</v>
      </c>
      <c r="CY450" s="124">
        <v>0</v>
      </c>
      <c r="CZ450" s="58">
        <f>Table1[[#This Row],[Check 4 Per Student Savings]]*CY450</f>
        <v>0</v>
      </c>
      <c r="DA450" s="124">
        <v>0</v>
      </c>
      <c r="DB450" s="123">
        <f>Table1[[#This Row],[Check 4 Per Student Savings]]*DA450</f>
        <v>0</v>
      </c>
      <c r="DC450" s="124">
        <v>0</v>
      </c>
      <c r="DD450" s="58">
        <f>Table1[[#This Row],[Check 4 Per Student Savings]]*DC450</f>
        <v>0</v>
      </c>
      <c r="DE450" s="58">
        <f t="shared" si="236"/>
        <v>0</v>
      </c>
      <c r="DF450" s="58">
        <f t="shared" si="237"/>
        <v>0</v>
      </c>
      <c r="DG450"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50"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50" s="111">
        <f>Table1[[#This Row],[Grand Total Savings]]/Table1[[#This Row],[Total Award]]</f>
        <v>0</v>
      </c>
      <c r="DJ450" s="207"/>
      <c r="DK450" s="58"/>
      <c r="DL450" s="31"/>
      <c r="DN450" s="58"/>
      <c r="EC450" s="17"/>
      <c r="ED450" s="21"/>
      <c r="EE450" s="58"/>
      <c r="EG450" s="21"/>
    </row>
    <row r="451" spans="1:137" ht="16.5" thickTop="1" thickBot="1" x14ac:dyDescent="0.3">
      <c r="A451" s="1" t="s">
        <v>2122</v>
      </c>
      <c r="B451" s="138"/>
      <c r="C451" s="138"/>
      <c r="D451" s="134"/>
      <c r="E451" s="135"/>
      <c r="F451" s="135"/>
      <c r="G451" s="223" t="s">
        <v>2125</v>
      </c>
      <c r="H451" s="95" t="s">
        <v>2001</v>
      </c>
      <c r="I451" s="17" t="s">
        <v>962</v>
      </c>
      <c r="J451" t="s">
        <v>132</v>
      </c>
      <c r="K451" s="11">
        <v>5300</v>
      </c>
      <c r="L451" t="s">
        <v>2180</v>
      </c>
      <c r="M451" t="s">
        <v>2153</v>
      </c>
      <c r="N451" t="s">
        <v>2154</v>
      </c>
      <c r="O451" s="101"/>
      <c r="P451" t="s">
        <v>2178</v>
      </c>
      <c r="Q451" s="101" t="s">
        <v>488</v>
      </c>
      <c r="R451" s="101"/>
      <c r="S451" s="210"/>
      <c r="T451" s="210"/>
      <c r="U451" s="210"/>
      <c r="V451" s="210"/>
      <c r="W451" s="210"/>
      <c r="X451" s="210"/>
      <c r="Y451" s="58"/>
      <c r="Z451" s="139"/>
      <c r="AA451" s="58"/>
      <c r="AB451" s="21"/>
      <c r="AC451" s="21"/>
      <c r="AE451" s="139" t="s">
        <v>13</v>
      </c>
      <c r="AF451" s="58"/>
      <c r="AG451" s="58"/>
      <c r="AH451" s="58"/>
      <c r="AI451" s="58"/>
      <c r="AJ451" s="21">
        <f t="shared" si="250"/>
        <v>0</v>
      </c>
      <c r="AK451" s="58"/>
      <c r="AL451" s="21"/>
      <c r="AM451" s="58">
        <f t="shared" si="251"/>
        <v>0</v>
      </c>
      <c r="AN451" s="21">
        <f>IF(Table1[[#This Row],[Sustainability Check 1 (2017-2018) Status]]="Continued", Table1[[#This Row],[Students Per Summer]], 0)</f>
        <v>0</v>
      </c>
      <c r="AO451" s="58">
        <f t="shared" si="252"/>
        <v>0</v>
      </c>
      <c r="AP451" s="21">
        <f>IF(Table1[[#This Row],[Sustainability Check 1 (2017-2018) Status]]="Continued", Table1[[#This Row],[Students Per Fall]], 0)</f>
        <v>0</v>
      </c>
      <c r="AQ451" s="58">
        <f t="shared" si="253"/>
        <v>0</v>
      </c>
      <c r="AR451" s="21"/>
      <c r="AS451" s="58">
        <f t="shared" si="254"/>
        <v>0</v>
      </c>
      <c r="AT451" s="21"/>
      <c r="AU451" s="58">
        <f t="shared" si="255"/>
        <v>0</v>
      </c>
      <c r="AV451" s="21"/>
      <c r="AW451" s="58"/>
      <c r="AX451" s="31"/>
      <c r="AY451" s="58"/>
      <c r="AZ451" s="31"/>
      <c r="BA451" s="58"/>
      <c r="BB451" s="31"/>
      <c r="BC451" s="58"/>
      <c r="BD451" s="31"/>
      <c r="BE451" s="58"/>
      <c r="BF451" s="31"/>
      <c r="BG451" s="58"/>
      <c r="BH451" s="21">
        <v>0</v>
      </c>
      <c r="BI451" s="21">
        <v>0</v>
      </c>
      <c r="BJ451" s="21">
        <v>0</v>
      </c>
      <c r="BK451" s="21">
        <v>0</v>
      </c>
      <c r="BL451" s="58" t="s">
        <v>964</v>
      </c>
      <c r="BM451" s="21">
        <v>0</v>
      </c>
      <c r="BN451" s="21">
        <v>0</v>
      </c>
      <c r="BO451" s="21">
        <v>0</v>
      </c>
      <c r="BP451" s="31">
        <f t="shared" si="256"/>
        <v>0</v>
      </c>
      <c r="BQ451" s="21">
        <v>0</v>
      </c>
      <c r="BR451" s="21">
        <v>0</v>
      </c>
      <c r="BS451" s="21">
        <v>0</v>
      </c>
      <c r="BT451" s="21">
        <v>0</v>
      </c>
      <c r="BU451" s="21">
        <v>0</v>
      </c>
      <c r="BV451" s="21">
        <v>0</v>
      </c>
      <c r="BW451" s="21">
        <v>0</v>
      </c>
      <c r="BX451" s="136">
        <f>Table1[[#This Row],[Summer 2018 Price Check]]*Table1[[#This Row],[Spring 2019 Students]]</f>
        <v>0</v>
      </c>
      <c r="BY451" s="31">
        <f t="shared" si="257"/>
        <v>0</v>
      </c>
      <c r="BZ451" s="58">
        <f t="shared" si="258"/>
        <v>0</v>
      </c>
      <c r="CA451" s="58" t="s">
        <v>964</v>
      </c>
      <c r="CB451" s="21">
        <v>0</v>
      </c>
      <c r="CC451" s="21">
        <v>0</v>
      </c>
      <c r="CD451" s="21">
        <v>0</v>
      </c>
      <c r="CE451" s="21">
        <v>0</v>
      </c>
      <c r="CF451" s="21">
        <v>0</v>
      </c>
      <c r="CG451" s="21">
        <v>0</v>
      </c>
      <c r="CH451" t="s">
        <v>2180</v>
      </c>
      <c r="CI451" s="137">
        <f>IF(Table1[[#This Row],[Check 3 Status]]="Continued", Table1[[#This Row],[Check 3 Students Summer]], 0)</f>
        <v>0</v>
      </c>
      <c r="CJ451" s="136">
        <f>Table1[[#This Row],[Check 3 Per Student Savings]]*CI451</f>
        <v>0</v>
      </c>
      <c r="CK451" s="137">
        <f>IF(Table1[[#This Row],[Check 3 Status]]="Continued", Table1[[#This Row],[Check 3 Students Fall]], 0)</f>
        <v>0</v>
      </c>
      <c r="CL451" s="136">
        <f>Table1[[#This Row],[Check 3 Per Student Savings]]*CK451</f>
        <v>0</v>
      </c>
      <c r="CM451" s="124">
        <f>IF(Table1[[#This Row],[Check 3 Status]]="Continued", Table1[[#This Row],[Check 3 Students Spring]], 0)</f>
        <v>0</v>
      </c>
      <c r="CN451" s="123">
        <f>Table1[[#This Row],[Check 3 Per Student Savings]]*CM451</f>
        <v>0</v>
      </c>
      <c r="CO451" s="124">
        <f t="shared" si="259"/>
        <v>0</v>
      </c>
      <c r="CP451" s="123">
        <f t="shared" si="260"/>
        <v>0</v>
      </c>
      <c r="CQ451" s="123" t="s">
        <v>964</v>
      </c>
      <c r="CR451" s="124">
        <v>0</v>
      </c>
      <c r="CS451" s="124">
        <v>0</v>
      </c>
      <c r="CT451" s="124">
        <v>0</v>
      </c>
      <c r="CU451" s="124">
        <f t="shared" si="261"/>
        <v>0</v>
      </c>
      <c r="CV451" s="123">
        <v>0</v>
      </c>
      <c r="CW451" s="123">
        <f t="shared" si="262"/>
        <v>0</v>
      </c>
      <c r="CX451" t="s">
        <v>2180</v>
      </c>
      <c r="CY451" s="124">
        <v>0</v>
      </c>
      <c r="CZ451" s="58">
        <f>Table1[[#This Row],[Check 4 Per Student Savings]]*CY451</f>
        <v>0</v>
      </c>
      <c r="DA451" s="124">
        <v>0</v>
      </c>
      <c r="DB451" s="123">
        <f>Table1[[#This Row],[Check 4 Per Student Savings]]*DA451</f>
        <v>0</v>
      </c>
      <c r="DC451" s="124">
        <v>0</v>
      </c>
      <c r="DD451" s="58">
        <f>Table1[[#This Row],[Check 4 Per Student Savings]]*DC451</f>
        <v>0</v>
      </c>
      <c r="DE451" s="58">
        <f t="shared" si="236"/>
        <v>0</v>
      </c>
      <c r="DF451" s="58">
        <f t="shared" si="237"/>
        <v>0</v>
      </c>
      <c r="DG451"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51"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51" s="111">
        <f>Table1[[#This Row],[Grand Total Savings]]/Table1[[#This Row],[Total Award]]</f>
        <v>0</v>
      </c>
      <c r="DJ451" s="207"/>
      <c r="DK451" s="58"/>
      <c r="DL451" s="31"/>
      <c r="DN451" s="58"/>
      <c r="EC451" s="17"/>
      <c r="ED451" s="21"/>
      <c r="EE451" s="58"/>
      <c r="EG451" s="21"/>
    </row>
    <row r="452" spans="1:137" ht="16.5" thickTop="1" thickBot="1" x14ac:dyDescent="0.3">
      <c r="A452" s="1" t="s">
        <v>2123</v>
      </c>
      <c r="B452" s="138"/>
      <c r="C452" s="138"/>
      <c r="D452" s="134"/>
      <c r="E452" s="135"/>
      <c r="F452" s="135"/>
      <c r="G452" s="223" t="s">
        <v>2125</v>
      </c>
      <c r="H452" s="95" t="s">
        <v>2001</v>
      </c>
      <c r="I452" s="17" t="s">
        <v>962</v>
      </c>
      <c r="J452" t="s">
        <v>585</v>
      </c>
      <c r="K452" s="11">
        <v>5000</v>
      </c>
      <c r="L452" t="s">
        <v>2086</v>
      </c>
      <c r="M452" t="s">
        <v>1122</v>
      </c>
      <c r="N452" t="s">
        <v>1123</v>
      </c>
      <c r="O452" s="101"/>
      <c r="P452" t="s">
        <v>2179</v>
      </c>
      <c r="Q452" s="101" t="s">
        <v>304</v>
      </c>
      <c r="R452" s="101"/>
      <c r="S452" s="210"/>
      <c r="T452" s="210"/>
      <c r="U452" s="210"/>
      <c r="V452" s="210"/>
      <c r="W452" s="210"/>
      <c r="X452" s="210"/>
      <c r="Y452" s="58"/>
      <c r="Z452" s="139"/>
      <c r="AA452" s="58"/>
      <c r="AB452" s="21"/>
      <c r="AC452" s="21"/>
      <c r="AE452" s="139" t="s">
        <v>13</v>
      </c>
      <c r="AF452" s="58"/>
      <c r="AG452" s="58"/>
      <c r="AH452" s="58"/>
      <c r="AI452" s="58"/>
      <c r="AJ452" s="21">
        <f t="shared" si="250"/>
        <v>0</v>
      </c>
      <c r="AK452" s="58"/>
      <c r="AL452" s="21"/>
      <c r="AM452" s="58">
        <f t="shared" si="251"/>
        <v>0</v>
      </c>
      <c r="AN452" s="21">
        <f>IF(Table1[[#This Row],[Sustainability Check 1 (2017-2018) Status]]="Continued", Table1[[#This Row],[Students Per Summer]], 0)</f>
        <v>0</v>
      </c>
      <c r="AO452" s="58">
        <f t="shared" si="252"/>
        <v>0</v>
      </c>
      <c r="AP452" s="21">
        <f>IF(Table1[[#This Row],[Sustainability Check 1 (2017-2018) Status]]="Continued", Table1[[#This Row],[Students Per Fall]], 0)</f>
        <v>0</v>
      </c>
      <c r="AQ452" s="58">
        <f t="shared" si="253"/>
        <v>0</v>
      </c>
      <c r="AR452" s="21"/>
      <c r="AS452" s="58">
        <f t="shared" si="254"/>
        <v>0</v>
      </c>
      <c r="AT452" s="21"/>
      <c r="AU452" s="58">
        <f t="shared" si="255"/>
        <v>0</v>
      </c>
      <c r="AV452" s="21"/>
      <c r="AW452" s="58"/>
      <c r="AX452" s="31"/>
      <c r="AY452" s="58"/>
      <c r="AZ452" s="31"/>
      <c r="BA452" s="58"/>
      <c r="BB452" s="31"/>
      <c r="BC452" s="58"/>
      <c r="BD452" s="31"/>
      <c r="BE452" s="58"/>
      <c r="BF452" s="31"/>
      <c r="BG452" s="58"/>
      <c r="BH452" s="21">
        <v>0</v>
      </c>
      <c r="BI452" s="21">
        <v>0</v>
      </c>
      <c r="BJ452" s="21">
        <v>0</v>
      </c>
      <c r="BK452" s="21">
        <v>0</v>
      </c>
      <c r="BL452" s="58" t="s">
        <v>964</v>
      </c>
      <c r="BM452" s="21">
        <v>0</v>
      </c>
      <c r="BN452" s="21">
        <v>0</v>
      </c>
      <c r="BO452" s="21">
        <v>0</v>
      </c>
      <c r="BP452" s="31">
        <f t="shared" si="256"/>
        <v>0</v>
      </c>
      <c r="BQ452" s="21">
        <v>0</v>
      </c>
      <c r="BR452" s="21">
        <v>0</v>
      </c>
      <c r="BS452" s="21">
        <v>0</v>
      </c>
      <c r="BT452" s="21">
        <v>0</v>
      </c>
      <c r="BU452" s="21">
        <v>0</v>
      </c>
      <c r="BV452" s="21">
        <v>0</v>
      </c>
      <c r="BW452" s="21">
        <v>0</v>
      </c>
      <c r="BX452" s="136">
        <f>Table1[[#This Row],[Summer 2018 Price Check]]*Table1[[#This Row],[Spring 2019 Students]]</f>
        <v>0</v>
      </c>
      <c r="BY452" s="31">
        <f t="shared" si="257"/>
        <v>0</v>
      </c>
      <c r="BZ452" s="58">
        <f t="shared" si="258"/>
        <v>0</v>
      </c>
      <c r="CA452" s="58" t="s">
        <v>964</v>
      </c>
      <c r="CB452" s="21">
        <v>0</v>
      </c>
      <c r="CC452" s="21">
        <v>0</v>
      </c>
      <c r="CD452" s="21">
        <v>0</v>
      </c>
      <c r="CE452" s="21">
        <v>0</v>
      </c>
      <c r="CF452" s="21">
        <v>0</v>
      </c>
      <c r="CG452" s="21">
        <v>0</v>
      </c>
      <c r="CH452" t="s">
        <v>2086</v>
      </c>
      <c r="CI452" s="137">
        <f>IF(Table1[[#This Row],[Check 3 Status]]="Continued", Table1[[#This Row],[Check 3 Students Summer]], 0)</f>
        <v>0</v>
      </c>
      <c r="CJ452" s="136">
        <f>Table1[[#This Row],[Check 3 Per Student Savings]]*CI452</f>
        <v>0</v>
      </c>
      <c r="CK452" s="137">
        <f>IF(Table1[[#This Row],[Check 3 Status]]="Continued", Table1[[#This Row],[Check 3 Students Fall]], 0)</f>
        <v>0</v>
      </c>
      <c r="CL452" s="136">
        <f>Table1[[#This Row],[Check 3 Per Student Savings]]*CK452</f>
        <v>0</v>
      </c>
      <c r="CM452" s="124">
        <f>IF(Table1[[#This Row],[Check 3 Status]]="Continued", Table1[[#This Row],[Check 3 Students Spring]], 0)</f>
        <v>0</v>
      </c>
      <c r="CN452" s="123">
        <f>Table1[[#This Row],[Check 3 Per Student Savings]]*CM452</f>
        <v>0</v>
      </c>
      <c r="CO452" s="124">
        <f t="shared" si="259"/>
        <v>0</v>
      </c>
      <c r="CP452" s="123">
        <f t="shared" si="260"/>
        <v>0</v>
      </c>
      <c r="CQ452" s="123" t="s">
        <v>964</v>
      </c>
      <c r="CR452" s="124">
        <v>0</v>
      </c>
      <c r="CS452" s="124">
        <v>0</v>
      </c>
      <c r="CT452" s="124">
        <v>0</v>
      </c>
      <c r="CU452" s="124">
        <f t="shared" si="261"/>
        <v>0</v>
      </c>
      <c r="CV452" s="123">
        <v>0</v>
      </c>
      <c r="CW452" s="123">
        <f t="shared" si="262"/>
        <v>0</v>
      </c>
      <c r="CX452" t="s">
        <v>2086</v>
      </c>
      <c r="CY452" s="124">
        <v>0</v>
      </c>
      <c r="CZ452" s="58">
        <f>Table1[[#This Row],[Check 4 Per Student Savings]]*CY452</f>
        <v>0</v>
      </c>
      <c r="DA452" s="124">
        <v>0</v>
      </c>
      <c r="DB452" s="123">
        <f>Table1[[#This Row],[Check 4 Per Student Savings]]*DA452</f>
        <v>0</v>
      </c>
      <c r="DC452" s="124">
        <v>0</v>
      </c>
      <c r="DD452" s="58">
        <f>Table1[[#This Row],[Check 4 Per Student Savings]]*DC452</f>
        <v>0</v>
      </c>
      <c r="DE452" s="58">
        <f t="shared" si="236"/>
        <v>0</v>
      </c>
      <c r="DF452" s="58">
        <f t="shared" si="237"/>
        <v>0</v>
      </c>
      <c r="DG452"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52"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52" s="111">
        <f>Table1[[#This Row],[Grand Total Savings]]/Table1[[#This Row],[Total Award]]</f>
        <v>0</v>
      </c>
      <c r="DJ452" s="207"/>
      <c r="DK452" s="58"/>
      <c r="DL452" s="31"/>
      <c r="DN452" s="58"/>
      <c r="EC452" s="17"/>
      <c r="ED452" s="21"/>
      <c r="EE452" s="58"/>
      <c r="EG452" s="21"/>
    </row>
    <row r="453" spans="1:137" ht="15.75" thickTop="1" x14ac:dyDescent="0.25">
      <c r="A453" s="1" t="s">
        <v>2124</v>
      </c>
      <c r="B453" s="138"/>
      <c r="C453" s="138"/>
      <c r="D453" s="134"/>
      <c r="E453" s="135"/>
      <c r="F453" s="135"/>
      <c r="G453" s="223" t="s">
        <v>2125</v>
      </c>
      <c r="H453" s="95" t="s">
        <v>2001</v>
      </c>
      <c r="I453" s="17" t="s">
        <v>962</v>
      </c>
      <c r="J453" t="s">
        <v>159</v>
      </c>
      <c r="K453" s="11">
        <v>4075</v>
      </c>
      <c r="L453" t="s">
        <v>2180</v>
      </c>
      <c r="M453" t="s">
        <v>2155</v>
      </c>
      <c r="N453" t="s">
        <v>2156</v>
      </c>
      <c r="O453" s="101"/>
      <c r="P453" t="s">
        <v>2168</v>
      </c>
      <c r="Q453" s="101" t="s">
        <v>2303</v>
      </c>
      <c r="R453" s="101"/>
      <c r="S453" s="210"/>
      <c r="T453" s="210"/>
      <c r="U453" s="210"/>
      <c r="V453" s="210"/>
      <c r="W453" s="210"/>
      <c r="X453" s="210"/>
      <c r="Y453" s="58"/>
      <c r="Z453" s="139"/>
      <c r="AA453" s="58"/>
      <c r="AB453" s="21"/>
      <c r="AC453" s="21"/>
      <c r="AE453" s="139" t="s">
        <v>13</v>
      </c>
      <c r="AF453" s="58"/>
      <c r="AG453" s="58"/>
      <c r="AH453" s="58"/>
      <c r="AI453" s="58"/>
      <c r="AJ453" s="21">
        <f t="shared" si="250"/>
        <v>0</v>
      </c>
      <c r="AK453" s="58"/>
      <c r="AL453" s="21"/>
      <c r="AM453" s="58">
        <f t="shared" si="251"/>
        <v>0</v>
      </c>
      <c r="AN453" s="21">
        <f>IF(Table1[[#This Row],[Sustainability Check 1 (2017-2018) Status]]="Continued", Table1[[#This Row],[Students Per Summer]], 0)</f>
        <v>0</v>
      </c>
      <c r="AO453" s="58">
        <f t="shared" si="252"/>
        <v>0</v>
      </c>
      <c r="AP453" s="21">
        <f>IF(Table1[[#This Row],[Sustainability Check 1 (2017-2018) Status]]="Continued", Table1[[#This Row],[Students Per Fall]], 0)</f>
        <v>0</v>
      </c>
      <c r="AQ453" s="58">
        <f t="shared" si="253"/>
        <v>0</v>
      </c>
      <c r="AR453" s="21"/>
      <c r="AS453" s="58">
        <f t="shared" si="254"/>
        <v>0</v>
      </c>
      <c r="AT453" s="21"/>
      <c r="AU453" s="58">
        <f t="shared" si="255"/>
        <v>0</v>
      </c>
      <c r="AV453" s="21"/>
      <c r="AW453" s="58"/>
      <c r="AX453" s="31"/>
      <c r="AY453" s="58"/>
      <c r="AZ453" s="31"/>
      <c r="BA453" s="58"/>
      <c r="BB453" s="31"/>
      <c r="BC453" s="58"/>
      <c r="BD453" s="31"/>
      <c r="BE453" s="58"/>
      <c r="BF453" s="31"/>
      <c r="BG453" s="58"/>
      <c r="BH453" s="21">
        <v>0</v>
      </c>
      <c r="BI453" s="21">
        <v>0</v>
      </c>
      <c r="BJ453" s="21">
        <v>0</v>
      </c>
      <c r="BK453" s="21">
        <v>0</v>
      </c>
      <c r="BL453" s="58" t="s">
        <v>964</v>
      </c>
      <c r="BM453" s="21">
        <v>0</v>
      </c>
      <c r="BN453" s="21">
        <v>0</v>
      </c>
      <c r="BO453" s="21">
        <v>0</v>
      </c>
      <c r="BP453" s="31">
        <f t="shared" si="256"/>
        <v>0</v>
      </c>
      <c r="BQ453" s="21">
        <v>0</v>
      </c>
      <c r="BR453" s="21">
        <v>0</v>
      </c>
      <c r="BS453" s="21">
        <v>0</v>
      </c>
      <c r="BT453" s="21">
        <v>0</v>
      </c>
      <c r="BU453" s="21">
        <v>0</v>
      </c>
      <c r="BV453" s="21">
        <v>0</v>
      </c>
      <c r="BW453" s="21">
        <v>0</v>
      </c>
      <c r="BX453" s="136">
        <f>Table1[[#This Row],[Summer 2018 Price Check]]*Table1[[#This Row],[Spring 2019 Students]]</f>
        <v>0</v>
      </c>
      <c r="BY453" s="31">
        <f t="shared" si="257"/>
        <v>0</v>
      </c>
      <c r="BZ453" s="58">
        <f t="shared" si="258"/>
        <v>0</v>
      </c>
      <c r="CA453" s="58" t="s">
        <v>964</v>
      </c>
      <c r="CB453" s="21">
        <v>0</v>
      </c>
      <c r="CC453" s="21">
        <v>0</v>
      </c>
      <c r="CD453" s="21">
        <v>0</v>
      </c>
      <c r="CE453" s="21">
        <v>0</v>
      </c>
      <c r="CF453" s="21">
        <v>0</v>
      </c>
      <c r="CG453" s="21">
        <v>0</v>
      </c>
      <c r="CH453" t="s">
        <v>2180</v>
      </c>
      <c r="CI453" s="137">
        <f>IF(Table1[[#This Row],[Check 3 Status]]="Continued", Table1[[#This Row],[Check 3 Students Summer]], 0)</f>
        <v>0</v>
      </c>
      <c r="CJ453" s="136">
        <f>Table1[[#This Row],[Check 3 Per Student Savings]]*CI453</f>
        <v>0</v>
      </c>
      <c r="CK453" s="137">
        <f>IF(Table1[[#This Row],[Check 3 Status]]="Continued", Table1[[#This Row],[Check 3 Students Fall]], 0)</f>
        <v>0</v>
      </c>
      <c r="CL453" s="136">
        <f>Table1[[#This Row],[Check 3 Per Student Savings]]*CK453</f>
        <v>0</v>
      </c>
      <c r="CM453" s="124">
        <f>IF(Table1[[#This Row],[Check 3 Status]]="Continued", Table1[[#This Row],[Check 3 Students Spring]], 0)</f>
        <v>0</v>
      </c>
      <c r="CN453" s="123">
        <f>Table1[[#This Row],[Check 3 Per Student Savings]]*CM453</f>
        <v>0</v>
      </c>
      <c r="CO453" s="124">
        <f t="shared" si="259"/>
        <v>0</v>
      </c>
      <c r="CP453" s="123">
        <f t="shared" si="260"/>
        <v>0</v>
      </c>
      <c r="CQ453" s="123" t="s">
        <v>964</v>
      </c>
      <c r="CR453" s="124">
        <v>0</v>
      </c>
      <c r="CS453" s="124">
        <v>0</v>
      </c>
      <c r="CT453" s="124">
        <v>0</v>
      </c>
      <c r="CU453" s="124">
        <f t="shared" si="261"/>
        <v>0</v>
      </c>
      <c r="CV453" s="123">
        <v>0</v>
      </c>
      <c r="CW453" s="123">
        <f t="shared" si="262"/>
        <v>0</v>
      </c>
      <c r="CX453" t="s">
        <v>2180</v>
      </c>
      <c r="CY453" s="124">
        <v>0</v>
      </c>
      <c r="CZ453" s="58">
        <f>Table1[[#This Row],[Check 4 Per Student Savings]]*CY453</f>
        <v>0</v>
      </c>
      <c r="DA453" s="124">
        <v>0</v>
      </c>
      <c r="DB453" s="123">
        <f>Table1[[#This Row],[Check 4 Per Student Savings]]*DA453</f>
        <v>0</v>
      </c>
      <c r="DC453" s="124">
        <v>0</v>
      </c>
      <c r="DD453" s="58">
        <f>Table1[[#This Row],[Check 4 Per Student Savings]]*DC453</f>
        <v>0</v>
      </c>
      <c r="DE453" s="58">
        <f t="shared" si="236"/>
        <v>0</v>
      </c>
      <c r="DF453" s="58">
        <f t="shared" si="237"/>
        <v>0</v>
      </c>
      <c r="DG453" s="21">
        <f>Table1[[#This Row],[Total AY 2014-2015 Students]]+Table1[[#This Row],[Total AY 2015-2016 Students]]+Table1[[#This Row],[Total AY 2016-2017 Students]]+Table1[[#This Row],[Total AY 2017-2018 Students]]+Table1[[#This Row],[Total AY 2018-2019 Students]]+Table1[[#This Row],[Total AY 2019-2020 Students]]+Table1[[#This Row],[Total AY 2020-2021 Students]]</f>
        <v>0</v>
      </c>
      <c r="DH453" s="58">
        <f>Table1[[#This Row],[Total AY 2014-2015 Savings]]+Table1[[#This Row],[Total AY 2015-2016 Savings]]+Table1[[#This Row],[Total AY 2016-2017 Savings]]+Table1[[#This Row],[Total AY 2017-2018 Savings]]+Table1[[#This Row],[Total AY 2018-2019 Savings]]+Table1[[#This Row],[Total AY 2019-2020 Savings]]+Table1[[#This Row],[Total AY 2020-2021 Savings]]</f>
        <v>0</v>
      </c>
      <c r="DI453" s="111">
        <f>Table1[[#This Row],[Grand Total Savings]]/Table1[[#This Row],[Total Award]]</f>
        <v>0</v>
      </c>
      <c r="DJ453" s="207"/>
      <c r="DK453" s="58"/>
      <c r="DL453" s="31"/>
      <c r="DN453" s="58"/>
      <c r="EC453" s="17"/>
      <c r="ED453" s="21"/>
      <c r="EE453" s="58"/>
      <c r="EG453" s="21"/>
    </row>
    <row r="454" spans="1:137" x14ac:dyDescent="0.25">
      <c r="A454" s="140"/>
      <c r="B454" s="140"/>
      <c r="C454" s="140"/>
      <c r="D454" s="140"/>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58"/>
      <c r="AB454" s="21"/>
      <c r="AC454" s="21"/>
      <c r="AE454" s="139"/>
      <c r="AF454" s="139"/>
      <c r="AG454" s="139"/>
      <c r="AH454" s="139"/>
      <c r="AI454" s="139"/>
      <c r="AJ454" s="21"/>
      <c r="AK454" s="139"/>
      <c r="AL454" s="21"/>
      <c r="AM454" s="139"/>
      <c r="AN454" s="21"/>
      <c r="AO454" s="139"/>
      <c r="AP454" s="21"/>
      <c r="AQ454" s="139"/>
      <c r="AR454" s="21"/>
      <c r="AS454" s="139"/>
      <c r="AT454" s="21"/>
      <c r="AU454" s="139"/>
      <c r="AV454" s="21"/>
      <c r="AW454" s="139"/>
      <c r="AX454" s="139"/>
      <c r="AY454" s="139"/>
      <c r="AZ454" s="139"/>
      <c r="BA454" s="139"/>
      <c r="BB454" s="139"/>
      <c r="BC454" s="139"/>
      <c r="BD454" s="139"/>
      <c r="BE454" s="139"/>
      <c r="BF454" s="139"/>
      <c r="BG454" s="139"/>
      <c r="BH454" s="139"/>
      <c r="BI454" s="139"/>
      <c r="BJ454" s="139"/>
      <c r="BK454" s="139"/>
      <c r="BL454" s="139"/>
      <c r="BM454" s="139"/>
      <c r="BN454" s="139"/>
      <c r="BO454" s="139"/>
      <c r="BP454" s="139"/>
      <c r="BQ454" s="139"/>
      <c r="BR454" s="139"/>
      <c r="BS454" s="139"/>
      <c r="BT454" s="139"/>
      <c r="BU454" s="139"/>
      <c r="BV454" s="139"/>
      <c r="BW454" s="21"/>
      <c r="BX454" s="139"/>
      <c r="BY454" s="139"/>
      <c r="BZ454" s="139"/>
      <c r="CA454" s="139"/>
      <c r="CB454" s="21"/>
      <c r="CC454" s="21"/>
      <c r="CD454" s="21"/>
      <c r="CF454" s="58"/>
      <c r="CG454" s="139"/>
      <c r="CH454" s="139"/>
      <c r="CJ454" s="139"/>
      <c r="CK454" s="21"/>
      <c r="CL454" s="139"/>
      <c r="CM454" s="21"/>
      <c r="CN454" s="139"/>
      <c r="CO454" s="21"/>
      <c r="CP454" s="139"/>
      <c r="CQ454" s="139"/>
      <c r="CR454" s="139"/>
      <c r="CS454" s="139"/>
      <c r="CT454" s="139"/>
      <c r="CU454" s="139"/>
      <c r="CV454" s="139"/>
      <c r="CW454" s="139"/>
      <c r="CX454" s="139"/>
      <c r="CZ454" s="139"/>
      <c r="DB454" s="139"/>
      <c r="DC454" s="139"/>
      <c r="DD454" s="139"/>
      <c r="DE454" s="139"/>
      <c r="DF454" s="139"/>
      <c r="DG454" s="141"/>
      <c r="DH454" s="58"/>
      <c r="DI454" s="142"/>
      <c r="DJ454" s="207"/>
      <c r="DK454" s="58"/>
      <c r="DL454" s="31"/>
      <c r="DN454" s="58"/>
      <c r="EC454" s="17"/>
      <c r="ED454" s="21"/>
      <c r="EE454" s="58"/>
      <c r="EG454" s="21"/>
    </row>
  </sheetData>
  <phoneticPr fontId="24" type="noConversion"/>
  <conditionalFormatting sqref="I236:I245 AI193:AI201 AI218:AI230 AI236:AI241 AF156:AF157 I126:I230 I2:I119 AF166:AF230 AF2:AF119">
    <cfRule type="cellIs" dxfId="1818" priority="1600" operator="equal">
      <formula>"Delayed"</formula>
    </cfRule>
    <cfRule type="cellIs" dxfId="1817" priority="1601" operator="equal">
      <formula>"In Progress"</formula>
    </cfRule>
    <cfRule type="cellIs" dxfId="1816" priority="1602" operator="equal">
      <formula>"Complete"</formula>
    </cfRule>
  </conditionalFormatting>
  <conditionalFormatting sqref="AE109">
    <cfRule type="containsText" dxfId="1815" priority="1582" operator="containsText" text="Discontinued">
      <formula>NOT(ISERROR(SEARCH("Discontinued",AE109)))</formula>
    </cfRule>
    <cfRule type="containsText" dxfId="1814" priority="1583" operator="containsText" text="In Question">
      <formula>NOT(ISERROR(SEARCH("In Question",AE109)))</formula>
    </cfRule>
    <cfRule type="containsText" dxfId="1813" priority="1584" operator="containsText" text="Continued">
      <formula>NOT(ISERROR(SEARCH("Continued",AE109)))</formula>
    </cfRule>
  </conditionalFormatting>
  <conditionalFormatting sqref="AE114">
    <cfRule type="containsText" dxfId="1812" priority="1573" operator="containsText" text="Discontinued">
      <formula>NOT(ISERROR(SEARCH("Discontinued",AE114)))</formula>
    </cfRule>
    <cfRule type="containsText" dxfId="1811" priority="1574" operator="containsText" text="In Question">
      <formula>NOT(ISERROR(SEARCH("In Question",AE114)))</formula>
    </cfRule>
    <cfRule type="containsText" dxfId="1810" priority="1575" operator="containsText" text="Continued">
      <formula>NOT(ISERROR(SEARCH("Continued",AE114)))</formula>
    </cfRule>
  </conditionalFormatting>
  <conditionalFormatting sqref="AE126:AE131">
    <cfRule type="containsText" dxfId="1809" priority="1570" operator="containsText" text="Discontinued">
      <formula>NOT(ISERROR(SEARCH("Discontinued",AE126)))</formula>
    </cfRule>
    <cfRule type="containsText" dxfId="1808" priority="1571" operator="containsText" text="In Question">
      <formula>NOT(ISERROR(SEARCH("In Question",AE126)))</formula>
    </cfRule>
    <cfRule type="containsText" dxfId="1807" priority="1572" operator="containsText" text="Continued">
      <formula>NOT(ISERROR(SEARCH("Continued",AE126)))</formula>
    </cfRule>
  </conditionalFormatting>
  <conditionalFormatting sqref="AI202:AI217 AI242:AI265 AG92:AI92 AG58:AI58 AI126:AI192 AI2:AI119">
    <cfRule type="containsText" dxfId="1806" priority="1566" operator="containsText" text="Past Survey Line">
      <formula>NOT(ISERROR(SEARCH("Past Survey Line",AG2)))</formula>
    </cfRule>
  </conditionalFormatting>
  <conditionalFormatting sqref="Z115">
    <cfRule type="containsText" dxfId="1805" priority="1524" operator="containsText" text="Discontinued">
      <formula>NOT(ISERROR(SEARCH("Discontinued",Z115)))</formula>
    </cfRule>
    <cfRule type="containsText" dxfId="1804" priority="1525" operator="containsText" text="In Question">
      <formula>NOT(ISERROR(SEARCH("In Question",Z115)))</formula>
    </cfRule>
    <cfRule type="containsText" dxfId="1803" priority="1526" operator="containsText" text="Continued">
      <formula>NOT(ISERROR(SEARCH("Continued",Z115)))</formula>
    </cfRule>
  </conditionalFormatting>
  <conditionalFormatting sqref="AF126:AF165 AF236:AF246">
    <cfRule type="cellIs" dxfId="1802" priority="1521" operator="equal">
      <formula>"Delayed"</formula>
    </cfRule>
    <cfRule type="cellIs" dxfId="1801" priority="1522" operator="equal">
      <formula>"In Progress"</formula>
    </cfRule>
    <cfRule type="cellIs" dxfId="1800" priority="1523" operator="equal">
      <formula>"Complete"</formula>
    </cfRule>
  </conditionalFormatting>
  <conditionalFormatting sqref="J351:J378 AF1:AF454">
    <cfRule type="cellIs" dxfId="1799" priority="1520" operator="equal">
      <formula>"Y"</formula>
    </cfRule>
  </conditionalFormatting>
  <conditionalFormatting sqref="BL266:BL285 BL231:BL235 BL125 DS287:DS319 AG287:AH304 AG305:AI318 AG58:AI58 AG1:AI1 AG92:AI92 AI2:AI285 DT272:DT277 AG272:AH277 ED352:ED379 AG380:AH392 EB380:EB403 AG393:AI402 DZ404:DZ425 AG320:AH350 DT320:DT351 BL335:BL350 AG404:AI424 AG426:AI454 DX455:DX1048576 DY426:DY454">
    <cfRule type="cellIs" dxfId="1798" priority="1507" operator="equal">
      <formula>"Unknown"</formula>
    </cfRule>
  </conditionalFormatting>
  <conditionalFormatting sqref="BL126:BL177 BL2:BL119">
    <cfRule type="cellIs" dxfId="1797" priority="1504" operator="equal">
      <formula>"Unknown"</formula>
    </cfRule>
    <cfRule type="cellIs" dxfId="1796" priority="1505" operator="equal">
      <formula>"Discontinued"</formula>
    </cfRule>
    <cfRule type="cellIs" dxfId="1795" priority="1506" operator="equal">
      <formula>"Continued"</formula>
    </cfRule>
  </conditionalFormatting>
  <conditionalFormatting sqref="BL178:BL192">
    <cfRule type="containsText" dxfId="1794" priority="1501" operator="containsText" text="Discontinued">
      <formula>NOT(ISERROR(SEARCH("Discontinued",BL178)))</formula>
    </cfRule>
    <cfRule type="containsText" dxfId="1793" priority="1502" operator="containsText" text="In Question">
      <formula>NOT(ISERROR(SEARCH("In Question",BL178)))</formula>
    </cfRule>
    <cfRule type="containsText" dxfId="1792" priority="1503" operator="containsText" text="Continued">
      <formula>NOT(ISERROR(SEARCH("Continued",BL178)))</formula>
    </cfRule>
  </conditionalFormatting>
  <conditionalFormatting sqref="BL178:BL192">
    <cfRule type="containsText" dxfId="1791" priority="1500" operator="containsText" text="Past Survey Line">
      <formula>NOT(ISERROR(SEARCH("Past Survey Line",BL178)))</formula>
    </cfRule>
  </conditionalFormatting>
  <conditionalFormatting sqref="BL178:BL192">
    <cfRule type="cellIs" dxfId="1790" priority="1499" operator="equal">
      <formula>"Unknown"</formula>
    </cfRule>
  </conditionalFormatting>
  <conditionalFormatting sqref="BL193:BL201">
    <cfRule type="cellIs" dxfId="1789" priority="1496" operator="equal">
      <formula>"Delayed"</formula>
    </cfRule>
    <cfRule type="cellIs" dxfId="1788" priority="1497" operator="equal">
      <formula>"In Progress"</formula>
    </cfRule>
    <cfRule type="cellIs" dxfId="1787" priority="1498" operator="equal">
      <formula>"Complete"</formula>
    </cfRule>
  </conditionalFormatting>
  <conditionalFormatting sqref="BL193:BL201">
    <cfRule type="cellIs" dxfId="1786" priority="1495" operator="equal">
      <formula>"Unknown"</formula>
    </cfRule>
  </conditionalFormatting>
  <conditionalFormatting sqref="BL202:BL217">
    <cfRule type="containsText" dxfId="1785" priority="1492" operator="containsText" text="Discontinued">
      <formula>NOT(ISERROR(SEARCH("Discontinued",BL202)))</formula>
    </cfRule>
    <cfRule type="containsText" dxfId="1784" priority="1493" operator="containsText" text="In Question">
      <formula>NOT(ISERROR(SEARCH("In Question",BL202)))</formula>
    </cfRule>
    <cfRule type="containsText" dxfId="1783" priority="1494" operator="containsText" text="Continued">
      <formula>NOT(ISERROR(SEARCH("Continued",BL202)))</formula>
    </cfRule>
  </conditionalFormatting>
  <conditionalFormatting sqref="BL202:BL217">
    <cfRule type="containsText" dxfId="1782" priority="1491" operator="containsText" text="Past Survey Line">
      <formula>NOT(ISERROR(SEARCH("Past Survey Line",BL202)))</formula>
    </cfRule>
  </conditionalFormatting>
  <conditionalFormatting sqref="BL202:BL217">
    <cfRule type="cellIs" dxfId="1781" priority="1490" operator="equal">
      <formula>"Unknown"</formula>
    </cfRule>
  </conditionalFormatting>
  <conditionalFormatting sqref="BL218:BL230 BL236:BL241">
    <cfRule type="cellIs" dxfId="1780" priority="1487" operator="equal">
      <formula>"Delayed"</formula>
    </cfRule>
    <cfRule type="cellIs" dxfId="1779" priority="1488" operator="equal">
      <formula>"In Progress"</formula>
    </cfRule>
    <cfRule type="cellIs" dxfId="1778" priority="1489" operator="equal">
      <formula>"Complete"</formula>
    </cfRule>
  </conditionalFormatting>
  <conditionalFormatting sqref="BL218:BL230 BL236:BL241">
    <cfRule type="cellIs" dxfId="1777" priority="1486" operator="equal">
      <formula>"Unknown"</formula>
    </cfRule>
  </conditionalFormatting>
  <conditionalFormatting sqref="BL242:BL265">
    <cfRule type="containsText" dxfId="1776" priority="1483" operator="containsText" text="Discontinued">
      <formula>NOT(ISERROR(SEARCH("Discontinued",BL242)))</formula>
    </cfRule>
    <cfRule type="containsText" dxfId="1775" priority="1484" operator="containsText" text="In Question">
      <formula>NOT(ISERROR(SEARCH("In Question",BL242)))</formula>
    </cfRule>
    <cfRule type="containsText" dxfId="1774" priority="1485" operator="containsText" text="Continued">
      <formula>NOT(ISERROR(SEARCH("Continued",BL242)))</formula>
    </cfRule>
  </conditionalFormatting>
  <conditionalFormatting sqref="BL242:BL265">
    <cfRule type="containsText" dxfId="1773" priority="1482" operator="containsText" text="Past Survey Line">
      <formula>NOT(ISERROR(SEARCH("Past Survey Line",BL242)))</formula>
    </cfRule>
  </conditionalFormatting>
  <conditionalFormatting sqref="BL242:BL265">
    <cfRule type="cellIs" dxfId="1772" priority="1481" operator="equal">
      <formula>"Unknown"</formula>
    </cfRule>
  </conditionalFormatting>
  <conditionalFormatting sqref="AJ84:AL84 AT84 AR84 AP84 AN84">
    <cfRule type="containsText" dxfId="1771" priority="1477" operator="containsText" text="Discontinued">
      <formula>NOT(ISERROR(SEARCH("Discontinued",AJ84)))</formula>
    </cfRule>
    <cfRule type="containsText" dxfId="1770" priority="1478" operator="containsText" text="In Question">
      <formula>NOT(ISERROR(SEARCH("In Question",AJ84)))</formula>
    </cfRule>
    <cfRule type="containsText" dxfId="1769" priority="1479" operator="containsText" text="Continued">
      <formula>NOT(ISERROR(SEARCH("Continued",AJ84)))</formula>
    </cfRule>
  </conditionalFormatting>
  <conditionalFormatting sqref="AJ86:AL86 AT86 AR86 AP86 AN86">
    <cfRule type="containsText" dxfId="1768" priority="1474" operator="containsText" text="Discontinued">
      <formula>NOT(ISERROR(SEARCH("Discontinued",AJ86)))</formula>
    </cfRule>
    <cfRule type="containsText" dxfId="1767" priority="1475" operator="containsText" text="In Question">
      <formula>NOT(ISERROR(SEARCH("In Question",AJ86)))</formula>
    </cfRule>
    <cfRule type="containsText" dxfId="1766" priority="1476" operator="containsText" text="Continued">
      <formula>NOT(ISERROR(SEARCH("Continued",AJ86)))</formula>
    </cfRule>
  </conditionalFormatting>
  <conditionalFormatting sqref="AJ91:AL92 AT91:AT92 AR91:AR92 AP91:AP92 AN91:AN92">
    <cfRule type="containsText" dxfId="1765" priority="1471" operator="containsText" text="Discontinued">
      <formula>NOT(ISERROR(SEARCH("Discontinued",AJ91)))</formula>
    </cfRule>
    <cfRule type="containsText" dxfId="1764" priority="1472" operator="containsText" text="In Question">
      <formula>NOT(ISERROR(SEARCH("In Question",AJ91)))</formula>
    </cfRule>
    <cfRule type="containsText" dxfId="1763" priority="1473" operator="containsText" text="Continued">
      <formula>NOT(ISERROR(SEARCH("Continued",AJ91)))</formula>
    </cfRule>
  </conditionalFormatting>
  <conditionalFormatting sqref="AJ110:AL110 AT110 AR110 AP110 AN110">
    <cfRule type="containsText" dxfId="1762" priority="1468" operator="containsText" text="Discontinued">
      <formula>NOT(ISERROR(SEARCH("Discontinued",AJ110)))</formula>
    </cfRule>
    <cfRule type="containsText" dxfId="1761" priority="1469" operator="containsText" text="In Question">
      <formula>NOT(ISERROR(SEARCH("In Question",AJ110)))</formula>
    </cfRule>
    <cfRule type="containsText" dxfId="1760" priority="1470" operator="containsText" text="Continued">
      <formula>NOT(ISERROR(SEARCH("Continued",AJ110)))</formula>
    </cfRule>
  </conditionalFormatting>
  <conditionalFormatting sqref="AJ108:AL108 AT108 AR108 AP108 AN108">
    <cfRule type="containsText" dxfId="1759" priority="1465" operator="containsText" text="Discontinued">
      <formula>NOT(ISERROR(SEARCH("Discontinued",AJ108)))</formula>
    </cfRule>
    <cfRule type="containsText" dxfId="1758" priority="1466" operator="containsText" text="In Question">
      <formula>NOT(ISERROR(SEARCH("In Question",AJ108)))</formula>
    </cfRule>
    <cfRule type="containsText" dxfId="1757" priority="1467" operator="containsText" text="Continued">
      <formula>NOT(ISERROR(SEARCH("Continued",AJ108)))</formula>
    </cfRule>
  </conditionalFormatting>
  <conditionalFormatting sqref="AJ83:AL83 AN83">
    <cfRule type="containsText" dxfId="1756" priority="1462" operator="containsText" text="Discontinued">
      <formula>NOT(ISERROR(SEARCH("Discontinued",AJ83)))</formula>
    </cfRule>
    <cfRule type="containsText" dxfId="1755" priority="1463" operator="containsText" text="In Question">
      <formula>NOT(ISERROR(SEARCH("In Question",AJ83)))</formula>
    </cfRule>
    <cfRule type="containsText" dxfId="1754" priority="1464" operator="containsText" text="Continued">
      <formula>NOT(ISERROR(SEARCH("Continued",AJ83)))</formula>
    </cfRule>
  </conditionalFormatting>
  <conditionalFormatting sqref="AJ121:AL121 AV121:AW121 AT121 AR121 AP121 AN121">
    <cfRule type="containsText" dxfId="1753" priority="1456" operator="containsText" text="Discontinued">
      <formula>NOT(ISERROR(SEARCH("Discontinued",AJ121)))</formula>
    </cfRule>
    <cfRule type="containsText" dxfId="1752" priority="1457" operator="containsText" text="In Question">
      <formula>NOT(ISERROR(SEARCH("In Question",AJ121)))</formula>
    </cfRule>
    <cfRule type="containsText" dxfId="1751" priority="1458" operator="containsText" text="Continued">
      <formula>NOT(ISERROR(SEARCH("Continued",AJ121)))</formula>
    </cfRule>
  </conditionalFormatting>
  <conditionalFormatting sqref="AJ122:AL122 AV122:AW122 AT122 AR122 AP122 AN122">
    <cfRule type="containsText" dxfId="1750" priority="1453" operator="containsText" text="Discontinued">
      <formula>NOT(ISERROR(SEARCH("Discontinued",AJ122)))</formula>
    </cfRule>
    <cfRule type="containsText" dxfId="1749" priority="1454" operator="containsText" text="In Question">
      <formula>NOT(ISERROR(SEARCH("In Question",AJ122)))</formula>
    </cfRule>
    <cfRule type="containsText" dxfId="1748" priority="1455" operator="containsText" text="Continued">
      <formula>NOT(ISERROR(SEARCH("Continued",AJ122)))</formula>
    </cfRule>
  </conditionalFormatting>
  <conditionalFormatting sqref="AJ123:AL123 AV123:AW123 AT123 AR123 AP123 AN123">
    <cfRule type="containsText" dxfId="1747" priority="1450" operator="containsText" text="Discontinued">
      <formula>NOT(ISERROR(SEARCH("Discontinued",AJ123)))</formula>
    </cfRule>
    <cfRule type="containsText" dxfId="1746" priority="1451" operator="containsText" text="In Question">
      <formula>NOT(ISERROR(SEARCH("In Question",AJ123)))</formula>
    </cfRule>
    <cfRule type="containsText" dxfId="1745" priority="1452" operator="containsText" text="Continued">
      <formula>NOT(ISERROR(SEARCH("Continued",AJ123)))</formula>
    </cfRule>
  </conditionalFormatting>
  <conditionalFormatting sqref="AJ124:AL124 AV124:AW124 AT124 AR124 AP124 AN124">
    <cfRule type="containsText" dxfId="1744" priority="1447" operator="containsText" text="Discontinued">
      <formula>NOT(ISERROR(SEARCH("Discontinued",AJ124)))</formula>
    </cfRule>
    <cfRule type="containsText" dxfId="1743" priority="1448" operator="containsText" text="In Question">
      <formula>NOT(ISERROR(SEARCH("In Question",AJ124)))</formula>
    </cfRule>
    <cfRule type="containsText" dxfId="1742" priority="1449" operator="containsText" text="Continued">
      <formula>NOT(ISERROR(SEARCH("Continued",AJ124)))</formula>
    </cfRule>
  </conditionalFormatting>
  <conditionalFormatting sqref="AJ125:AL125 AV125:AW125 AT125 AR125 AP125 AN125">
    <cfRule type="containsText" dxfId="1741" priority="1444" operator="containsText" text="Discontinued">
      <formula>NOT(ISERROR(SEARCH("Discontinued",AJ125)))</formula>
    </cfRule>
    <cfRule type="containsText" dxfId="1740" priority="1445" operator="containsText" text="In Question">
      <formula>NOT(ISERROR(SEARCH("In Question",AJ125)))</formula>
    </cfRule>
    <cfRule type="containsText" dxfId="1739" priority="1446" operator="containsText" text="Continued">
      <formula>NOT(ISERROR(SEARCH("Continued",AJ125)))</formula>
    </cfRule>
  </conditionalFormatting>
  <conditionalFormatting sqref="AJ254:AL254 AV254:AW254 AT254 AR254 AP254 AN254">
    <cfRule type="containsText" dxfId="1738" priority="484" operator="containsText" text="Discontinued">
      <formula>NOT(ISERROR(SEARCH("Discontinued",AJ254)))</formula>
    </cfRule>
    <cfRule type="containsText" dxfId="1737" priority="485" operator="containsText" text="In Question">
      <formula>NOT(ISERROR(SEARCH("In Question",AJ254)))</formula>
    </cfRule>
    <cfRule type="containsText" dxfId="1736" priority="486" operator="containsText" text="Continued">
      <formula>NOT(ISERROR(SEARCH("Continued",AJ254)))</formula>
    </cfRule>
  </conditionalFormatting>
  <conditionalFormatting sqref="AJ133:AL133 AV133:AW133 AT133 AR133 AP133 AN133">
    <cfRule type="containsText" dxfId="1735" priority="1441" operator="containsText" text="Discontinued">
      <formula>NOT(ISERROR(SEARCH("Discontinued",AJ133)))</formula>
    </cfRule>
    <cfRule type="containsText" dxfId="1734" priority="1442" operator="containsText" text="In Question">
      <formula>NOT(ISERROR(SEARCH("In Question",AJ133)))</formula>
    </cfRule>
    <cfRule type="containsText" dxfId="1733" priority="1443" operator="containsText" text="Continued">
      <formula>NOT(ISERROR(SEARCH("Continued",AJ133)))</formula>
    </cfRule>
  </conditionalFormatting>
  <conditionalFormatting sqref="AJ109:AL109 AV109:AY109 AT109 AR109 AP109 AN109">
    <cfRule type="containsText" dxfId="1732" priority="1438" operator="containsText" text="Discontinued">
      <formula>NOT(ISERROR(SEARCH("Discontinued",AJ109)))</formula>
    </cfRule>
    <cfRule type="containsText" dxfId="1731" priority="1439" operator="containsText" text="In Question">
      <formula>NOT(ISERROR(SEARCH("In Question",AJ109)))</formula>
    </cfRule>
    <cfRule type="containsText" dxfId="1730" priority="1440" operator="containsText" text="Continued">
      <formula>NOT(ISERROR(SEARCH("Continued",AJ109)))</formula>
    </cfRule>
  </conditionalFormatting>
  <conditionalFormatting sqref="AJ127:AL127 AV127:AY127 AT127 AR127 AP127 AN127">
    <cfRule type="containsText" dxfId="1729" priority="1435" operator="containsText" text="Discontinued">
      <formula>NOT(ISERROR(SEARCH("Discontinued",AJ127)))</formula>
    </cfRule>
    <cfRule type="containsText" dxfId="1728" priority="1436" operator="containsText" text="In Question">
      <formula>NOT(ISERROR(SEARCH("In Question",AJ127)))</formula>
    </cfRule>
    <cfRule type="containsText" dxfId="1727" priority="1437" operator="containsText" text="Continued">
      <formula>NOT(ISERROR(SEARCH("Continued",AJ127)))</formula>
    </cfRule>
  </conditionalFormatting>
  <conditionalFormatting sqref="AJ129:AL129 AV129:AY129 AT129 AR129 AP129 AN129">
    <cfRule type="containsText" dxfId="1726" priority="1432" operator="containsText" text="Discontinued">
      <formula>NOT(ISERROR(SEARCH("Discontinued",AJ129)))</formula>
    </cfRule>
    <cfRule type="containsText" dxfId="1725" priority="1433" operator="containsText" text="In Question">
      <formula>NOT(ISERROR(SEARCH("In Question",AJ129)))</formula>
    </cfRule>
    <cfRule type="containsText" dxfId="1724" priority="1434" operator="containsText" text="Continued">
      <formula>NOT(ISERROR(SEARCH("Continued",AJ129)))</formula>
    </cfRule>
  </conditionalFormatting>
  <conditionalFormatting sqref="AJ130:AL130 AV130:AY130 AT130 AR130 AP130 AN130">
    <cfRule type="containsText" dxfId="1723" priority="1429" operator="containsText" text="Discontinued">
      <formula>NOT(ISERROR(SEARCH("Discontinued",AJ130)))</formula>
    </cfRule>
    <cfRule type="containsText" dxfId="1722" priority="1430" operator="containsText" text="In Question">
      <formula>NOT(ISERROR(SEARCH("In Question",AJ130)))</formula>
    </cfRule>
    <cfRule type="containsText" dxfId="1721" priority="1431" operator="containsText" text="Continued">
      <formula>NOT(ISERROR(SEARCH("Continued",AJ130)))</formula>
    </cfRule>
  </conditionalFormatting>
  <conditionalFormatting sqref="AJ131:AL131 AV131:AY131 AT131 AR131 AP131 AN131">
    <cfRule type="containsText" dxfId="1720" priority="1426" operator="containsText" text="Discontinued">
      <formula>NOT(ISERROR(SEARCH("Discontinued",AJ131)))</formula>
    </cfRule>
    <cfRule type="containsText" dxfId="1719" priority="1427" operator="containsText" text="In Question">
      <formula>NOT(ISERROR(SEARCH("In Question",AJ131)))</formula>
    </cfRule>
    <cfRule type="containsText" dxfId="1718" priority="1428" operator="containsText" text="Continued">
      <formula>NOT(ISERROR(SEARCH("Continued",AJ131)))</formula>
    </cfRule>
  </conditionalFormatting>
  <conditionalFormatting sqref="AJ135:AL135 AV135:AY135 AT135 AR135 AP135 AN135">
    <cfRule type="containsText" dxfId="1717" priority="1423" operator="containsText" text="Discontinued">
      <formula>NOT(ISERROR(SEARCH("Discontinued",AJ135)))</formula>
    </cfRule>
    <cfRule type="containsText" dxfId="1716" priority="1424" operator="containsText" text="In Question">
      <formula>NOT(ISERROR(SEARCH("In Question",AJ135)))</formula>
    </cfRule>
    <cfRule type="containsText" dxfId="1715" priority="1425" operator="containsText" text="Continued">
      <formula>NOT(ISERROR(SEARCH("Continued",AJ135)))</formula>
    </cfRule>
  </conditionalFormatting>
  <conditionalFormatting sqref="AJ136:AL136 AV136:AY136 AT136 AR136 AP136 AN136">
    <cfRule type="containsText" dxfId="1714" priority="1420" operator="containsText" text="Discontinued">
      <formula>NOT(ISERROR(SEARCH("Discontinued",AJ136)))</formula>
    </cfRule>
    <cfRule type="containsText" dxfId="1713" priority="1421" operator="containsText" text="In Question">
      <formula>NOT(ISERROR(SEARCH("In Question",AJ136)))</formula>
    </cfRule>
    <cfRule type="containsText" dxfId="1712" priority="1422" operator="containsText" text="Continued">
      <formula>NOT(ISERROR(SEARCH("Continued",AJ136)))</formula>
    </cfRule>
  </conditionalFormatting>
  <conditionalFormatting sqref="AJ141:AL141 AV141:AY141 AT141 AR141 AP141 AN141">
    <cfRule type="containsText" dxfId="1711" priority="1417" operator="containsText" text="Discontinued">
      <formula>NOT(ISERROR(SEARCH("Discontinued",AJ141)))</formula>
    </cfRule>
    <cfRule type="containsText" dxfId="1710" priority="1418" operator="containsText" text="In Question">
      <formula>NOT(ISERROR(SEARCH("In Question",AJ141)))</formula>
    </cfRule>
    <cfRule type="containsText" dxfId="1709" priority="1419" operator="containsText" text="Continued">
      <formula>NOT(ISERROR(SEARCH("Continued",AJ141)))</formula>
    </cfRule>
  </conditionalFormatting>
  <conditionalFormatting sqref="AJ143:AL143 AV143:AY143 AT143 AR143 AP143 AN143">
    <cfRule type="containsText" dxfId="1708" priority="1414" operator="containsText" text="Discontinued">
      <formula>NOT(ISERROR(SEARCH("Discontinued",AJ143)))</formula>
    </cfRule>
    <cfRule type="containsText" dxfId="1707" priority="1415" operator="containsText" text="In Question">
      <formula>NOT(ISERROR(SEARCH("In Question",AJ143)))</formula>
    </cfRule>
    <cfRule type="containsText" dxfId="1706" priority="1416" operator="containsText" text="Continued">
      <formula>NOT(ISERROR(SEARCH("Continued",AJ143)))</formula>
    </cfRule>
  </conditionalFormatting>
  <conditionalFormatting sqref="AJ145:AL145 AV145:AY145 AT145 AR145 AP145 AN145">
    <cfRule type="containsText" dxfId="1705" priority="1411" operator="containsText" text="Discontinued">
      <formula>NOT(ISERROR(SEARCH("Discontinued",AJ145)))</formula>
    </cfRule>
    <cfRule type="containsText" dxfId="1704" priority="1412" operator="containsText" text="In Question">
      <formula>NOT(ISERROR(SEARCH("In Question",AJ145)))</formula>
    </cfRule>
    <cfRule type="containsText" dxfId="1703" priority="1413" operator="containsText" text="Continued">
      <formula>NOT(ISERROR(SEARCH("Continued",AJ145)))</formula>
    </cfRule>
  </conditionalFormatting>
  <conditionalFormatting sqref="AX132:BE132">
    <cfRule type="containsText" dxfId="1702" priority="1408" operator="containsText" text="Discontinued">
      <formula>NOT(ISERROR(SEARCH("Discontinued",AX132)))</formula>
    </cfRule>
    <cfRule type="containsText" dxfId="1701" priority="1409" operator="containsText" text="In Question">
      <formula>NOT(ISERROR(SEARCH("In Question",AX132)))</formula>
    </cfRule>
    <cfRule type="containsText" dxfId="1700" priority="1410" operator="containsText" text="Continued">
      <formula>NOT(ISERROR(SEARCH("Continued",AX132)))</formula>
    </cfRule>
  </conditionalFormatting>
  <conditionalFormatting sqref="AJ132:AL132 AV132:AW132 AT132 AR132 AP132 AN132">
    <cfRule type="containsText" dxfId="1699" priority="1405" operator="containsText" text="Discontinued">
      <formula>NOT(ISERROR(SEARCH("Discontinued",AJ132)))</formula>
    </cfRule>
    <cfRule type="containsText" dxfId="1698" priority="1406" operator="containsText" text="In Question">
      <formula>NOT(ISERROR(SEARCH("In Question",AJ132)))</formula>
    </cfRule>
    <cfRule type="containsText" dxfId="1697" priority="1407" operator="containsText" text="Continued">
      <formula>NOT(ISERROR(SEARCH("Continued",AJ132)))</formula>
    </cfRule>
  </conditionalFormatting>
  <conditionalFormatting sqref="AX134:BE134">
    <cfRule type="containsText" dxfId="1696" priority="1402" operator="containsText" text="Discontinued">
      <formula>NOT(ISERROR(SEARCH("Discontinued",AX134)))</formula>
    </cfRule>
    <cfRule type="containsText" dxfId="1695" priority="1403" operator="containsText" text="In Question">
      <formula>NOT(ISERROR(SEARCH("In Question",AX134)))</formula>
    </cfRule>
    <cfRule type="containsText" dxfId="1694" priority="1404" operator="containsText" text="Continued">
      <formula>NOT(ISERROR(SEARCH("Continued",AX134)))</formula>
    </cfRule>
  </conditionalFormatting>
  <conditionalFormatting sqref="AJ134:AL134 AV134:AW134 AT134 AR134 AP134 AN134">
    <cfRule type="containsText" dxfId="1693" priority="1399" operator="containsText" text="Discontinued">
      <formula>NOT(ISERROR(SEARCH("Discontinued",AJ134)))</formula>
    </cfRule>
    <cfRule type="containsText" dxfId="1692" priority="1400" operator="containsText" text="In Question">
      <formula>NOT(ISERROR(SEARCH("In Question",AJ134)))</formula>
    </cfRule>
    <cfRule type="containsText" dxfId="1691" priority="1401" operator="containsText" text="Continued">
      <formula>NOT(ISERROR(SEARCH("Continued",AJ134)))</formula>
    </cfRule>
  </conditionalFormatting>
  <conditionalFormatting sqref="AX137:BE137">
    <cfRule type="containsText" dxfId="1690" priority="1396" operator="containsText" text="Discontinued">
      <formula>NOT(ISERROR(SEARCH("Discontinued",AX137)))</formula>
    </cfRule>
    <cfRule type="containsText" dxfId="1689" priority="1397" operator="containsText" text="In Question">
      <formula>NOT(ISERROR(SEARCH("In Question",AX137)))</formula>
    </cfRule>
    <cfRule type="containsText" dxfId="1688" priority="1398" operator="containsText" text="Continued">
      <formula>NOT(ISERROR(SEARCH("Continued",AX137)))</formula>
    </cfRule>
  </conditionalFormatting>
  <conditionalFormatting sqref="AJ137:AL137 AV137:AW137 AT137 AR137 AP137 AN137">
    <cfRule type="containsText" dxfId="1687" priority="1393" operator="containsText" text="Discontinued">
      <formula>NOT(ISERROR(SEARCH("Discontinued",AJ137)))</formula>
    </cfRule>
    <cfRule type="containsText" dxfId="1686" priority="1394" operator="containsText" text="In Question">
      <formula>NOT(ISERROR(SEARCH("In Question",AJ137)))</formula>
    </cfRule>
    <cfRule type="containsText" dxfId="1685" priority="1395" operator="containsText" text="Continued">
      <formula>NOT(ISERROR(SEARCH("Continued",AJ137)))</formula>
    </cfRule>
  </conditionalFormatting>
  <conditionalFormatting sqref="AX138:BE138">
    <cfRule type="containsText" dxfId="1684" priority="1390" operator="containsText" text="Discontinued">
      <formula>NOT(ISERROR(SEARCH("Discontinued",AX138)))</formula>
    </cfRule>
    <cfRule type="containsText" dxfId="1683" priority="1391" operator="containsText" text="In Question">
      <formula>NOT(ISERROR(SEARCH("In Question",AX138)))</formula>
    </cfRule>
    <cfRule type="containsText" dxfId="1682" priority="1392" operator="containsText" text="Continued">
      <formula>NOT(ISERROR(SEARCH("Continued",AX138)))</formula>
    </cfRule>
  </conditionalFormatting>
  <conditionalFormatting sqref="AJ138:AL138 AV138:AW138 AT138 AR138 AP138 AN138">
    <cfRule type="containsText" dxfId="1681" priority="1387" operator="containsText" text="Discontinued">
      <formula>NOT(ISERROR(SEARCH("Discontinued",AJ138)))</formula>
    </cfRule>
    <cfRule type="containsText" dxfId="1680" priority="1388" operator="containsText" text="In Question">
      <formula>NOT(ISERROR(SEARCH("In Question",AJ138)))</formula>
    </cfRule>
    <cfRule type="containsText" dxfId="1679" priority="1389" operator="containsText" text="Continued">
      <formula>NOT(ISERROR(SEARCH("Continued",AJ138)))</formula>
    </cfRule>
  </conditionalFormatting>
  <conditionalFormatting sqref="AX139:BE139">
    <cfRule type="containsText" dxfId="1678" priority="1384" operator="containsText" text="Discontinued">
      <formula>NOT(ISERROR(SEARCH("Discontinued",AX139)))</formula>
    </cfRule>
    <cfRule type="containsText" dxfId="1677" priority="1385" operator="containsText" text="In Question">
      <formula>NOT(ISERROR(SEARCH("In Question",AX139)))</formula>
    </cfRule>
    <cfRule type="containsText" dxfId="1676" priority="1386" operator="containsText" text="Continued">
      <formula>NOT(ISERROR(SEARCH("Continued",AX139)))</formula>
    </cfRule>
  </conditionalFormatting>
  <conditionalFormatting sqref="AJ139:AL139 AV139:AW139 AT139 AR139 AP139 AN139">
    <cfRule type="containsText" dxfId="1675" priority="1381" operator="containsText" text="Discontinued">
      <formula>NOT(ISERROR(SEARCH("Discontinued",AJ139)))</formula>
    </cfRule>
    <cfRule type="containsText" dxfId="1674" priority="1382" operator="containsText" text="In Question">
      <formula>NOT(ISERROR(SEARCH("In Question",AJ139)))</formula>
    </cfRule>
    <cfRule type="containsText" dxfId="1673" priority="1383" operator="containsText" text="Continued">
      <formula>NOT(ISERROR(SEARCH("Continued",AJ139)))</formula>
    </cfRule>
  </conditionalFormatting>
  <conditionalFormatting sqref="AX140:BE140">
    <cfRule type="containsText" dxfId="1672" priority="1378" operator="containsText" text="Discontinued">
      <formula>NOT(ISERROR(SEARCH("Discontinued",AX140)))</formula>
    </cfRule>
    <cfRule type="containsText" dxfId="1671" priority="1379" operator="containsText" text="In Question">
      <formula>NOT(ISERROR(SEARCH("In Question",AX140)))</formula>
    </cfRule>
    <cfRule type="containsText" dxfId="1670" priority="1380" operator="containsText" text="Continued">
      <formula>NOT(ISERROR(SEARCH("Continued",AX140)))</formula>
    </cfRule>
  </conditionalFormatting>
  <conditionalFormatting sqref="AJ140:AL140 AV140:AW140 AT140 AR140 AP140 AN140">
    <cfRule type="containsText" dxfId="1669" priority="1375" operator="containsText" text="Discontinued">
      <formula>NOT(ISERROR(SEARCH("Discontinued",AJ140)))</formula>
    </cfRule>
    <cfRule type="containsText" dxfId="1668" priority="1376" operator="containsText" text="In Question">
      <formula>NOT(ISERROR(SEARCH("In Question",AJ140)))</formula>
    </cfRule>
    <cfRule type="containsText" dxfId="1667" priority="1377" operator="containsText" text="Continued">
      <formula>NOT(ISERROR(SEARCH("Continued",AJ140)))</formula>
    </cfRule>
  </conditionalFormatting>
  <conditionalFormatting sqref="AX142:BE142">
    <cfRule type="containsText" dxfId="1666" priority="1372" operator="containsText" text="Discontinued">
      <formula>NOT(ISERROR(SEARCH("Discontinued",AX142)))</formula>
    </cfRule>
    <cfRule type="containsText" dxfId="1665" priority="1373" operator="containsText" text="In Question">
      <formula>NOT(ISERROR(SEARCH("In Question",AX142)))</formula>
    </cfRule>
    <cfRule type="containsText" dxfId="1664" priority="1374" operator="containsText" text="Continued">
      <formula>NOT(ISERROR(SEARCH("Continued",AX142)))</formula>
    </cfRule>
  </conditionalFormatting>
  <conditionalFormatting sqref="AJ142:AL142 AV142:AW142 AT142 AR142 AP142 AN142">
    <cfRule type="containsText" dxfId="1663" priority="1369" operator="containsText" text="Discontinued">
      <formula>NOT(ISERROR(SEARCH("Discontinued",AJ142)))</formula>
    </cfRule>
    <cfRule type="containsText" dxfId="1662" priority="1370" operator="containsText" text="In Question">
      <formula>NOT(ISERROR(SEARCH("In Question",AJ142)))</formula>
    </cfRule>
    <cfRule type="containsText" dxfId="1661" priority="1371" operator="containsText" text="Continued">
      <formula>NOT(ISERROR(SEARCH("Continued",AJ142)))</formula>
    </cfRule>
  </conditionalFormatting>
  <conditionalFormatting sqref="AX144:BE144">
    <cfRule type="containsText" dxfId="1660" priority="1366" operator="containsText" text="Discontinued">
      <formula>NOT(ISERROR(SEARCH("Discontinued",AX144)))</formula>
    </cfRule>
    <cfRule type="containsText" dxfId="1659" priority="1367" operator="containsText" text="In Question">
      <formula>NOT(ISERROR(SEARCH("In Question",AX144)))</formula>
    </cfRule>
    <cfRule type="containsText" dxfId="1658" priority="1368" operator="containsText" text="Continued">
      <formula>NOT(ISERROR(SEARCH("Continued",AX144)))</formula>
    </cfRule>
  </conditionalFormatting>
  <conditionalFormatting sqref="AJ144:AL144 AV144:AW144 AT144 AR144 AP144 AN144">
    <cfRule type="containsText" dxfId="1657" priority="1363" operator="containsText" text="Discontinued">
      <formula>NOT(ISERROR(SEARCH("Discontinued",AJ144)))</formula>
    </cfRule>
    <cfRule type="containsText" dxfId="1656" priority="1364" operator="containsText" text="In Question">
      <formula>NOT(ISERROR(SEARCH("In Question",AJ144)))</formula>
    </cfRule>
    <cfRule type="containsText" dxfId="1655" priority="1365" operator="containsText" text="Continued">
      <formula>NOT(ISERROR(SEARCH("Continued",AJ144)))</formula>
    </cfRule>
  </conditionalFormatting>
  <conditionalFormatting sqref="AX146:BE146">
    <cfRule type="containsText" dxfId="1654" priority="1360" operator="containsText" text="Discontinued">
      <formula>NOT(ISERROR(SEARCH("Discontinued",AX146)))</formula>
    </cfRule>
    <cfRule type="containsText" dxfId="1653" priority="1361" operator="containsText" text="In Question">
      <formula>NOT(ISERROR(SEARCH("In Question",AX146)))</formula>
    </cfRule>
    <cfRule type="containsText" dxfId="1652" priority="1362" operator="containsText" text="Continued">
      <formula>NOT(ISERROR(SEARCH("Continued",AX146)))</formula>
    </cfRule>
  </conditionalFormatting>
  <conditionalFormatting sqref="AJ146:AL146 AV146:AW146 AT146 AR146 AP146 AN146">
    <cfRule type="containsText" dxfId="1651" priority="1357" operator="containsText" text="Discontinued">
      <formula>NOT(ISERROR(SEARCH("Discontinued",AJ146)))</formula>
    </cfRule>
    <cfRule type="containsText" dxfId="1650" priority="1358" operator="containsText" text="In Question">
      <formula>NOT(ISERROR(SEARCH("In Question",AJ146)))</formula>
    </cfRule>
    <cfRule type="containsText" dxfId="1649" priority="1359" operator="containsText" text="Continued">
      <formula>NOT(ISERROR(SEARCH("Continued",AJ146)))</formula>
    </cfRule>
  </conditionalFormatting>
  <conditionalFormatting sqref="AX147:BE147">
    <cfRule type="containsText" dxfId="1648" priority="1354" operator="containsText" text="Discontinued">
      <formula>NOT(ISERROR(SEARCH("Discontinued",AX147)))</formula>
    </cfRule>
    <cfRule type="containsText" dxfId="1647" priority="1355" operator="containsText" text="In Question">
      <formula>NOT(ISERROR(SEARCH("In Question",AX147)))</formula>
    </cfRule>
    <cfRule type="containsText" dxfId="1646" priority="1356" operator="containsText" text="Continued">
      <formula>NOT(ISERROR(SEARCH("Continued",AX147)))</formula>
    </cfRule>
  </conditionalFormatting>
  <conditionalFormatting sqref="AJ147:AL147 AV147:AW147 AT147 AR147 AP147 AN147">
    <cfRule type="containsText" dxfId="1645" priority="1351" operator="containsText" text="Discontinued">
      <formula>NOT(ISERROR(SEARCH("Discontinued",AJ147)))</formula>
    </cfRule>
    <cfRule type="containsText" dxfId="1644" priority="1352" operator="containsText" text="In Question">
      <formula>NOT(ISERROR(SEARCH("In Question",AJ147)))</formula>
    </cfRule>
    <cfRule type="containsText" dxfId="1643" priority="1353" operator="containsText" text="Continued">
      <formula>NOT(ISERROR(SEARCH("Continued",AJ147)))</formula>
    </cfRule>
  </conditionalFormatting>
  <conditionalFormatting sqref="AX148:BE148">
    <cfRule type="containsText" dxfId="1642" priority="1348" operator="containsText" text="Discontinued">
      <formula>NOT(ISERROR(SEARCH("Discontinued",AX148)))</formula>
    </cfRule>
    <cfRule type="containsText" dxfId="1641" priority="1349" operator="containsText" text="In Question">
      <formula>NOT(ISERROR(SEARCH("In Question",AX148)))</formula>
    </cfRule>
    <cfRule type="containsText" dxfId="1640" priority="1350" operator="containsText" text="Continued">
      <formula>NOT(ISERROR(SEARCH("Continued",AX148)))</formula>
    </cfRule>
  </conditionalFormatting>
  <conditionalFormatting sqref="AJ148:AL148 AV148:AW148 AT148 AR148 AP148 AN148">
    <cfRule type="containsText" dxfId="1639" priority="1345" operator="containsText" text="Discontinued">
      <formula>NOT(ISERROR(SEARCH("Discontinued",AJ148)))</formula>
    </cfRule>
    <cfRule type="containsText" dxfId="1638" priority="1346" operator="containsText" text="In Question">
      <formula>NOT(ISERROR(SEARCH("In Question",AJ148)))</formula>
    </cfRule>
    <cfRule type="containsText" dxfId="1637" priority="1347" operator="containsText" text="Continued">
      <formula>NOT(ISERROR(SEARCH("Continued",AJ148)))</formula>
    </cfRule>
  </conditionalFormatting>
  <conditionalFormatting sqref="AX149:BE149">
    <cfRule type="containsText" dxfId="1636" priority="1342" operator="containsText" text="Discontinued">
      <formula>NOT(ISERROR(SEARCH("Discontinued",AX149)))</formula>
    </cfRule>
    <cfRule type="containsText" dxfId="1635" priority="1343" operator="containsText" text="In Question">
      <formula>NOT(ISERROR(SEARCH("In Question",AX149)))</formula>
    </cfRule>
    <cfRule type="containsText" dxfId="1634" priority="1344" operator="containsText" text="Continued">
      <formula>NOT(ISERROR(SEARCH("Continued",AX149)))</formula>
    </cfRule>
  </conditionalFormatting>
  <conditionalFormatting sqref="AJ149:AL149 AV149:AW149 AT149 AR149 AP149 AN149">
    <cfRule type="containsText" dxfId="1633" priority="1339" operator="containsText" text="Discontinued">
      <formula>NOT(ISERROR(SEARCH("Discontinued",AJ149)))</formula>
    </cfRule>
    <cfRule type="containsText" dxfId="1632" priority="1340" operator="containsText" text="In Question">
      <formula>NOT(ISERROR(SEARCH("In Question",AJ149)))</formula>
    </cfRule>
    <cfRule type="containsText" dxfId="1631" priority="1341" operator="containsText" text="Continued">
      <formula>NOT(ISERROR(SEARCH("Continued",AJ149)))</formula>
    </cfRule>
  </conditionalFormatting>
  <conditionalFormatting sqref="AX150:BE150">
    <cfRule type="containsText" dxfId="1630" priority="1336" operator="containsText" text="Discontinued">
      <formula>NOT(ISERROR(SEARCH("Discontinued",AX150)))</formula>
    </cfRule>
    <cfRule type="containsText" dxfId="1629" priority="1337" operator="containsText" text="In Question">
      <formula>NOT(ISERROR(SEARCH("In Question",AX150)))</formula>
    </cfRule>
    <cfRule type="containsText" dxfId="1628" priority="1338" operator="containsText" text="Continued">
      <formula>NOT(ISERROR(SEARCH("Continued",AX150)))</formula>
    </cfRule>
  </conditionalFormatting>
  <conditionalFormatting sqref="AJ150:AL150 AV150:AW150 AT150 AR150 AP150 AN150">
    <cfRule type="containsText" dxfId="1627" priority="1333" operator="containsText" text="Discontinued">
      <formula>NOT(ISERROR(SEARCH("Discontinued",AJ150)))</formula>
    </cfRule>
    <cfRule type="containsText" dxfId="1626" priority="1334" operator="containsText" text="In Question">
      <formula>NOT(ISERROR(SEARCH("In Question",AJ150)))</formula>
    </cfRule>
    <cfRule type="containsText" dxfId="1625" priority="1335" operator="containsText" text="Continued">
      <formula>NOT(ISERROR(SEARCH("Continued",AJ150)))</formula>
    </cfRule>
  </conditionalFormatting>
  <conditionalFormatting sqref="AX151:BE151">
    <cfRule type="containsText" dxfId="1624" priority="1330" operator="containsText" text="Discontinued">
      <formula>NOT(ISERROR(SEARCH("Discontinued",AX151)))</formula>
    </cfRule>
    <cfRule type="containsText" dxfId="1623" priority="1331" operator="containsText" text="In Question">
      <formula>NOT(ISERROR(SEARCH("In Question",AX151)))</formula>
    </cfRule>
    <cfRule type="containsText" dxfId="1622" priority="1332" operator="containsText" text="Continued">
      <formula>NOT(ISERROR(SEARCH("Continued",AX151)))</formula>
    </cfRule>
  </conditionalFormatting>
  <conditionalFormatting sqref="AJ151:AL151 AV151:AW151 AT151 AR151 AP151 AN151">
    <cfRule type="containsText" dxfId="1621" priority="1327" operator="containsText" text="Discontinued">
      <formula>NOT(ISERROR(SEARCH("Discontinued",AJ151)))</formula>
    </cfRule>
    <cfRule type="containsText" dxfId="1620" priority="1328" operator="containsText" text="In Question">
      <formula>NOT(ISERROR(SEARCH("In Question",AJ151)))</formula>
    </cfRule>
    <cfRule type="containsText" dxfId="1619" priority="1329" operator="containsText" text="Continued">
      <formula>NOT(ISERROR(SEARCH("Continued",AJ151)))</formula>
    </cfRule>
  </conditionalFormatting>
  <conditionalFormatting sqref="AX153:BE153">
    <cfRule type="containsText" dxfId="1618" priority="1324" operator="containsText" text="Discontinued">
      <formula>NOT(ISERROR(SEARCH("Discontinued",AX153)))</formula>
    </cfRule>
    <cfRule type="containsText" dxfId="1617" priority="1325" operator="containsText" text="In Question">
      <formula>NOT(ISERROR(SEARCH("In Question",AX153)))</formula>
    </cfRule>
    <cfRule type="containsText" dxfId="1616" priority="1326" operator="containsText" text="Continued">
      <formula>NOT(ISERROR(SEARCH("Continued",AX153)))</formula>
    </cfRule>
  </conditionalFormatting>
  <conditionalFormatting sqref="AJ153:AL153 AV153:AW153 AT153 AR153 AP153 AN153">
    <cfRule type="containsText" dxfId="1615" priority="1321" operator="containsText" text="Discontinued">
      <formula>NOT(ISERROR(SEARCH("Discontinued",AJ153)))</formula>
    </cfRule>
    <cfRule type="containsText" dxfId="1614" priority="1322" operator="containsText" text="In Question">
      <formula>NOT(ISERROR(SEARCH("In Question",AJ153)))</formula>
    </cfRule>
    <cfRule type="containsText" dxfId="1613" priority="1323" operator="containsText" text="Continued">
      <formula>NOT(ISERROR(SEARCH("Continued",AJ153)))</formula>
    </cfRule>
  </conditionalFormatting>
  <conditionalFormatting sqref="AX154:BE154">
    <cfRule type="containsText" dxfId="1612" priority="1318" operator="containsText" text="Discontinued">
      <formula>NOT(ISERROR(SEARCH("Discontinued",AX154)))</formula>
    </cfRule>
    <cfRule type="containsText" dxfId="1611" priority="1319" operator="containsText" text="In Question">
      <formula>NOT(ISERROR(SEARCH("In Question",AX154)))</formula>
    </cfRule>
    <cfRule type="containsText" dxfId="1610" priority="1320" operator="containsText" text="Continued">
      <formula>NOT(ISERROR(SEARCH("Continued",AX154)))</formula>
    </cfRule>
  </conditionalFormatting>
  <conditionalFormatting sqref="AJ154:AL154 AV154:AW154 AT154 AR154 AP154 AN154">
    <cfRule type="containsText" dxfId="1609" priority="1315" operator="containsText" text="Discontinued">
      <formula>NOT(ISERROR(SEARCH("Discontinued",AJ154)))</formula>
    </cfRule>
    <cfRule type="containsText" dxfId="1608" priority="1316" operator="containsText" text="In Question">
      <formula>NOT(ISERROR(SEARCH("In Question",AJ154)))</formula>
    </cfRule>
    <cfRule type="containsText" dxfId="1607" priority="1317" operator="containsText" text="Continued">
      <formula>NOT(ISERROR(SEARCH("Continued",AJ154)))</formula>
    </cfRule>
  </conditionalFormatting>
  <conditionalFormatting sqref="AX158:BE158">
    <cfRule type="containsText" dxfId="1606" priority="1312" operator="containsText" text="Discontinued">
      <formula>NOT(ISERROR(SEARCH("Discontinued",AX158)))</formula>
    </cfRule>
    <cfRule type="containsText" dxfId="1605" priority="1313" operator="containsText" text="In Question">
      <formula>NOT(ISERROR(SEARCH("In Question",AX158)))</formula>
    </cfRule>
    <cfRule type="containsText" dxfId="1604" priority="1314" operator="containsText" text="Continued">
      <formula>NOT(ISERROR(SEARCH("Continued",AX158)))</formula>
    </cfRule>
  </conditionalFormatting>
  <conditionalFormatting sqref="AJ158:AL158 AV158:AW158 AT158 AR158 AP158 AN158">
    <cfRule type="containsText" dxfId="1603" priority="1309" operator="containsText" text="Discontinued">
      <formula>NOT(ISERROR(SEARCH("Discontinued",AJ158)))</formula>
    </cfRule>
    <cfRule type="containsText" dxfId="1602" priority="1310" operator="containsText" text="In Question">
      <formula>NOT(ISERROR(SEARCH("In Question",AJ158)))</formula>
    </cfRule>
    <cfRule type="containsText" dxfId="1601" priority="1311" operator="containsText" text="Continued">
      <formula>NOT(ISERROR(SEARCH("Continued",AJ158)))</formula>
    </cfRule>
  </conditionalFormatting>
  <conditionalFormatting sqref="AX159:BE159">
    <cfRule type="containsText" dxfId="1600" priority="1306" operator="containsText" text="Discontinued">
      <formula>NOT(ISERROR(SEARCH("Discontinued",AX159)))</formula>
    </cfRule>
    <cfRule type="containsText" dxfId="1599" priority="1307" operator="containsText" text="In Question">
      <formula>NOT(ISERROR(SEARCH("In Question",AX159)))</formula>
    </cfRule>
    <cfRule type="containsText" dxfId="1598" priority="1308" operator="containsText" text="Continued">
      <formula>NOT(ISERROR(SEARCH("Continued",AX159)))</formula>
    </cfRule>
  </conditionalFormatting>
  <conditionalFormatting sqref="AJ159:AL159 AV159:AW159 AT159 AR159 AP159 AN159">
    <cfRule type="containsText" dxfId="1597" priority="1303" operator="containsText" text="Discontinued">
      <formula>NOT(ISERROR(SEARCH("Discontinued",AJ159)))</formula>
    </cfRule>
    <cfRule type="containsText" dxfId="1596" priority="1304" operator="containsText" text="In Question">
      <formula>NOT(ISERROR(SEARCH("In Question",AJ159)))</formula>
    </cfRule>
    <cfRule type="containsText" dxfId="1595" priority="1305" operator="containsText" text="Continued">
      <formula>NOT(ISERROR(SEARCH("Continued",AJ159)))</formula>
    </cfRule>
  </conditionalFormatting>
  <conditionalFormatting sqref="AX161:BE161">
    <cfRule type="containsText" dxfId="1594" priority="1300" operator="containsText" text="Discontinued">
      <formula>NOT(ISERROR(SEARCH("Discontinued",AX161)))</formula>
    </cfRule>
    <cfRule type="containsText" dxfId="1593" priority="1301" operator="containsText" text="In Question">
      <formula>NOT(ISERROR(SEARCH("In Question",AX161)))</formula>
    </cfRule>
    <cfRule type="containsText" dxfId="1592" priority="1302" operator="containsText" text="Continued">
      <formula>NOT(ISERROR(SEARCH("Continued",AX161)))</formula>
    </cfRule>
  </conditionalFormatting>
  <conditionalFormatting sqref="AJ161:AL161 AV161:AW161 AT161 AR161 AP161 AN161">
    <cfRule type="containsText" dxfId="1591" priority="1297" operator="containsText" text="Discontinued">
      <formula>NOT(ISERROR(SEARCH("Discontinued",AJ161)))</formula>
    </cfRule>
    <cfRule type="containsText" dxfId="1590" priority="1298" operator="containsText" text="In Question">
      <formula>NOT(ISERROR(SEARCH("In Question",AJ161)))</formula>
    </cfRule>
    <cfRule type="containsText" dxfId="1589" priority="1299" operator="containsText" text="Continued">
      <formula>NOT(ISERROR(SEARCH("Continued",AJ161)))</formula>
    </cfRule>
  </conditionalFormatting>
  <conditionalFormatting sqref="AX162:BE162">
    <cfRule type="containsText" dxfId="1588" priority="1294" operator="containsText" text="Discontinued">
      <formula>NOT(ISERROR(SEARCH("Discontinued",AX162)))</formula>
    </cfRule>
    <cfRule type="containsText" dxfId="1587" priority="1295" operator="containsText" text="In Question">
      <formula>NOT(ISERROR(SEARCH("In Question",AX162)))</formula>
    </cfRule>
    <cfRule type="containsText" dxfId="1586" priority="1296" operator="containsText" text="Continued">
      <formula>NOT(ISERROR(SEARCH("Continued",AX162)))</formula>
    </cfRule>
  </conditionalFormatting>
  <conditionalFormatting sqref="AJ162:AL162 AV162:AW162 AT162 AR162 AP162 AN162">
    <cfRule type="containsText" dxfId="1585" priority="1291" operator="containsText" text="Discontinued">
      <formula>NOT(ISERROR(SEARCH("Discontinued",AJ162)))</formula>
    </cfRule>
    <cfRule type="containsText" dxfId="1584" priority="1292" operator="containsText" text="In Question">
      <formula>NOT(ISERROR(SEARCH("In Question",AJ162)))</formula>
    </cfRule>
    <cfRule type="containsText" dxfId="1583" priority="1293" operator="containsText" text="Continued">
      <formula>NOT(ISERROR(SEARCH("Continued",AJ162)))</formula>
    </cfRule>
  </conditionalFormatting>
  <conditionalFormatting sqref="AX163:BE163">
    <cfRule type="containsText" dxfId="1582" priority="1288" operator="containsText" text="Discontinued">
      <formula>NOT(ISERROR(SEARCH("Discontinued",AX163)))</formula>
    </cfRule>
    <cfRule type="containsText" dxfId="1581" priority="1289" operator="containsText" text="In Question">
      <formula>NOT(ISERROR(SEARCH("In Question",AX163)))</formula>
    </cfRule>
    <cfRule type="containsText" dxfId="1580" priority="1290" operator="containsText" text="Continued">
      <formula>NOT(ISERROR(SEARCH("Continued",AX163)))</formula>
    </cfRule>
  </conditionalFormatting>
  <conditionalFormatting sqref="AJ163:AL163 AV163:AW163 AT163 AR163 AP163 AN163">
    <cfRule type="containsText" dxfId="1579" priority="1285" operator="containsText" text="Discontinued">
      <formula>NOT(ISERROR(SEARCH("Discontinued",AJ163)))</formula>
    </cfRule>
    <cfRule type="containsText" dxfId="1578" priority="1286" operator="containsText" text="In Question">
      <formula>NOT(ISERROR(SEARCH("In Question",AJ163)))</formula>
    </cfRule>
    <cfRule type="containsText" dxfId="1577" priority="1287" operator="containsText" text="Continued">
      <formula>NOT(ISERROR(SEARCH("Continued",AJ163)))</formula>
    </cfRule>
  </conditionalFormatting>
  <conditionalFormatting sqref="AX164:BE164">
    <cfRule type="containsText" dxfId="1576" priority="1282" operator="containsText" text="Discontinued">
      <formula>NOT(ISERROR(SEARCH("Discontinued",AX164)))</formula>
    </cfRule>
    <cfRule type="containsText" dxfId="1575" priority="1283" operator="containsText" text="In Question">
      <formula>NOT(ISERROR(SEARCH("In Question",AX164)))</formula>
    </cfRule>
    <cfRule type="containsText" dxfId="1574" priority="1284" operator="containsText" text="Continued">
      <formula>NOT(ISERROR(SEARCH("Continued",AX164)))</formula>
    </cfRule>
  </conditionalFormatting>
  <conditionalFormatting sqref="AJ164:AL164 AV164:AW164 AT164 AR164 AP164 AN164">
    <cfRule type="containsText" dxfId="1573" priority="1279" operator="containsText" text="Discontinued">
      <formula>NOT(ISERROR(SEARCH("Discontinued",AJ164)))</formula>
    </cfRule>
    <cfRule type="containsText" dxfId="1572" priority="1280" operator="containsText" text="In Question">
      <formula>NOT(ISERROR(SEARCH("In Question",AJ164)))</formula>
    </cfRule>
    <cfRule type="containsText" dxfId="1571" priority="1281" operator="containsText" text="Continued">
      <formula>NOT(ISERROR(SEARCH("Continued",AJ164)))</formula>
    </cfRule>
  </conditionalFormatting>
  <conditionalFormatting sqref="AX156:BE156">
    <cfRule type="containsText" dxfId="1570" priority="1276" operator="containsText" text="Discontinued">
      <formula>NOT(ISERROR(SEARCH("Discontinued",AX156)))</formula>
    </cfRule>
    <cfRule type="containsText" dxfId="1569" priority="1277" operator="containsText" text="In Question">
      <formula>NOT(ISERROR(SEARCH("In Question",AX156)))</formula>
    </cfRule>
    <cfRule type="containsText" dxfId="1568" priority="1278" operator="containsText" text="Continued">
      <formula>NOT(ISERROR(SEARCH("Continued",AX156)))</formula>
    </cfRule>
  </conditionalFormatting>
  <conditionalFormatting sqref="AJ156:AL156 AV156:AW156 AT156 AR156 AP156 AN156">
    <cfRule type="containsText" dxfId="1567" priority="1273" operator="containsText" text="Discontinued">
      <formula>NOT(ISERROR(SEARCH("Discontinued",AJ156)))</formula>
    </cfRule>
    <cfRule type="containsText" dxfId="1566" priority="1274" operator="containsText" text="In Question">
      <formula>NOT(ISERROR(SEARCH("In Question",AJ156)))</formula>
    </cfRule>
    <cfRule type="containsText" dxfId="1565" priority="1275" operator="containsText" text="Continued">
      <formula>NOT(ISERROR(SEARCH("Continued",AJ156)))</formula>
    </cfRule>
  </conditionalFormatting>
  <conditionalFormatting sqref="AX112:BE112">
    <cfRule type="containsText" dxfId="1564" priority="1270" operator="containsText" text="Discontinued">
      <formula>NOT(ISERROR(SEARCH("Discontinued",AX112)))</formula>
    </cfRule>
    <cfRule type="containsText" dxfId="1563" priority="1271" operator="containsText" text="In Question">
      <formula>NOT(ISERROR(SEARCH("In Question",AX112)))</formula>
    </cfRule>
    <cfRule type="containsText" dxfId="1562" priority="1272" operator="containsText" text="Continued">
      <formula>NOT(ISERROR(SEARCH("Continued",AX112)))</formula>
    </cfRule>
  </conditionalFormatting>
  <conditionalFormatting sqref="AJ112:AL112 AV112:AW112 AT112 AR112 AP112 AN112">
    <cfRule type="containsText" dxfId="1561" priority="1267" operator="containsText" text="Discontinued">
      <formula>NOT(ISERROR(SEARCH("Discontinued",AJ112)))</formula>
    </cfRule>
    <cfRule type="containsText" dxfId="1560" priority="1268" operator="containsText" text="In Question">
      <formula>NOT(ISERROR(SEARCH("In Question",AJ112)))</formula>
    </cfRule>
    <cfRule type="containsText" dxfId="1559" priority="1269" operator="containsText" text="Continued">
      <formula>NOT(ISERROR(SEARCH("Continued",AJ112)))</formula>
    </cfRule>
  </conditionalFormatting>
  <conditionalFormatting sqref="AX116:BE116">
    <cfRule type="containsText" dxfId="1558" priority="1264" operator="containsText" text="Discontinued">
      <formula>NOT(ISERROR(SEARCH("Discontinued",AX116)))</formula>
    </cfRule>
    <cfRule type="containsText" dxfId="1557" priority="1265" operator="containsText" text="In Question">
      <formula>NOT(ISERROR(SEARCH("In Question",AX116)))</formula>
    </cfRule>
    <cfRule type="containsText" dxfId="1556" priority="1266" operator="containsText" text="Continued">
      <formula>NOT(ISERROR(SEARCH("Continued",AX116)))</formula>
    </cfRule>
  </conditionalFormatting>
  <conditionalFormatting sqref="AJ116:AL116 AV116:AW116 AT116 AR116 AP116 AN116">
    <cfRule type="containsText" dxfId="1555" priority="1261" operator="containsText" text="Discontinued">
      <formula>NOT(ISERROR(SEARCH("Discontinued",AJ116)))</formula>
    </cfRule>
    <cfRule type="containsText" dxfId="1554" priority="1262" operator="containsText" text="In Question">
      <formula>NOT(ISERROR(SEARCH("In Question",AJ116)))</formula>
    </cfRule>
    <cfRule type="containsText" dxfId="1553" priority="1263" operator="containsText" text="Continued">
      <formula>NOT(ISERROR(SEARCH("Continued",AJ116)))</formula>
    </cfRule>
  </conditionalFormatting>
  <conditionalFormatting sqref="AX117:BE117">
    <cfRule type="containsText" dxfId="1552" priority="1258" operator="containsText" text="Discontinued">
      <formula>NOT(ISERROR(SEARCH("Discontinued",AX117)))</formula>
    </cfRule>
    <cfRule type="containsText" dxfId="1551" priority="1259" operator="containsText" text="In Question">
      <formula>NOT(ISERROR(SEARCH("In Question",AX117)))</formula>
    </cfRule>
    <cfRule type="containsText" dxfId="1550" priority="1260" operator="containsText" text="Continued">
      <formula>NOT(ISERROR(SEARCH("Continued",AX117)))</formula>
    </cfRule>
  </conditionalFormatting>
  <conditionalFormatting sqref="AJ117:AL117 AV117:AW117 AT117 AR117 AP117 AN117">
    <cfRule type="containsText" dxfId="1549" priority="1255" operator="containsText" text="Discontinued">
      <formula>NOT(ISERROR(SEARCH("Discontinued",AJ117)))</formula>
    </cfRule>
    <cfRule type="containsText" dxfId="1548" priority="1256" operator="containsText" text="In Question">
      <formula>NOT(ISERROR(SEARCH("In Question",AJ117)))</formula>
    </cfRule>
    <cfRule type="containsText" dxfId="1547" priority="1257" operator="containsText" text="Continued">
      <formula>NOT(ISERROR(SEARCH("Continued",AJ117)))</formula>
    </cfRule>
  </conditionalFormatting>
  <conditionalFormatting sqref="AX171:BE171">
    <cfRule type="containsText" dxfId="1546" priority="1252" operator="containsText" text="Discontinued">
      <formula>NOT(ISERROR(SEARCH("Discontinued",AX171)))</formula>
    </cfRule>
    <cfRule type="containsText" dxfId="1545" priority="1253" operator="containsText" text="In Question">
      <formula>NOT(ISERROR(SEARCH("In Question",AX171)))</formula>
    </cfRule>
    <cfRule type="containsText" dxfId="1544" priority="1254" operator="containsText" text="Continued">
      <formula>NOT(ISERROR(SEARCH("Continued",AX171)))</formula>
    </cfRule>
  </conditionalFormatting>
  <conditionalFormatting sqref="AJ171:AL171 AV171:AW171 AT171 AR171 AP171 AN171">
    <cfRule type="containsText" dxfId="1543" priority="1249" operator="containsText" text="Discontinued">
      <formula>NOT(ISERROR(SEARCH("Discontinued",AJ171)))</formula>
    </cfRule>
    <cfRule type="containsText" dxfId="1542" priority="1250" operator="containsText" text="In Question">
      <formula>NOT(ISERROR(SEARCH("In Question",AJ171)))</formula>
    </cfRule>
    <cfRule type="containsText" dxfId="1541" priority="1251" operator="containsText" text="Continued">
      <formula>NOT(ISERROR(SEARCH("Continued",AJ171)))</formula>
    </cfRule>
  </conditionalFormatting>
  <conditionalFormatting sqref="AX166:BE166">
    <cfRule type="containsText" dxfId="1540" priority="1246" operator="containsText" text="Discontinued">
      <formula>NOT(ISERROR(SEARCH("Discontinued",AX166)))</formula>
    </cfRule>
    <cfRule type="containsText" dxfId="1539" priority="1247" operator="containsText" text="In Question">
      <formula>NOT(ISERROR(SEARCH("In Question",AX166)))</formula>
    </cfRule>
    <cfRule type="containsText" dxfId="1538" priority="1248" operator="containsText" text="Continued">
      <formula>NOT(ISERROR(SEARCH("Continued",AX166)))</formula>
    </cfRule>
  </conditionalFormatting>
  <conditionalFormatting sqref="AJ166:AL166 AV166:AW166 AT166 AR166 AP166 AN166">
    <cfRule type="containsText" dxfId="1537" priority="1243" operator="containsText" text="Discontinued">
      <formula>NOT(ISERROR(SEARCH("Discontinued",AJ166)))</formula>
    </cfRule>
    <cfRule type="containsText" dxfId="1536" priority="1244" operator="containsText" text="In Question">
      <formula>NOT(ISERROR(SEARCH("In Question",AJ166)))</formula>
    </cfRule>
    <cfRule type="containsText" dxfId="1535" priority="1245" operator="containsText" text="Continued">
      <formula>NOT(ISERROR(SEARCH("Continued",AJ166)))</formula>
    </cfRule>
  </conditionalFormatting>
  <conditionalFormatting sqref="AX167:BE167">
    <cfRule type="containsText" dxfId="1534" priority="1240" operator="containsText" text="Discontinued">
      <formula>NOT(ISERROR(SEARCH("Discontinued",AX167)))</formula>
    </cfRule>
    <cfRule type="containsText" dxfId="1533" priority="1241" operator="containsText" text="In Question">
      <formula>NOT(ISERROR(SEARCH("In Question",AX167)))</formula>
    </cfRule>
    <cfRule type="containsText" dxfId="1532" priority="1242" operator="containsText" text="Continued">
      <formula>NOT(ISERROR(SEARCH("Continued",AX167)))</formula>
    </cfRule>
  </conditionalFormatting>
  <conditionalFormatting sqref="AJ167:AL167 AV167:AW167 AT167 AR167 AP167 AN167">
    <cfRule type="containsText" dxfId="1531" priority="1237" operator="containsText" text="Discontinued">
      <formula>NOT(ISERROR(SEARCH("Discontinued",AJ167)))</formula>
    </cfRule>
    <cfRule type="containsText" dxfId="1530" priority="1238" operator="containsText" text="In Question">
      <formula>NOT(ISERROR(SEARCH("In Question",AJ167)))</formula>
    </cfRule>
    <cfRule type="containsText" dxfId="1529" priority="1239" operator="containsText" text="Continued">
      <formula>NOT(ISERROR(SEARCH("Continued",AJ167)))</formula>
    </cfRule>
  </conditionalFormatting>
  <conditionalFormatting sqref="AX126:BE126">
    <cfRule type="containsText" dxfId="1528" priority="1234" operator="containsText" text="Discontinued">
      <formula>NOT(ISERROR(SEARCH("Discontinued",AX126)))</formula>
    </cfRule>
    <cfRule type="containsText" dxfId="1527" priority="1235" operator="containsText" text="In Question">
      <formula>NOT(ISERROR(SEARCH("In Question",AX126)))</formula>
    </cfRule>
    <cfRule type="containsText" dxfId="1526" priority="1236" operator="containsText" text="Continued">
      <formula>NOT(ISERROR(SEARCH("Continued",AX126)))</formula>
    </cfRule>
  </conditionalFormatting>
  <conditionalFormatting sqref="AJ126:AL126 AV126:AW126 AT126 AR126 AP126 AN126">
    <cfRule type="containsText" dxfId="1525" priority="1231" operator="containsText" text="Discontinued">
      <formula>NOT(ISERROR(SEARCH("Discontinued",AJ126)))</formula>
    </cfRule>
    <cfRule type="containsText" dxfId="1524" priority="1232" operator="containsText" text="In Question">
      <formula>NOT(ISERROR(SEARCH("In Question",AJ126)))</formula>
    </cfRule>
    <cfRule type="containsText" dxfId="1523" priority="1233" operator="containsText" text="Continued">
      <formula>NOT(ISERROR(SEARCH("Continued",AJ126)))</formula>
    </cfRule>
  </conditionalFormatting>
  <conditionalFormatting sqref="AX128:BE128">
    <cfRule type="containsText" dxfId="1522" priority="1228" operator="containsText" text="Discontinued">
      <formula>NOT(ISERROR(SEARCH("Discontinued",AX128)))</formula>
    </cfRule>
    <cfRule type="containsText" dxfId="1521" priority="1229" operator="containsText" text="In Question">
      <formula>NOT(ISERROR(SEARCH("In Question",AX128)))</formula>
    </cfRule>
    <cfRule type="containsText" dxfId="1520" priority="1230" operator="containsText" text="Continued">
      <formula>NOT(ISERROR(SEARCH("Continued",AX128)))</formula>
    </cfRule>
  </conditionalFormatting>
  <conditionalFormatting sqref="AJ128:AL128 AV128:AW128 AT128 AR128 AP128 AN128">
    <cfRule type="containsText" dxfId="1519" priority="1225" operator="containsText" text="Discontinued">
      <formula>NOT(ISERROR(SEARCH("Discontinued",AJ128)))</formula>
    </cfRule>
    <cfRule type="containsText" dxfId="1518" priority="1226" operator="containsText" text="In Question">
      <formula>NOT(ISERROR(SEARCH("In Question",AJ128)))</formula>
    </cfRule>
    <cfRule type="containsText" dxfId="1517" priority="1227" operator="containsText" text="Continued">
      <formula>NOT(ISERROR(SEARCH("Continued",AJ128)))</formula>
    </cfRule>
  </conditionalFormatting>
  <conditionalFormatting sqref="AX152:BC152">
    <cfRule type="containsText" dxfId="1516" priority="1222" operator="containsText" text="Discontinued">
      <formula>NOT(ISERROR(SEARCH("Discontinued",AX152)))</formula>
    </cfRule>
    <cfRule type="containsText" dxfId="1515" priority="1223" operator="containsText" text="In Question">
      <formula>NOT(ISERROR(SEARCH("In Question",AX152)))</formula>
    </cfRule>
    <cfRule type="containsText" dxfId="1514" priority="1224" operator="containsText" text="Continued">
      <formula>NOT(ISERROR(SEARCH("Continued",AX152)))</formula>
    </cfRule>
  </conditionalFormatting>
  <conditionalFormatting sqref="AJ152:AL152 AV152:AW152 AT152 AR152 AP152 AN152">
    <cfRule type="containsText" dxfId="1513" priority="1219" operator="containsText" text="Discontinued">
      <formula>NOT(ISERROR(SEARCH("Discontinued",AJ152)))</formula>
    </cfRule>
    <cfRule type="containsText" dxfId="1512" priority="1220" operator="containsText" text="In Question">
      <formula>NOT(ISERROR(SEARCH("In Question",AJ152)))</formula>
    </cfRule>
    <cfRule type="containsText" dxfId="1511" priority="1221" operator="containsText" text="Continued">
      <formula>NOT(ISERROR(SEARCH("Continued",AJ152)))</formula>
    </cfRule>
  </conditionalFormatting>
  <conditionalFormatting sqref="AX155:BC157">
    <cfRule type="containsText" dxfId="1510" priority="1216" operator="containsText" text="Discontinued">
      <formula>NOT(ISERROR(SEARCH("Discontinued",AX155)))</formula>
    </cfRule>
    <cfRule type="containsText" dxfId="1509" priority="1217" operator="containsText" text="In Question">
      <formula>NOT(ISERROR(SEARCH("In Question",AX155)))</formula>
    </cfRule>
    <cfRule type="containsText" dxfId="1508" priority="1218" operator="containsText" text="Continued">
      <formula>NOT(ISERROR(SEARCH("Continued",AX155)))</formula>
    </cfRule>
  </conditionalFormatting>
  <conditionalFormatting sqref="AJ155:AL157 AV155:AW157 AT155:AT157 AR155:AR157 AP155:AP157 AN155:AN157">
    <cfRule type="containsText" dxfId="1507" priority="1213" operator="containsText" text="Discontinued">
      <formula>NOT(ISERROR(SEARCH("Discontinued",AJ155)))</formula>
    </cfRule>
    <cfRule type="containsText" dxfId="1506" priority="1214" operator="containsText" text="In Question">
      <formula>NOT(ISERROR(SEARCH("In Question",AJ155)))</formula>
    </cfRule>
    <cfRule type="containsText" dxfId="1505" priority="1215" operator="containsText" text="Continued">
      <formula>NOT(ISERROR(SEARCH("Continued",AJ155)))</formula>
    </cfRule>
  </conditionalFormatting>
  <conditionalFormatting sqref="AX160:BC160">
    <cfRule type="containsText" dxfId="1504" priority="1210" operator="containsText" text="Discontinued">
      <formula>NOT(ISERROR(SEARCH("Discontinued",AX160)))</formula>
    </cfRule>
    <cfRule type="containsText" dxfId="1503" priority="1211" operator="containsText" text="In Question">
      <formula>NOT(ISERROR(SEARCH("In Question",AX160)))</formula>
    </cfRule>
    <cfRule type="containsText" dxfId="1502" priority="1212" operator="containsText" text="Continued">
      <formula>NOT(ISERROR(SEARCH("Continued",AX160)))</formula>
    </cfRule>
  </conditionalFormatting>
  <conditionalFormatting sqref="AJ160:AL160 AV160:AW160 AT160 AR160 AP160 AN160">
    <cfRule type="containsText" dxfId="1501" priority="1207" operator="containsText" text="Discontinued">
      <formula>NOT(ISERROR(SEARCH("Discontinued",AJ160)))</formula>
    </cfRule>
    <cfRule type="containsText" dxfId="1500" priority="1208" operator="containsText" text="In Question">
      <formula>NOT(ISERROR(SEARCH("In Question",AJ160)))</formula>
    </cfRule>
    <cfRule type="containsText" dxfId="1499" priority="1209" operator="containsText" text="Continued">
      <formula>NOT(ISERROR(SEARCH("Continued",AJ160)))</formula>
    </cfRule>
  </conditionalFormatting>
  <conditionalFormatting sqref="AX169:BE169">
    <cfRule type="containsText" dxfId="1498" priority="1204" operator="containsText" text="Discontinued">
      <formula>NOT(ISERROR(SEARCH("Discontinued",AX169)))</formula>
    </cfRule>
    <cfRule type="containsText" dxfId="1497" priority="1205" operator="containsText" text="In Question">
      <formula>NOT(ISERROR(SEARCH("In Question",AX169)))</formula>
    </cfRule>
    <cfRule type="containsText" dxfId="1496" priority="1206" operator="containsText" text="Continued">
      <formula>NOT(ISERROR(SEARCH("Continued",AX169)))</formula>
    </cfRule>
  </conditionalFormatting>
  <conditionalFormatting sqref="AJ169:AL169 AV169:AW169 AT169 AR169 AP169 AN169">
    <cfRule type="containsText" dxfId="1495" priority="1201" operator="containsText" text="Discontinued">
      <formula>NOT(ISERROR(SEARCH("Discontinued",AJ169)))</formula>
    </cfRule>
    <cfRule type="containsText" dxfId="1494" priority="1202" operator="containsText" text="In Question">
      <formula>NOT(ISERROR(SEARCH("In Question",AJ169)))</formula>
    </cfRule>
    <cfRule type="containsText" dxfId="1493" priority="1203" operator="containsText" text="Continued">
      <formula>NOT(ISERROR(SEARCH("Continued",AJ169)))</formula>
    </cfRule>
  </conditionalFormatting>
  <conditionalFormatting sqref="BF168:BG168">
    <cfRule type="containsText" dxfId="1492" priority="1198" operator="containsText" text="Discontinued">
      <formula>NOT(ISERROR(SEARCH("Discontinued",BF168)))</formula>
    </cfRule>
    <cfRule type="containsText" dxfId="1491" priority="1199" operator="containsText" text="In Question">
      <formula>NOT(ISERROR(SEARCH("In Question",BF168)))</formula>
    </cfRule>
    <cfRule type="containsText" dxfId="1490" priority="1200" operator="containsText" text="Continued">
      <formula>NOT(ISERROR(SEARCH("Continued",BF168)))</formula>
    </cfRule>
  </conditionalFormatting>
  <conditionalFormatting sqref="AX168:BE168">
    <cfRule type="containsText" dxfId="1489" priority="1195" operator="containsText" text="Discontinued">
      <formula>NOT(ISERROR(SEARCH("Discontinued",AX168)))</formula>
    </cfRule>
    <cfRule type="containsText" dxfId="1488" priority="1196" operator="containsText" text="In Question">
      <formula>NOT(ISERROR(SEARCH("In Question",AX168)))</formula>
    </cfRule>
    <cfRule type="containsText" dxfId="1487" priority="1197" operator="containsText" text="Continued">
      <formula>NOT(ISERROR(SEARCH("Continued",AX168)))</formula>
    </cfRule>
  </conditionalFormatting>
  <conditionalFormatting sqref="AJ168:AL168 AV168:AW168 AT168 AR168 AP168 AN168">
    <cfRule type="containsText" dxfId="1486" priority="1192" operator="containsText" text="Discontinued">
      <formula>NOT(ISERROR(SEARCH("Discontinued",AJ168)))</formula>
    </cfRule>
    <cfRule type="containsText" dxfId="1485" priority="1193" operator="containsText" text="In Question">
      <formula>NOT(ISERROR(SEARCH("In Question",AJ168)))</formula>
    </cfRule>
    <cfRule type="containsText" dxfId="1484" priority="1194" operator="containsText" text="Continued">
      <formula>NOT(ISERROR(SEARCH("Continued",AJ168)))</formula>
    </cfRule>
  </conditionalFormatting>
  <conditionalFormatting sqref="BF165:BG165">
    <cfRule type="containsText" dxfId="1483" priority="1189" operator="containsText" text="Discontinued">
      <formula>NOT(ISERROR(SEARCH("Discontinued",BF165)))</formula>
    </cfRule>
    <cfRule type="containsText" dxfId="1482" priority="1190" operator="containsText" text="In Question">
      <formula>NOT(ISERROR(SEARCH("In Question",BF165)))</formula>
    </cfRule>
    <cfRule type="containsText" dxfId="1481" priority="1191" operator="containsText" text="Continued">
      <formula>NOT(ISERROR(SEARCH("Continued",BF165)))</formula>
    </cfRule>
  </conditionalFormatting>
  <conditionalFormatting sqref="AX165:BE165">
    <cfRule type="containsText" dxfId="1480" priority="1186" operator="containsText" text="Discontinued">
      <formula>NOT(ISERROR(SEARCH("Discontinued",AX165)))</formula>
    </cfRule>
    <cfRule type="containsText" dxfId="1479" priority="1187" operator="containsText" text="In Question">
      <formula>NOT(ISERROR(SEARCH("In Question",AX165)))</formula>
    </cfRule>
    <cfRule type="containsText" dxfId="1478" priority="1188" operator="containsText" text="Continued">
      <formula>NOT(ISERROR(SEARCH("Continued",AX165)))</formula>
    </cfRule>
  </conditionalFormatting>
  <conditionalFormatting sqref="AJ165:AL165 AV165:AW165 AT165 AR165 AP165 AN165">
    <cfRule type="containsText" dxfId="1477" priority="1183" operator="containsText" text="Discontinued">
      <formula>NOT(ISERROR(SEARCH("Discontinued",AJ165)))</formula>
    </cfRule>
    <cfRule type="containsText" dxfId="1476" priority="1184" operator="containsText" text="In Question">
      <formula>NOT(ISERROR(SEARCH("In Question",AJ165)))</formula>
    </cfRule>
    <cfRule type="containsText" dxfId="1475" priority="1185" operator="containsText" text="Continued">
      <formula>NOT(ISERROR(SEARCH("Continued",AJ165)))</formula>
    </cfRule>
  </conditionalFormatting>
  <conditionalFormatting sqref="BF157:BG157">
    <cfRule type="containsText" dxfId="1474" priority="1180" operator="containsText" text="Discontinued">
      <formula>NOT(ISERROR(SEARCH("Discontinued",BF157)))</formula>
    </cfRule>
    <cfRule type="containsText" dxfId="1473" priority="1181" operator="containsText" text="In Question">
      <formula>NOT(ISERROR(SEARCH("In Question",BF157)))</formula>
    </cfRule>
    <cfRule type="containsText" dxfId="1472" priority="1182" operator="containsText" text="Continued">
      <formula>NOT(ISERROR(SEARCH("Continued",BF157)))</formula>
    </cfRule>
  </conditionalFormatting>
  <conditionalFormatting sqref="AX157:BE157">
    <cfRule type="containsText" dxfId="1471" priority="1177" operator="containsText" text="Discontinued">
      <formula>NOT(ISERROR(SEARCH("Discontinued",AX157)))</formula>
    </cfRule>
    <cfRule type="containsText" dxfId="1470" priority="1178" operator="containsText" text="In Question">
      <formula>NOT(ISERROR(SEARCH("In Question",AX157)))</formula>
    </cfRule>
    <cfRule type="containsText" dxfId="1469" priority="1179" operator="containsText" text="Continued">
      <formula>NOT(ISERROR(SEARCH("Continued",AX157)))</formula>
    </cfRule>
  </conditionalFormatting>
  <conditionalFormatting sqref="AJ157:AL157 AV157:AW157 AT157 AR157 AP157 AN157">
    <cfRule type="containsText" dxfId="1468" priority="1174" operator="containsText" text="Discontinued">
      <formula>NOT(ISERROR(SEARCH("Discontinued",AJ157)))</formula>
    </cfRule>
    <cfRule type="containsText" dxfId="1467" priority="1175" operator="containsText" text="In Question">
      <formula>NOT(ISERROR(SEARCH("In Question",AJ157)))</formula>
    </cfRule>
    <cfRule type="containsText" dxfId="1466" priority="1176" operator="containsText" text="Continued">
      <formula>NOT(ISERROR(SEARCH("Continued",AJ157)))</formula>
    </cfRule>
  </conditionalFormatting>
  <conditionalFormatting sqref="BF113:BG113">
    <cfRule type="containsText" dxfId="1465" priority="1171" operator="containsText" text="Discontinued">
      <formula>NOT(ISERROR(SEARCH("Discontinued",BF113)))</formula>
    </cfRule>
    <cfRule type="containsText" dxfId="1464" priority="1172" operator="containsText" text="In Question">
      <formula>NOT(ISERROR(SEARCH("In Question",BF113)))</formula>
    </cfRule>
    <cfRule type="containsText" dxfId="1463" priority="1173" operator="containsText" text="Continued">
      <formula>NOT(ISERROR(SEARCH("Continued",BF113)))</formula>
    </cfRule>
  </conditionalFormatting>
  <conditionalFormatting sqref="AX113:BE113">
    <cfRule type="containsText" dxfId="1462" priority="1168" operator="containsText" text="Discontinued">
      <formula>NOT(ISERROR(SEARCH("Discontinued",AX113)))</formula>
    </cfRule>
    <cfRule type="containsText" dxfId="1461" priority="1169" operator="containsText" text="In Question">
      <formula>NOT(ISERROR(SEARCH("In Question",AX113)))</formula>
    </cfRule>
    <cfRule type="containsText" dxfId="1460" priority="1170" operator="containsText" text="Continued">
      <formula>NOT(ISERROR(SEARCH("Continued",AX113)))</formula>
    </cfRule>
  </conditionalFormatting>
  <conditionalFormatting sqref="AJ113:AL113 AV113:AW113 AT113 AR113 AP113 AN113">
    <cfRule type="containsText" dxfId="1459" priority="1165" operator="containsText" text="Discontinued">
      <formula>NOT(ISERROR(SEARCH("Discontinued",AJ113)))</formula>
    </cfRule>
    <cfRule type="containsText" dxfId="1458" priority="1166" operator="containsText" text="In Question">
      <formula>NOT(ISERROR(SEARCH("In Question",AJ113)))</formula>
    </cfRule>
    <cfRule type="containsText" dxfId="1457" priority="1167" operator="containsText" text="Continued">
      <formula>NOT(ISERROR(SEARCH("Continued",AJ113)))</formula>
    </cfRule>
  </conditionalFormatting>
  <conditionalFormatting sqref="BF114:BG114">
    <cfRule type="containsText" dxfId="1456" priority="1162" operator="containsText" text="Discontinued">
      <formula>NOT(ISERROR(SEARCH("Discontinued",BF114)))</formula>
    </cfRule>
    <cfRule type="containsText" dxfId="1455" priority="1163" operator="containsText" text="In Question">
      <formula>NOT(ISERROR(SEARCH("In Question",BF114)))</formula>
    </cfRule>
    <cfRule type="containsText" dxfId="1454" priority="1164" operator="containsText" text="Continued">
      <formula>NOT(ISERROR(SEARCH("Continued",BF114)))</formula>
    </cfRule>
  </conditionalFormatting>
  <conditionalFormatting sqref="AX114:BE114">
    <cfRule type="containsText" dxfId="1453" priority="1159" operator="containsText" text="Discontinued">
      <formula>NOT(ISERROR(SEARCH("Discontinued",AX114)))</formula>
    </cfRule>
    <cfRule type="containsText" dxfId="1452" priority="1160" operator="containsText" text="In Question">
      <formula>NOT(ISERROR(SEARCH("In Question",AX114)))</formula>
    </cfRule>
    <cfRule type="containsText" dxfId="1451" priority="1161" operator="containsText" text="Continued">
      <formula>NOT(ISERROR(SEARCH("Continued",AX114)))</formula>
    </cfRule>
  </conditionalFormatting>
  <conditionalFormatting sqref="AJ114:AL114 AV114:AW114 AT114 AR114 AP114 AN114">
    <cfRule type="containsText" dxfId="1450" priority="1156" operator="containsText" text="Discontinued">
      <formula>NOT(ISERROR(SEARCH("Discontinued",AJ114)))</formula>
    </cfRule>
    <cfRule type="containsText" dxfId="1449" priority="1157" operator="containsText" text="In Question">
      <formula>NOT(ISERROR(SEARCH("In Question",AJ114)))</formula>
    </cfRule>
    <cfRule type="containsText" dxfId="1448" priority="1158" operator="containsText" text="Continued">
      <formula>NOT(ISERROR(SEARCH("Continued",AJ114)))</formula>
    </cfRule>
  </conditionalFormatting>
  <conditionalFormatting sqref="BF115:BG115">
    <cfRule type="containsText" dxfId="1447" priority="1153" operator="containsText" text="Discontinued">
      <formula>NOT(ISERROR(SEARCH("Discontinued",BF115)))</formula>
    </cfRule>
    <cfRule type="containsText" dxfId="1446" priority="1154" operator="containsText" text="In Question">
      <formula>NOT(ISERROR(SEARCH("In Question",BF115)))</formula>
    </cfRule>
    <cfRule type="containsText" dxfId="1445" priority="1155" operator="containsText" text="Continued">
      <formula>NOT(ISERROR(SEARCH("Continued",BF115)))</formula>
    </cfRule>
  </conditionalFormatting>
  <conditionalFormatting sqref="AX115:BE115">
    <cfRule type="containsText" dxfId="1444" priority="1150" operator="containsText" text="Discontinued">
      <formula>NOT(ISERROR(SEARCH("Discontinued",AX115)))</formula>
    </cfRule>
    <cfRule type="containsText" dxfId="1443" priority="1151" operator="containsText" text="In Question">
      <formula>NOT(ISERROR(SEARCH("In Question",AX115)))</formula>
    </cfRule>
    <cfRule type="containsText" dxfId="1442" priority="1152" operator="containsText" text="Continued">
      <formula>NOT(ISERROR(SEARCH("Continued",AX115)))</formula>
    </cfRule>
  </conditionalFormatting>
  <conditionalFormatting sqref="AJ115:AL115 AV115:AW115 AT115 AR115 AP115 AN115">
    <cfRule type="containsText" dxfId="1441" priority="1147" operator="containsText" text="Discontinued">
      <formula>NOT(ISERROR(SEARCH("Discontinued",AJ115)))</formula>
    </cfRule>
    <cfRule type="containsText" dxfId="1440" priority="1148" operator="containsText" text="In Question">
      <formula>NOT(ISERROR(SEARCH("In Question",AJ115)))</formula>
    </cfRule>
    <cfRule type="containsText" dxfId="1439" priority="1149" operator="containsText" text="Continued">
      <formula>NOT(ISERROR(SEARCH("Continued",AJ115)))</formula>
    </cfRule>
  </conditionalFormatting>
  <conditionalFormatting sqref="BF170:BG170">
    <cfRule type="containsText" dxfId="1438" priority="1144" operator="containsText" text="Discontinued">
      <formula>NOT(ISERROR(SEARCH("Discontinued",BF170)))</formula>
    </cfRule>
    <cfRule type="containsText" dxfId="1437" priority="1145" operator="containsText" text="In Question">
      <formula>NOT(ISERROR(SEARCH("In Question",BF170)))</formula>
    </cfRule>
    <cfRule type="containsText" dxfId="1436" priority="1146" operator="containsText" text="Continued">
      <formula>NOT(ISERROR(SEARCH("Continued",BF170)))</formula>
    </cfRule>
  </conditionalFormatting>
  <conditionalFormatting sqref="AX170:BE170">
    <cfRule type="containsText" dxfId="1435" priority="1141" operator="containsText" text="Discontinued">
      <formula>NOT(ISERROR(SEARCH("Discontinued",AX170)))</formula>
    </cfRule>
    <cfRule type="containsText" dxfId="1434" priority="1142" operator="containsText" text="In Question">
      <formula>NOT(ISERROR(SEARCH("In Question",AX170)))</formula>
    </cfRule>
    <cfRule type="containsText" dxfId="1433" priority="1143" operator="containsText" text="Continued">
      <formula>NOT(ISERROR(SEARCH("Continued",AX170)))</formula>
    </cfRule>
  </conditionalFormatting>
  <conditionalFormatting sqref="AJ170:AL170 AV170:AW170 AT170 AR170 AP170 AN170">
    <cfRule type="containsText" dxfId="1432" priority="1138" operator="containsText" text="Discontinued">
      <formula>NOT(ISERROR(SEARCH("Discontinued",AJ170)))</formula>
    </cfRule>
    <cfRule type="containsText" dxfId="1431" priority="1139" operator="containsText" text="In Question">
      <formula>NOT(ISERROR(SEARCH("In Question",AJ170)))</formula>
    </cfRule>
    <cfRule type="containsText" dxfId="1430" priority="1140" operator="containsText" text="Continued">
      <formula>NOT(ISERROR(SEARCH("Continued",AJ170)))</formula>
    </cfRule>
  </conditionalFormatting>
  <conditionalFormatting sqref="BF172:BG172">
    <cfRule type="containsText" dxfId="1429" priority="1135" operator="containsText" text="Discontinued">
      <formula>NOT(ISERROR(SEARCH("Discontinued",BF172)))</formula>
    </cfRule>
    <cfRule type="containsText" dxfId="1428" priority="1136" operator="containsText" text="In Question">
      <formula>NOT(ISERROR(SEARCH("In Question",BF172)))</formula>
    </cfRule>
    <cfRule type="containsText" dxfId="1427" priority="1137" operator="containsText" text="Continued">
      <formula>NOT(ISERROR(SEARCH("Continued",BF172)))</formula>
    </cfRule>
  </conditionalFormatting>
  <conditionalFormatting sqref="AX172:BE172">
    <cfRule type="containsText" dxfId="1426" priority="1132" operator="containsText" text="Discontinued">
      <formula>NOT(ISERROR(SEARCH("Discontinued",AX172)))</formula>
    </cfRule>
    <cfRule type="containsText" dxfId="1425" priority="1133" operator="containsText" text="In Question">
      <formula>NOT(ISERROR(SEARCH("In Question",AX172)))</formula>
    </cfRule>
    <cfRule type="containsText" dxfId="1424" priority="1134" operator="containsText" text="Continued">
      <formula>NOT(ISERROR(SEARCH("Continued",AX172)))</formula>
    </cfRule>
  </conditionalFormatting>
  <conditionalFormatting sqref="AJ172:AL172 AV172:AW172 AT172 AR172 AP172 AN172">
    <cfRule type="containsText" dxfId="1423" priority="1129" operator="containsText" text="Discontinued">
      <formula>NOT(ISERROR(SEARCH("Discontinued",AJ172)))</formula>
    </cfRule>
    <cfRule type="containsText" dxfId="1422" priority="1130" operator="containsText" text="In Question">
      <formula>NOT(ISERROR(SEARCH("In Question",AJ172)))</formula>
    </cfRule>
    <cfRule type="containsText" dxfId="1421" priority="1131" operator="containsText" text="Continued">
      <formula>NOT(ISERROR(SEARCH("Continued",AJ172)))</formula>
    </cfRule>
  </conditionalFormatting>
  <conditionalFormatting sqref="BH174:BK174">
    <cfRule type="containsText" dxfId="1420" priority="1126" operator="containsText" text="Discontinued">
      <formula>NOT(ISERROR(SEARCH("Discontinued",BH174)))</formula>
    </cfRule>
    <cfRule type="containsText" dxfId="1419" priority="1127" operator="containsText" text="In Question">
      <formula>NOT(ISERROR(SEARCH("In Question",BH174)))</formula>
    </cfRule>
    <cfRule type="containsText" dxfId="1418" priority="1128" operator="containsText" text="Continued">
      <formula>NOT(ISERROR(SEARCH("Continued",BH174)))</formula>
    </cfRule>
  </conditionalFormatting>
  <conditionalFormatting sqref="BF174:BG174">
    <cfRule type="containsText" dxfId="1417" priority="1123" operator="containsText" text="Discontinued">
      <formula>NOT(ISERROR(SEARCH("Discontinued",BF174)))</formula>
    </cfRule>
    <cfRule type="containsText" dxfId="1416" priority="1124" operator="containsText" text="In Question">
      <formula>NOT(ISERROR(SEARCH("In Question",BF174)))</formula>
    </cfRule>
    <cfRule type="containsText" dxfId="1415" priority="1125" operator="containsText" text="Continued">
      <formula>NOT(ISERROR(SEARCH("Continued",BF174)))</formula>
    </cfRule>
  </conditionalFormatting>
  <conditionalFormatting sqref="AX174:BE174">
    <cfRule type="containsText" dxfId="1414" priority="1120" operator="containsText" text="Discontinued">
      <formula>NOT(ISERROR(SEARCH("Discontinued",AX174)))</formula>
    </cfRule>
    <cfRule type="containsText" dxfId="1413" priority="1121" operator="containsText" text="In Question">
      <formula>NOT(ISERROR(SEARCH("In Question",AX174)))</formula>
    </cfRule>
    <cfRule type="containsText" dxfId="1412" priority="1122" operator="containsText" text="Continued">
      <formula>NOT(ISERROR(SEARCH("Continued",AX174)))</formula>
    </cfRule>
  </conditionalFormatting>
  <conditionalFormatting sqref="AJ174:AL174 AV174:AW174 AT174 AR174 AP174 AN174">
    <cfRule type="containsText" dxfId="1411" priority="1117" operator="containsText" text="Discontinued">
      <formula>NOT(ISERROR(SEARCH("Discontinued",AJ174)))</formula>
    </cfRule>
    <cfRule type="containsText" dxfId="1410" priority="1118" operator="containsText" text="In Question">
      <formula>NOT(ISERROR(SEARCH("In Question",AJ174)))</formula>
    </cfRule>
    <cfRule type="containsText" dxfId="1409" priority="1119" operator="containsText" text="Continued">
      <formula>NOT(ISERROR(SEARCH("Continued",AJ174)))</formula>
    </cfRule>
  </conditionalFormatting>
  <conditionalFormatting sqref="BH175:BK175">
    <cfRule type="containsText" dxfId="1408" priority="1114" operator="containsText" text="Discontinued">
      <formula>NOT(ISERROR(SEARCH("Discontinued",BH175)))</formula>
    </cfRule>
    <cfRule type="containsText" dxfId="1407" priority="1115" operator="containsText" text="In Question">
      <formula>NOT(ISERROR(SEARCH("In Question",BH175)))</formula>
    </cfRule>
    <cfRule type="containsText" dxfId="1406" priority="1116" operator="containsText" text="Continued">
      <formula>NOT(ISERROR(SEARCH("Continued",BH175)))</formula>
    </cfRule>
  </conditionalFormatting>
  <conditionalFormatting sqref="BF175:BG175">
    <cfRule type="containsText" dxfId="1405" priority="1111" operator="containsText" text="Discontinued">
      <formula>NOT(ISERROR(SEARCH("Discontinued",BF175)))</formula>
    </cfRule>
    <cfRule type="containsText" dxfId="1404" priority="1112" operator="containsText" text="In Question">
      <formula>NOT(ISERROR(SEARCH("In Question",BF175)))</formula>
    </cfRule>
    <cfRule type="containsText" dxfId="1403" priority="1113" operator="containsText" text="Continued">
      <formula>NOT(ISERROR(SEARCH("Continued",BF175)))</formula>
    </cfRule>
  </conditionalFormatting>
  <conditionalFormatting sqref="AX175:BE175">
    <cfRule type="containsText" dxfId="1402" priority="1108" operator="containsText" text="Discontinued">
      <formula>NOT(ISERROR(SEARCH("Discontinued",AX175)))</formula>
    </cfRule>
    <cfRule type="containsText" dxfId="1401" priority="1109" operator="containsText" text="In Question">
      <formula>NOT(ISERROR(SEARCH("In Question",AX175)))</formula>
    </cfRule>
    <cfRule type="containsText" dxfId="1400" priority="1110" operator="containsText" text="Continued">
      <formula>NOT(ISERROR(SEARCH("Continued",AX175)))</formula>
    </cfRule>
  </conditionalFormatting>
  <conditionalFormatting sqref="AJ175:AL175 AV175:AW175 AT175 AR175 AP175 AN175">
    <cfRule type="containsText" dxfId="1399" priority="1105" operator="containsText" text="Discontinued">
      <formula>NOT(ISERROR(SEARCH("Discontinued",AJ175)))</formula>
    </cfRule>
    <cfRule type="containsText" dxfId="1398" priority="1106" operator="containsText" text="In Question">
      <formula>NOT(ISERROR(SEARCH("In Question",AJ175)))</formula>
    </cfRule>
    <cfRule type="containsText" dxfId="1397" priority="1107" operator="containsText" text="Continued">
      <formula>NOT(ISERROR(SEARCH("Continued",AJ175)))</formula>
    </cfRule>
  </conditionalFormatting>
  <conditionalFormatting sqref="BH176:BK176">
    <cfRule type="containsText" dxfId="1396" priority="1102" operator="containsText" text="Discontinued">
      <formula>NOT(ISERROR(SEARCH("Discontinued",BH176)))</formula>
    </cfRule>
    <cfRule type="containsText" dxfId="1395" priority="1103" operator="containsText" text="In Question">
      <formula>NOT(ISERROR(SEARCH("In Question",BH176)))</formula>
    </cfRule>
    <cfRule type="containsText" dxfId="1394" priority="1104" operator="containsText" text="Continued">
      <formula>NOT(ISERROR(SEARCH("Continued",BH176)))</formula>
    </cfRule>
  </conditionalFormatting>
  <conditionalFormatting sqref="BF176:BG176">
    <cfRule type="containsText" dxfId="1393" priority="1099" operator="containsText" text="Discontinued">
      <formula>NOT(ISERROR(SEARCH("Discontinued",BF176)))</formula>
    </cfRule>
    <cfRule type="containsText" dxfId="1392" priority="1100" operator="containsText" text="In Question">
      <formula>NOT(ISERROR(SEARCH("In Question",BF176)))</formula>
    </cfRule>
    <cfRule type="containsText" dxfId="1391" priority="1101" operator="containsText" text="Continued">
      <formula>NOT(ISERROR(SEARCH("Continued",BF176)))</formula>
    </cfRule>
  </conditionalFormatting>
  <conditionalFormatting sqref="AX176:BE176">
    <cfRule type="containsText" dxfId="1390" priority="1096" operator="containsText" text="Discontinued">
      <formula>NOT(ISERROR(SEARCH("Discontinued",AX176)))</formula>
    </cfRule>
    <cfRule type="containsText" dxfId="1389" priority="1097" operator="containsText" text="In Question">
      <formula>NOT(ISERROR(SEARCH("In Question",AX176)))</formula>
    </cfRule>
    <cfRule type="containsText" dxfId="1388" priority="1098" operator="containsText" text="Continued">
      <formula>NOT(ISERROR(SEARCH("Continued",AX176)))</formula>
    </cfRule>
  </conditionalFormatting>
  <conditionalFormatting sqref="AJ176:AL176 AV176:AW176 AT176 AR176 AP176 AN176">
    <cfRule type="containsText" dxfId="1387" priority="1093" operator="containsText" text="Discontinued">
      <formula>NOT(ISERROR(SEARCH("Discontinued",AJ176)))</formula>
    </cfRule>
    <cfRule type="containsText" dxfId="1386" priority="1094" operator="containsText" text="In Question">
      <formula>NOT(ISERROR(SEARCH("In Question",AJ176)))</formula>
    </cfRule>
    <cfRule type="containsText" dxfId="1385" priority="1095" operator="containsText" text="Continued">
      <formula>NOT(ISERROR(SEARCH("Continued",AJ176)))</formula>
    </cfRule>
  </conditionalFormatting>
  <conditionalFormatting sqref="BH178:BK178">
    <cfRule type="containsText" dxfId="1384" priority="1090" operator="containsText" text="Discontinued">
      <formula>NOT(ISERROR(SEARCH("Discontinued",BH178)))</formula>
    </cfRule>
    <cfRule type="containsText" dxfId="1383" priority="1091" operator="containsText" text="In Question">
      <formula>NOT(ISERROR(SEARCH("In Question",BH178)))</formula>
    </cfRule>
    <cfRule type="containsText" dxfId="1382" priority="1092" operator="containsText" text="Continued">
      <formula>NOT(ISERROR(SEARCH("Continued",BH178)))</formula>
    </cfRule>
  </conditionalFormatting>
  <conditionalFormatting sqref="BF178:BG178">
    <cfRule type="containsText" dxfId="1381" priority="1087" operator="containsText" text="Discontinued">
      <formula>NOT(ISERROR(SEARCH("Discontinued",BF178)))</formula>
    </cfRule>
    <cfRule type="containsText" dxfId="1380" priority="1088" operator="containsText" text="In Question">
      <formula>NOT(ISERROR(SEARCH("In Question",BF178)))</formula>
    </cfRule>
    <cfRule type="containsText" dxfId="1379" priority="1089" operator="containsText" text="Continued">
      <formula>NOT(ISERROR(SEARCH("Continued",BF178)))</formula>
    </cfRule>
  </conditionalFormatting>
  <conditionalFormatting sqref="AX178:BE178">
    <cfRule type="containsText" dxfId="1378" priority="1084" operator="containsText" text="Discontinued">
      <formula>NOT(ISERROR(SEARCH("Discontinued",AX178)))</formula>
    </cfRule>
    <cfRule type="containsText" dxfId="1377" priority="1085" operator="containsText" text="In Question">
      <formula>NOT(ISERROR(SEARCH("In Question",AX178)))</formula>
    </cfRule>
    <cfRule type="containsText" dxfId="1376" priority="1086" operator="containsText" text="Continued">
      <formula>NOT(ISERROR(SEARCH("Continued",AX178)))</formula>
    </cfRule>
  </conditionalFormatting>
  <conditionalFormatting sqref="AJ178:AL178 AV178:AW178 AT178 AR178 AP178 AN178">
    <cfRule type="containsText" dxfId="1375" priority="1081" operator="containsText" text="Discontinued">
      <formula>NOT(ISERROR(SEARCH("Discontinued",AJ178)))</formula>
    </cfRule>
    <cfRule type="containsText" dxfId="1374" priority="1082" operator="containsText" text="In Question">
      <formula>NOT(ISERROR(SEARCH("In Question",AJ178)))</formula>
    </cfRule>
    <cfRule type="containsText" dxfId="1373" priority="1083" operator="containsText" text="Continued">
      <formula>NOT(ISERROR(SEARCH("Continued",AJ178)))</formula>
    </cfRule>
  </conditionalFormatting>
  <conditionalFormatting sqref="AJ177:AL177 AV177:AW177 AT177 AR177 AP177 AN177">
    <cfRule type="containsText" dxfId="1372" priority="1048" operator="containsText" text="Discontinued">
      <formula>NOT(ISERROR(SEARCH("Discontinued",AJ177)))</formula>
    </cfRule>
    <cfRule type="containsText" dxfId="1371" priority="1049" operator="containsText" text="In Question">
      <formula>NOT(ISERROR(SEARCH("In Question",AJ177)))</formula>
    </cfRule>
    <cfRule type="containsText" dxfId="1370" priority="1050" operator="containsText" text="Continued">
      <formula>NOT(ISERROR(SEARCH("Continued",AJ177)))</formula>
    </cfRule>
  </conditionalFormatting>
  <conditionalFormatting sqref="BF181:BG181">
    <cfRule type="containsText" dxfId="1369" priority="1075" operator="containsText" text="Discontinued">
      <formula>NOT(ISERROR(SEARCH("Discontinued",BF181)))</formula>
    </cfRule>
    <cfRule type="containsText" dxfId="1368" priority="1076" operator="containsText" text="In Question">
      <formula>NOT(ISERROR(SEARCH("In Question",BF181)))</formula>
    </cfRule>
    <cfRule type="containsText" dxfId="1367" priority="1077" operator="containsText" text="Continued">
      <formula>NOT(ISERROR(SEARCH("Continued",BF181)))</formula>
    </cfRule>
  </conditionalFormatting>
  <conditionalFormatting sqref="AX181:BE181">
    <cfRule type="containsText" dxfId="1366" priority="1072" operator="containsText" text="Discontinued">
      <formula>NOT(ISERROR(SEARCH("Discontinued",AX181)))</formula>
    </cfRule>
    <cfRule type="containsText" dxfId="1365" priority="1073" operator="containsText" text="In Question">
      <formula>NOT(ISERROR(SEARCH("In Question",AX181)))</formula>
    </cfRule>
    <cfRule type="containsText" dxfId="1364" priority="1074" operator="containsText" text="Continued">
      <formula>NOT(ISERROR(SEARCH("Continued",AX181)))</formula>
    </cfRule>
  </conditionalFormatting>
  <conditionalFormatting sqref="AJ181:AL181 AV181:AW181 AT181 AR181 AP181 AN181">
    <cfRule type="containsText" dxfId="1363" priority="1069" operator="containsText" text="Discontinued">
      <formula>NOT(ISERROR(SEARCH("Discontinued",AJ181)))</formula>
    </cfRule>
    <cfRule type="containsText" dxfId="1362" priority="1070" operator="containsText" text="In Question">
      <formula>NOT(ISERROR(SEARCH("In Question",AJ181)))</formula>
    </cfRule>
    <cfRule type="containsText" dxfId="1361" priority="1071" operator="containsText" text="Continued">
      <formula>NOT(ISERROR(SEARCH("Continued",AJ181)))</formula>
    </cfRule>
  </conditionalFormatting>
  <conditionalFormatting sqref="AX199:BE199">
    <cfRule type="containsText" dxfId="1360" priority="1039" operator="containsText" text="Discontinued">
      <formula>NOT(ISERROR(SEARCH("Discontinued",AX199)))</formula>
    </cfRule>
    <cfRule type="containsText" dxfId="1359" priority="1040" operator="containsText" text="In Question">
      <formula>NOT(ISERROR(SEARCH("In Question",AX199)))</formula>
    </cfRule>
    <cfRule type="containsText" dxfId="1358" priority="1041" operator="containsText" text="Continued">
      <formula>NOT(ISERROR(SEARCH("Continued",AX199)))</formula>
    </cfRule>
  </conditionalFormatting>
  <conditionalFormatting sqref="BF183:BG183">
    <cfRule type="containsText" dxfId="1357" priority="1063" operator="containsText" text="Discontinued">
      <formula>NOT(ISERROR(SEARCH("Discontinued",BF183)))</formula>
    </cfRule>
    <cfRule type="containsText" dxfId="1356" priority="1064" operator="containsText" text="In Question">
      <formula>NOT(ISERROR(SEARCH("In Question",BF183)))</formula>
    </cfRule>
    <cfRule type="containsText" dxfId="1355" priority="1065" operator="containsText" text="Continued">
      <formula>NOT(ISERROR(SEARCH("Continued",BF183)))</formula>
    </cfRule>
  </conditionalFormatting>
  <conditionalFormatting sqref="AX183:BE183">
    <cfRule type="containsText" dxfId="1354" priority="1060" operator="containsText" text="Discontinued">
      <formula>NOT(ISERROR(SEARCH("Discontinued",AX183)))</formula>
    </cfRule>
    <cfRule type="containsText" dxfId="1353" priority="1061" operator="containsText" text="In Question">
      <formula>NOT(ISERROR(SEARCH("In Question",AX183)))</formula>
    </cfRule>
    <cfRule type="containsText" dxfId="1352" priority="1062" operator="containsText" text="Continued">
      <formula>NOT(ISERROR(SEARCH("Continued",AX183)))</formula>
    </cfRule>
  </conditionalFormatting>
  <conditionalFormatting sqref="AJ183:AL183 AV183:AW183 AT183 AR183 AP183 AN183">
    <cfRule type="containsText" dxfId="1351" priority="1057" operator="containsText" text="Discontinued">
      <formula>NOT(ISERROR(SEARCH("Discontinued",AJ183)))</formula>
    </cfRule>
    <cfRule type="containsText" dxfId="1350" priority="1058" operator="containsText" text="In Question">
      <formula>NOT(ISERROR(SEARCH("In Question",AJ183)))</formula>
    </cfRule>
    <cfRule type="containsText" dxfId="1349" priority="1059" operator="containsText" text="Continued">
      <formula>NOT(ISERROR(SEARCH("Continued",AJ183)))</formula>
    </cfRule>
  </conditionalFormatting>
  <conditionalFormatting sqref="BF177:BG177">
    <cfRule type="containsText" dxfId="1348" priority="1054" operator="containsText" text="Discontinued">
      <formula>NOT(ISERROR(SEARCH("Discontinued",BF177)))</formula>
    </cfRule>
    <cfRule type="containsText" dxfId="1347" priority="1055" operator="containsText" text="In Question">
      <formula>NOT(ISERROR(SEARCH("In Question",BF177)))</formula>
    </cfRule>
    <cfRule type="containsText" dxfId="1346" priority="1056" operator="containsText" text="Continued">
      <formula>NOT(ISERROR(SEARCH("Continued",BF177)))</formula>
    </cfRule>
  </conditionalFormatting>
  <conditionalFormatting sqref="AX177:BE177">
    <cfRule type="containsText" dxfId="1345" priority="1051" operator="containsText" text="Discontinued">
      <formula>NOT(ISERROR(SEARCH("Discontinued",AX177)))</formula>
    </cfRule>
    <cfRule type="containsText" dxfId="1344" priority="1052" operator="containsText" text="In Question">
      <formula>NOT(ISERROR(SEARCH("In Question",AX177)))</formula>
    </cfRule>
    <cfRule type="containsText" dxfId="1343" priority="1053" operator="containsText" text="Continued">
      <formula>NOT(ISERROR(SEARCH("Continued",AX177)))</formula>
    </cfRule>
  </conditionalFormatting>
  <conditionalFormatting sqref="BH199:BK199">
    <cfRule type="containsText" dxfId="1342" priority="1045" operator="containsText" text="Discontinued">
      <formula>NOT(ISERROR(SEARCH("Discontinued",BH199)))</formula>
    </cfRule>
    <cfRule type="containsText" dxfId="1341" priority="1046" operator="containsText" text="In Question">
      <formula>NOT(ISERROR(SEARCH("In Question",BH199)))</formula>
    </cfRule>
    <cfRule type="containsText" dxfId="1340" priority="1047" operator="containsText" text="Continued">
      <formula>NOT(ISERROR(SEARCH("Continued",BH199)))</formula>
    </cfRule>
  </conditionalFormatting>
  <conditionalFormatting sqref="BF199:BG199">
    <cfRule type="containsText" dxfId="1339" priority="1042" operator="containsText" text="Discontinued">
      <formula>NOT(ISERROR(SEARCH("Discontinued",BF199)))</formula>
    </cfRule>
    <cfRule type="containsText" dxfId="1338" priority="1043" operator="containsText" text="In Question">
      <formula>NOT(ISERROR(SEARCH("In Question",BF199)))</formula>
    </cfRule>
    <cfRule type="containsText" dxfId="1337" priority="1044" operator="containsText" text="Continued">
      <formula>NOT(ISERROR(SEARCH("Continued",BF199)))</formula>
    </cfRule>
  </conditionalFormatting>
  <conditionalFormatting sqref="AJ199:AL199 AV199:AW199 AT199 AR199 AP199 AN199">
    <cfRule type="containsText" dxfId="1336" priority="1036" operator="containsText" text="Discontinued">
      <formula>NOT(ISERROR(SEARCH("Discontinued",AJ199)))</formula>
    </cfRule>
    <cfRule type="containsText" dxfId="1335" priority="1037" operator="containsText" text="In Question">
      <formula>NOT(ISERROR(SEARCH("In Question",AJ199)))</formula>
    </cfRule>
    <cfRule type="containsText" dxfId="1334" priority="1038" operator="containsText" text="Continued">
      <formula>NOT(ISERROR(SEARCH("Continued",AJ199)))</formula>
    </cfRule>
  </conditionalFormatting>
  <conditionalFormatting sqref="BH200:BK200">
    <cfRule type="containsText" dxfId="1333" priority="1033" operator="containsText" text="Discontinued">
      <formula>NOT(ISERROR(SEARCH("Discontinued",BH200)))</formula>
    </cfRule>
    <cfRule type="containsText" dxfId="1332" priority="1034" operator="containsText" text="In Question">
      <formula>NOT(ISERROR(SEARCH("In Question",BH200)))</formula>
    </cfRule>
    <cfRule type="containsText" dxfId="1331" priority="1035" operator="containsText" text="Continued">
      <formula>NOT(ISERROR(SEARCH("Continued",BH200)))</formula>
    </cfRule>
  </conditionalFormatting>
  <conditionalFormatting sqref="BF200:BG200">
    <cfRule type="containsText" dxfId="1330" priority="1030" operator="containsText" text="Discontinued">
      <formula>NOT(ISERROR(SEARCH("Discontinued",BF200)))</formula>
    </cfRule>
    <cfRule type="containsText" dxfId="1329" priority="1031" operator="containsText" text="In Question">
      <formula>NOT(ISERROR(SEARCH("In Question",BF200)))</formula>
    </cfRule>
    <cfRule type="containsText" dxfId="1328" priority="1032" operator="containsText" text="Continued">
      <formula>NOT(ISERROR(SEARCH("Continued",BF200)))</formula>
    </cfRule>
  </conditionalFormatting>
  <conditionalFormatting sqref="AX200:BE200">
    <cfRule type="containsText" dxfId="1327" priority="1027" operator="containsText" text="Discontinued">
      <formula>NOT(ISERROR(SEARCH("Discontinued",AX200)))</formula>
    </cfRule>
    <cfRule type="containsText" dxfId="1326" priority="1028" operator="containsText" text="In Question">
      <formula>NOT(ISERROR(SEARCH("In Question",AX200)))</formula>
    </cfRule>
    <cfRule type="containsText" dxfId="1325" priority="1029" operator="containsText" text="Continued">
      <formula>NOT(ISERROR(SEARCH("Continued",AX200)))</formula>
    </cfRule>
  </conditionalFormatting>
  <conditionalFormatting sqref="AJ200:AL200 AV200:AW200 AT200 AR200 AP200 AN200">
    <cfRule type="containsText" dxfId="1324" priority="1024" operator="containsText" text="Discontinued">
      <formula>NOT(ISERROR(SEARCH("Discontinued",AJ200)))</formula>
    </cfRule>
    <cfRule type="containsText" dxfId="1323" priority="1025" operator="containsText" text="In Question">
      <formula>NOT(ISERROR(SEARCH("In Question",AJ200)))</formula>
    </cfRule>
    <cfRule type="containsText" dxfId="1322" priority="1026" operator="containsText" text="Continued">
      <formula>NOT(ISERROR(SEARCH("Continued",AJ200)))</formula>
    </cfRule>
  </conditionalFormatting>
  <conditionalFormatting sqref="BH203:BK203">
    <cfRule type="containsText" dxfId="1321" priority="1021" operator="containsText" text="Discontinued">
      <formula>NOT(ISERROR(SEARCH("Discontinued",BH203)))</formula>
    </cfRule>
    <cfRule type="containsText" dxfId="1320" priority="1022" operator="containsText" text="In Question">
      <formula>NOT(ISERROR(SEARCH("In Question",BH203)))</formula>
    </cfRule>
    <cfRule type="containsText" dxfId="1319" priority="1023" operator="containsText" text="Continued">
      <formula>NOT(ISERROR(SEARCH("Continued",BH203)))</formula>
    </cfRule>
  </conditionalFormatting>
  <conditionalFormatting sqref="BF203:BG203">
    <cfRule type="containsText" dxfId="1318" priority="1018" operator="containsText" text="Discontinued">
      <formula>NOT(ISERROR(SEARCH("Discontinued",BF203)))</formula>
    </cfRule>
    <cfRule type="containsText" dxfId="1317" priority="1019" operator="containsText" text="In Question">
      <formula>NOT(ISERROR(SEARCH("In Question",BF203)))</formula>
    </cfRule>
    <cfRule type="containsText" dxfId="1316" priority="1020" operator="containsText" text="Continued">
      <formula>NOT(ISERROR(SEARCH("Continued",BF203)))</formula>
    </cfRule>
  </conditionalFormatting>
  <conditionalFormatting sqref="AX203:BE203">
    <cfRule type="containsText" dxfId="1315" priority="1015" operator="containsText" text="Discontinued">
      <formula>NOT(ISERROR(SEARCH("Discontinued",AX203)))</formula>
    </cfRule>
    <cfRule type="containsText" dxfId="1314" priority="1016" operator="containsText" text="In Question">
      <formula>NOT(ISERROR(SEARCH("In Question",AX203)))</formula>
    </cfRule>
    <cfRule type="containsText" dxfId="1313" priority="1017" operator="containsText" text="Continued">
      <formula>NOT(ISERROR(SEARCH("Continued",AX203)))</formula>
    </cfRule>
  </conditionalFormatting>
  <conditionalFormatting sqref="AJ203:AL203 AV203:AW203 AT203 AR203 AP203 AN203">
    <cfRule type="containsText" dxfId="1312" priority="1012" operator="containsText" text="Discontinued">
      <formula>NOT(ISERROR(SEARCH("Discontinued",AJ203)))</formula>
    </cfRule>
    <cfRule type="containsText" dxfId="1311" priority="1013" operator="containsText" text="In Question">
      <formula>NOT(ISERROR(SEARCH("In Question",AJ203)))</formula>
    </cfRule>
    <cfRule type="containsText" dxfId="1310" priority="1014" operator="containsText" text="Continued">
      <formula>NOT(ISERROR(SEARCH("Continued",AJ203)))</formula>
    </cfRule>
  </conditionalFormatting>
  <conditionalFormatting sqref="BH179:BK179">
    <cfRule type="containsText" dxfId="1309" priority="1009" operator="containsText" text="Discontinued">
      <formula>NOT(ISERROR(SEARCH("Discontinued",BH179)))</formula>
    </cfRule>
    <cfRule type="containsText" dxfId="1308" priority="1010" operator="containsText" text="In Question">
      <formula>NOT(ISERROR(SEARCH("In Question",BH179)))</formula>
    </cfRule>
    <cfRule type="containsText" dxfId="1307" priority="1011" operator="containsText" text="Continued">
      <formula>NOT(ISERROR(SEARCH("Continued",BH179)))</formula>
    </cfRule>
  </conditionalFormatting>
  <conditionalFormatting sqref="BF179:BG179">
    <cfRule type="containsText" dxfId="1306" priority="1006" operator="containsText" text="Discontinued">
      <formula>NOT(ISERROR(SEARCH("Discontinued",BF179)))</formula>
    </cfRule>
    <cfRule type="containsText" dxfId="1305" priority="1007" operator="containsText" text="In Question">
      <formula>NOT(ISERROR(SEARCH("In Question",BF179)))</formula>
    </cfRule>
    <cfRule type="containsText" dxfId="1304" priority="1008" operator="containsText" text="Continued">
      <formula>NOT(ISERROR(SEARCH("Continued",BF179)))</formula>
    </cfRule>
  </conditionalFormatting>
  <conditionalFormatting sqref="AX179:BE179">
    <cfRule type="containsText" dxfId="1303" priority="1003" operator="containsText" text="Discontinued">
      <formula>NOT(ISERROR(SEARCH("Discontinued",AX179)))</formula>
    </cfRule>
    <cfRule type="containsText" dxfId="1302" priority="1004" operator="containsText" text="In Question">
      <formula>NOT(ISERROR(SEARCH("In Question",AX179)))</formula>
    </cfRule>
    <cfRule type="containsText" dxfId="1301" priority="1005" operator="containsText" text="Continued">
      <formula>NOT(ISERROR(SEARCH("Continued",AX179)))</formula>
    </cfRule>
  </conditionalFormatting>
  <conditionalFormatting sqref="AJ179:AL179 AV179:AW179 AT179 AR179 AP179 AN179">
    <cfRule type="containsText" dxfId="1300" priority="1000" operator="containsText" text="Discontinued">
      <formula>NOT(ISERROR(SEARCH("Discontinued",AJ179)))</formula>
    </cfRule>
    <cfRule type="containsText" dxfId="1299" priority="1001" operator="containsText" text="In Question">
      <formula>NOT(ISERROR(SEARCH("In Question",AJ179)))</formula>
    </cfRule>
    <cfRule type="containsText" dxfId="1298" priority="1002" operator="containsText" text="Continued">
      <formula>NOT(ISERROR(SEARCH("Continued",AJ179)))</formula>
    </cfRule>
  </conditionalFormatting>
  <conditionalFormatting sqref="BH180:BK180">
    <cfRule type="containsText" dxfId="1297" priority="997" operator="containsText" text="Discontinued">
      <formula>NOT(ISERROR(SEARCH("Discontinued",BH180)))</formula>
    </cfRule>
    <cfRule type="containsText" dxfId="1296" priority="998" operator="containsText" text="In Question">
      <formula>NOT(ISERROR(SEARCH("In Question",BH180)))</formula>
    </cfRule>
    <cfRule type="containsText" dxfId="1295" priority="999" operator="containsText" text="Continued">
      <formula>NOT(ISERROR(SEARCH("Continued",BH180)))</formula>
    </cfRule>
  </conditionalFormatting>
  <conditionalFormatting sqref="BF180:BG180">
    <cfRule type="containsText" dxfId="1294" priority="994" operator="containsText" text="Discontinued">
      <formula>NOT(ISERROR(SEARCH("Discontinued",BF180)))</formula>
    </cfRule>
    <cfRule type="containsText" dxfId="1293" priority="995" operator="containsText" text="In Question">
      <formula>NOT(ISERROR(SEARCH("In Question",BF180)))</formula>
    </cfRule>
    <cfRule type="containsText" dxfId="1292" priority="996" operator="containsText" text="Continued">
      <formula>NOT(ISERROR(SEARCH("Continued",BF180)))</formula>
    </cfRule>
  </conditionalFormatting>
  <conditionalFormatting sqref="AX180:BE180">
    <cfRule type="containsText" dxfId="1291" priority="991" operator="containsText" text="Discontinued">
      <formula>NOT(ISERROR(SEARCH("Discontinued",AX180)))</formula>
    </cfRule>
    <cfRule type="containsText" dxfId="1290" priority="992" operator="containsText" text="In Question">
      <formula>NOT(ISERROR(SEARCH("In Question",AX180)))</formula>
    </cfRule>
    <cfRule type="containsText" dxfId="1289" priority="993" operator="containsText" text="Continued">
      <formula>NOT(ISERROR(SEARCH("Continued",AX180)))</formula>
    </cfRule>
  </conditionalFormatting>
  <conditionalFormatting sqref="AJ180:AL180 AV180:AW180 AT180 AR180 AP180 AN180">
    <cfRule type="containsText" dxfId="1288" priority="988" operator="containsText" text="Discontinued">
      <formula>NOT(ISERROR(SEARCH("Discontinued",AJ180)))</formula>
    </cfRule>
    <cfRule type="containsText" dxfId="1287" priority="989" operator="containsText" text="In Question">
      <formula>NOT(ISERROR(SEARCH("In Question",AJ180)))</formula>
    </cfRule>
    <cfRule type="containsText" dxfId="1286" priority="990" operator="containsText" text="Continued">
      <formula>NOT(ISERROR(SEARCH("Continued",AJ180)))</formula>
    </cfRule>
  </conditionalFormatting>
  <conditionalFormatting sqref="BH182:BK182">
    <cfRule type="containsText" dxfId="1285" priority="985" operator="containsText" text="Discontinued">
      <formula>NOT(ISERROR(SEARCH("Discontinued",BH182)))</formula>
    </cfRule>
    <cfRule type="containsText" dxfId="1284" priority="986" operator="containsText" text="In Question">
      <formula>NOT(ISERROR(SEARCH("In Question",BH182)))</formula>
    </cfRule>
    <cfRule type="containsText" dxfId="1283" priority="987" operator="containsText" text="Continued">
      <formula>NOT(ISERROR(SEARCH("Continued",BH182)))</formula>
    </cfRule>
  </conditionalFormatting>
  <conditionalFormatting sqref="BF182:BG182">
    <cfRule type="containsText" dxfId="1282" priority="982" operator="containsText" text="Discontinued">
      <formula>NOT(ISERROR(SEARCH("Discontinued",BF182)))</formula>
    </cfRule>
    <cfRule type="containsText" dxfId="1281" priority="983" operator="containsText" text="In Question">
      <formula>NOT(ISERROR(SEARCH("In Question",BF182)))</formula>
    </cfRule>
    <cfRule type="containsText" dxfId="1280" priority="984" operator="containsText" text="Continued">
      <formula>NOT(ISERROR(SEARCH("Continued",BF182)))</formula>
    </cfRule>
  </conditionalFormatting>
  <conditionalFormatting sqref="AX182:BE182">
    <cfRule type="containsText" dxfId="1279" priority="979" operator="containsText" text="Discontinued">
      <formula>NOT(ISERROR(SEARCH("Discontinued",AX182)))</formula>
    </cfRule>
    <cfRule type="containsText" dxfId="1278" priority="980" operator="containsText" text="In Question">
      <formula>NOT(ISERROR(SEARCH("In Question",AX182)))</formula>
    </cfRule>
    <cfRule type="containsText" dxfId="1277" priority="981" operator="containsText" text="Continued">
      <formula>NOT(ISERROR(SEARCH("Continued",AX182)))</formula>
    </cfRule>
  </conditionalFormatting>
  <conditionalFormatting sqref="AJ182:AL182 AV182:AW182 AT182 AR182 AP182 AN182">
    <cfRule type="containsText" dxfId="1276" priority="976" operator="containsText" text="Discontinued">
      <formula>NOT(ISERROR(SEARCH("Discontinued",AJ182)))</formula>
    </cfRule>
    <cfRule type="containsText" dxfId="1275" priority="977" operator="containsText" text="In Question">
      <formula>NOT(ISERROR(SEARCH("In Question",AJ182)))</formula>
    </cfRule>
    <cfRule type="containsText" dxfId="1274" priority="978" operator="containsText" text="Continued">
      <formula>NOT(ISERROR(SEARCH("Continued",AJ182)))</formula>
    </cfRule>
  </conditionalFormatting>
  <conditionalFormatting sqref="BH184:BK184">
    <cfRule type="containsText" dxfId="1273" priority="973" operator="containsText" text="Discontinued">
      <formula>NOT(ISERROR(SEARCH("Discontinued",BH184)))</formula>
    </cfRule>
    <cfRule type="containsText" dxfId="1272" priority="974" operator="containsText" text="In Question">
      <formula>NOT(ISERROR(SEARCH("In Question",BH184)))</formula>
    </cfRule>
    <cfRule type="containsText" dxfId="1271" priority="975" operator="containsText" text="Continued">
      <formula>NOT(ISERROR(SEARCH("Continued",BH184)))</formula>
    </cfRule>
  </conditionalFormatting>
  <conditionalFormatting sqref="BF184:BG184">
    <cfRule type="containsText" dxfId="1270" priority="970" operator="containsText" text="Discontinued">
      <formula>NOT(ISERROR(SEARCH("Discontinued",BF184)))</formula>
    </cfRule>
    <cfRule type="containsText" dxfId="1269" priority="971" operator="containsText" text="In Question">
      <formula>NOT(ISERROR(SEARCH("In Question",BF184)))</formula>
    </cfRule>
    <cfRule type="containsText" dxfId="1268" priority="972" operator="containsText" text="Continued">
      <formula>NOT(ISERROR(SEARCH("Continued",BF184)))</formula>
    </cfRule>
  </conditionalFormatting>
  <conditionalFormatting sqref="AX184:BE184">
    <cfRule type="containsText" dxfId="1267" priority="967" operator="containsText" text="Discontinued">
      <formula>NOT(ISERROR(SEARCH("Discontinued",AX184)))</formula>
    </cfRule>
    <cfRule type="containsText" dxfId="1266" priority="968" operator="containsText" text="In Question">
      <formula>NOT(ISERROR(SEARCH("In Question",AX184)))</formula>
    </cfRule>
    <cfRule type="containsText" dxfId="1265" priority="969" operator="containsText" text="Continued">
      <formula>NOT(ISERROR(SEARCH("Continued",AX184)))</formula>
    </cfRule>
  </conditionalFormatting>
  <conditionalFormatting sqref="AJ184:AL184 AV184:AW184 AT184 AR184 AP184 AN184">
    <cfRule type="containsText" dxfId="1264" priority="964" operator="containsText" text="Discontinued">
      <formula>NOT(ISERROR(SEARCH("Discontinued",AJ184)))</formula>
    </cfRule>
    <cfRule type="containsText" dxfId="1263" priority="965" operator="containsText" text="In Question">
      <formula>NOT(ISERROR(SEARCH("In Question",AJ184)))</formula>
    </cfRule>
    <cfRule type="containsText" dxfId="1262" priority="966" operator="containsText" text="Continued">
      <formula>NOT(ISERROR(SEARCH("Continued",AJ184)))</formula>
    </cfRule>
  </conditionalFormatting>
  <conditionalFormatting sqref="BH185:BK185">
    <cfRule type="containsText" dxfId="1261" priority="961" operator="containsText" text="Discontinued">
      <formula>NOT(ISERROR(SEARCH("Discontinued",BH185)))</formula>
    </cfRule>
    <cfRule type="containsText" dxfId="1260" priority="962" operator="containsText" text="In Question">
      <formula>NOT(ISERROR(SEARCH("In Question",BH185)))</formula>
    </cfRule>
    <cfRule type="containsText" dxfId="1259" priority="963" operator="containsText" text="Continued">
      <formula>NOT(ISERROR(SEARCH("Continued",BH185)))</formula>
    </cfRule>
  </conditionalFormatting>
  <conditionalFormatting sqref="BF185:BG185">
    <cfRule type="containsText" dxfId="1258" priority="958" operator="containsText" text="Discontinued">
      <formula>NOT(ISERROR(SEARCH("Discontinued",BF185)))</formula>
    </cfRule>
    <cfRule type="containsText" dxfId="1257" priority="959" operator="containsText" text="In Question">
      <formula>NOT(ISERROR(SEARCH("In Question",BF185)))</formula>
    </cfRule>
    <cfRule type="containsText" dxfId="1256" priority="960" operator="containsText" text="Continued">
      <formula>NOT(ISERROR(SEARCH("Continued",BF185)))</formula>
    </cfRule>
  </conditionalFormatting>
  <conditionalFormatting sqref="AX185:BE185">
    <cfRule type="containsText" dxfId="1255" priority="955" operator="containsText" text="Discontinued">
      <formula>NOT(ISERROR(SEARCH("Discontinued",AX185)))</formula>
    </cfRule>
    <cfRule type="containsText" dxfId="1254" priority="956" operator="containsText" text="In Question">
      <formula>NOT(ISERROR(SEARCH("In Question",AX185)))</formula>
    </cfRule>
    <cfRule type="containsText" dxfId="1253" priority="957" operator="containsText" text="Continued">
      <formula>NOT(ISERROR(SEARCH("Continued",AX185)))</formula>
    </cfRule>
  </conditionalFormatting>
  <conditionalFormatting sqref="AJ185:AL185 AV185:AW185 AT185 AR185 AP185 AN185">
    <cfRule type="containsText" dxfId="1252" priority="952" operator="containsText" text="Discontinued">
      <formula>NOT(ISERROR(SEARCH("Discontinued",AJ185)))</formula>
    </cfRule>
    <cfRule type="containsText" dxfId="1251" priority="953" operator="containsText" text="In Question">
      <formula>NOT(ISERROR(SEARCH("In Question",AJ185)))</formula>
    </cfRule>
    <cfRule type="containsText" dxfId="1250" priority="954" operator="containsText" text="Continued">
      <formula>NOT(ISERROR(SEARCH("Continued",AJ185)))</formula>
    </cfRule>
  </conditionalFormatting>
  <conditionalFormatting sqref="BH186:BK186">
    <cfRule type="containsText" dxfId="1249" priority="949" operator="containsText" text="Discontinued">
      <formula>NOT(ISERROR(SEARCH("Discontinued",BH186)))</formula>
    </cfRule>
    <cfRule type="containsText" dxfId="1248" priority="950" operator="containsText" text="In Question">
      <formula>NOT(ISERROR(SEARCH("In Question",BH186)))</formula>
    </cfRule>
    <cfRule type="containsText" dxfId="1247" priority="951" operator="containsText" text="Continued">
      <formula>NOT(ISERROR(SEARCH("Continued",BH186)))</formula>
    </cfRule>
  </conditionalFormatting>
  <conditionalFormatting sqref="BF186:BG186">
    <cfRule type="containsText" dxfId="1246" priority="946" operator="containsText" text="Discontinued">
      <formula>NOT(ISERROR(SEARCH("Discontinued",BF186)))</formula>
    </cfRule>
    <cfRule type="containsText" dxfId="1245" priority="947" operator="containsText" text="In Question">
      <formula>NOT(ISERROR(SEARCH("In Question",BF186)))</formula>
    </cfRule>
    <cfRule type="containsText" dxfId="1244" priority="948" operator="containsText" text="Continued">
      <formula>NOT(ISERROR(SEARCH("Continued",BF186)))</formula>
    </cfRule>
  </conditionalFormatting>
  <conditionalFormatting sqref="AX186:BE186">
    <cfRule type="containsText" dxfId="1243" priority="943" operator="containsText" text="Discontinued">
      <formula>NOT(ISERROR(SEARCH("Discontinued",AX186)))</formula>
    </cfRule>
    <cfRule type="containsText" dxfId="1242" priority="944" operator="containsText" text="In Question">
      <formula>NOT(ISERROR(SEARCH("In Question",AX186)))</formula>
    </cfRule>
    <cfRule type="containsText" dxfId="1241" priority="945" operator="containsText" text="Continued">
      <formula>NOT(ISERROR(SEARCH("Continued",AX186)))</formula>
    </cfRule>
  </conditionalFormatting>
  <conditionalFormatting sqref="AJ186:AL186 AV186:AW186 AT186 AR186 AP186 AN186">
    <cfRule type="containsText" dxfId="1240" priority="940" operator="containsText" text="Discontinued">
      <formula>NOT(ISERROR(SEARCH("Discontinued",AJ186)))</formula>
    </cfRule>
    <cfRule type="containsText" dxfId="1239" priority="941" operator="containsText" text="In Question">
      <formula>NOT(ISERROR(SEARCH("In Question",AJ186)))</formula>
    </cfRule>
    <cfRule type="containsText" dxfId="1238" priority="942" operator="containsText" text="Continued">
      <formula>NOT(ISERROR(SEARCH("Continued",AJ186)))</formula>
    </cfRule>
  </conditionalFormatting>
  <conditionalFormatting sqref="BH173:BK173">
    <cfRule type="containsText" dxfId="1237" priority="937" operator="containsText" text="Discontinued">
      <formula>NOT(ISERROR(SEARCH("Discontinued",BH173)))</formula>
    </cfRule>
    <cfRule type="containsText" dxfId="1236" priority="938" operator="containsText" text="In Question">
      <formula>NOT(ISERROR(SEARCH("In Question",BH173)))</formula>
    </cfRule>
    <cfRule type="containsText" dxfId="1235" priority="939" operator="containsText" text="Continued">
      <formula>NOT(ISERROR(SEARCH("Continued",BH173)))</formula>
    </cfRule>
  </conditionalFormatting>
  <conditionalFormatting sqref="BF173:BG173">
    <cfRule type="containsText" dxfId="1234" priority="934" operator="containsText" text="Discontinued">
      <formula>NOT(ISERROR(SEARCH("Discontinued",BF173)))</formula>
    </cfRule>
    <cfRule type="containsText" dxfId="1233" priority="935" operator="containsText" text="In Question">
      <formula>NOT(ISERROR(SEARCH("In Question",BF173)))</formula>
    </cfRule>
    <cfRule type="containsText" dxfId="1232" priority="936" operator="containsText" text="Continued">
      <formula>NOT(ISERROR(SEARCH("Continued",BF173)))</formula>
    </cfRule>
  </conditionalFormatting>
  <conditionalFormatting sqref="AX173:BE173">
    <cfRule type="containsText" dxfId="1231" priority="931" operator="containsText" text="Discontinued">
      <formula>NOT(ISERROR(SEARCH("Discontinued",AX173)))</formula>
    </cfRule>
    <cfRule type="containsText" dxfId="1230" priority="932" operator="containsText" text="In Question">
      <formula>NOT(ISERROR(SEARCH("In Question",AX173)))</formula>
    </cfRule>
    <cfRule type="containsText" dxfId="1229" priority="933" operator="containsText" text="Continued">
      <formula>NOT(ISERROR(SEARCH("Continued",AX173)))</formula>
    </cfRule>
  </conditionalFormatting>
  <conditionalFormatting sqref="AJ173:AL173 AV173:AW173 AT173 AR173 AP173 AN173">
    <cfRule type="containsText" dxfId="1228" priority="928" operator="containsText" text="Discontinued">
      <formula>NOT(ISERROR(SEARCH("Discontinued",AJ173)))</formula>
    </cfRule>
    <cfRule type="containsText" dxfId="1227" priority="929" operator="containsText" text="In Question">
      <formula>NOT(ISERROR(SEARCH("In Question",AJ173)))</formula>
    </cfRule>
    <cfRule type="containsText" dxfId="1226" priority="930" operator="containsText" text="Continued">
      <formula>NOT(ISERROR(SEARCH("Continued",AJ173)))</formula>
    </cfRule>
  </conditionalFormatting>
  <conditionalFormatting sqref="BH196:BK196">
    <cfRule type="containsText" dxfId="1225" priority="925" operator="containsText" text="Discontinued">
      <formula>NOT(ISERROR(SEARCH("Discontinued",BH196)))</formula>
    </cfRule>
    <cfRule type="containsText" dxfId="1224" priority="926" operator="containsText" text="In Question">
      <formula>NOT(ISERROR(SEARCH("In Question",BH196)))</formula>
    </cfRule>
    <cfRule type="containsText" dxfId="1223" priority="927" operator="containsText" text="Continued">
      <formula>NOT(ISERROR(SEARCH("Continued",BH196)))</formula>
    </cfRule>
  </conditionalFormatting>
  <conditionalFormatting sqref="BF196:BG196">
    <cfRule type="containsText" dxfId="1222" priority="922" operator="containsText" text="Discontinued">
      <formula>NOT(ISERROR(SEARCH("Discontinued",BF196)))</formula>
    </cfRule>
    <cfRule type="containsText" dxfId="1221" priority="923" operator="containsText" text="In Question">
      <formula>NOT(ISERROR(SEARCH("In Question",BF196)))</formula>
    </cfRule>
    <cfRule type="containsText" dxfId="1220" priority="924" operator="containsText" text="Continued">
      <formula>NOT(ISERROR(SEARCH("Continued",BF196)))</formula>
    </cfRule>
  </conditionalFormatting>
  <conditionalFormatting sqref="AX196:BE196">
    <cfRule type="containsText" dxfId="1219" priority="919" operator="containsText" text="Discontinued">
      <formula>NOT(ISERROR(SEARCH("Discontinued",AX196)))</formula>
    </cfRule>
    <cfRule type="containsText" dxfId="1218" priority="920" operator="containsText" text="In Question">
      <formula>NOT(ISERROR(SEARCH("In Question",AX196)))</formula>
    </cfRule>
    <cfRule type="containsText" dxfId="1217" priority="921" operator="containsText" text="Continued">
      <formula>NOT(ISERROR(SEARCH("Continued",AX196)))</formula>
    </cfRule>
  </conditionalFormatting>
  <conditionalFormatting sqref="AJ196:AL196 AV196:AW196 AT196 AR196 AP196 AN196">
    <cfRule type="containsText" dxfId="1216" priority="916" operator="containsText" text="Discontinued">
      <formula>NOT(ISERROR(SEARCH("Discontinued",AJ196)))</formula>
    </cfRule>
    <cfRule type="containsText" dxfId="1215" priority="917" operator="containsText" text="In Question">
      <formula>NOT(ISERROR(SEARCH("In Question",AJ196)))</formula>
    </cfRule>
    <cfRule type="containsText" dxfId="1214" priority="918" operator="containsText" text="Continued">
      <formula>NOT(ISERROR(SEARCH("Continued",AJ196)))</formula>
    </cfRule>
  </conditionalFormatting>
  <conditionalFormatting sqref="BH197:BK197">
    <cfRule type="containsText" dxfId="1213" priority="913" operator="containsText" text="Discontinued">
      <formula>NOT(ISERROR(SEARCH("Discontinued",BH197)))</formula>
    </cfRule>
    <cfRule type="containsText" dxfId="1212" priority="914" operator="containsText" text="In Question">
      <formula>NOT(ISERROR(SEARCH("In Question",BH197)))</formula>
    </cfRule>
    <cfRule type="containsText" dxfId="1211" priority="915" operator="containsText" text="Continued">
      <formula>NOT(ISERROR(SEARCH("Continued",BH197)))</formula>
    </cfRule>
  </conditionalFormatting>
  <conditionalFormatting sqref="BF197:BG197">
    <cfRule type="containsText" dxfId="1210" priority="910" operator="containsText" text="Discontinued">
      <formula>NOT(ISERROR(SEARCH("Discontinued",BF197)))</formula>
    </cfRule>
    <cfRule type="containsText" dxfId="1209" priority="911" operator="containsText" text="In Question">
      <formula>NOT(ISERROR(SEARCH("In Question",BF197)))</formula>
    </cfRule>
    <cfRule type="containsText" dxfId="1208" priority="912" operator="containsText" text="Continued">
      <formula>NOT(ISERROR(SEARCH("Continued",BF197)))</formula>
    </cfRule>
  </conditionalFormatting>
  <conditionalFormatting sqref="AX197:BE197">
    <cfRule type="containsText" dxfId="1207" priority="907" operator="containsText" text="Discontinued">
      <formula>NOT(ISERROR(SEARCH("Discontinued",AX197)))</formula>
    </cfRule>
    <cfRule type="containsText" dxfId="1206" priority="908" operator="containsText" text="In Question">
      <formula>NOT(ISERROR(SEARCH("In Question",AX197)))</formula>
    </cfRule>
    <cfRule type="containsText" dxfId="1205" priority="909" operator="containsText" text="Continued">
      <formula>NOT(ISERROR(SEARCH("Continued",AX197)))</formula>
    </cfRule>
  </conditionalFormatting>
  <conditionalFormatting sqref="AJ197:AL197 AV197:AW197 AT197 AR197 AP197 AN197">
    <cfRule type="containsText" dxfId="1204" priority="904" operator="containsText" text="Discontinued">
      <formula>NOT(ISERROR(SEARCH("Discontinued",AJ197)))</formula>
    </cfRule>
    <cfRule type="containsText" dxfId="1203" priority="905" operator="containsText" text="In Question">
      <formula>NOT(ISERROR(SEARCH("In Question",AJ197)))</formula>
    </cfRule>
    <cfRule type="containsText" dxfId="1202" priority="906" operator="containsText" text="Continued">
      <formula>NOT(ISERROR(SEARCH("Continued",AJ197)))</formula>
    </cfRule>
  </conditionalFormatting>
  <conditionalFormatting sqref="BH198:BK198">
    <cfRule type="containsText" dxfId="1201" priority="901" operator="containsText" text="Discontinued">
      <formula>NOT(ISERROR(SEARCH("Discontinued",BH198)))</formula>
    </cfRule>
    <cfRule type="containsText" dxfId="1200" priority="902" operator="containsText" text="In Question">
      <formula>NOT(ISERROR(SEARCH("In Question",BH198)))</formula>
    </cfRule>
    <cfRule type="containsText" dxfId="1199" priority="903" operator="containsText" text="Continued">
      <formula>NOT(ISERROR(SEARCH("Continued",BH198)))</formula>
    </cfRule>
  </conditionalFormatting>
  <conditionalFormatting sqref="BF198:BG198">
    <cfRule type="containsText" dxfId="1198" priority="898" operator="containsText" text="Discontinued">
      <formula>NOT(ISERROR(SEARCH("Discontinued",BF198)))</formula>
    </cfRule>
    <cfRule type="containsText" dxfId="1197" priority="899" operator="containsText" text="In Question">
      <formula>NOT(ISERROR(SEARCH("In Question",BF198)))</formula>
    </cfRule>
    <cfRule type="containsText" dxfId="1196" priority="900" operator="containsText" text="Continued">
      <formula>NOT(ISERROR(SEARCH("Continued",BF198)))</formula>
    </cfRule>
  </conditionalFormatting>
  <conditionalFormatting sqref="AX198:BE198">
    <cfRule type="containsText" dxfId="1195" priority="895" operator="containsText" text="Discontinued">
      <formula>NOT(ISERROR(SEARCH("Discontinued",AX198)))</formula>
    </cfRule>
    <cfRule type="containsText" dxfId="1194" priority="896" operator="containsText" text="In Question">
      <formula>NOT(ISERROR(SEARCH("In Question",AX198)))</formula>
    </cfRule>
    <cfRule type="containsText" dxfId="1193" priority="897" operator="containsText" text="Continued">
      <formula>NOT(ISERROR(SEARCH("Continued",AX198)))</formula>
    </cfRule>
  </conditionalFormatting>
  <conditionalFormatting sqref="AJ198:AL198 AV198:AW198 AT198 AR198 AP198 AN198">
    <cfRule type="containsText" dxfId="1192" priority="892" operator="containsText" text="Discontinued">
      <formula>NOT(ISERROR(SEARCH("Discontinued",AJ198)))</formula>
    </cfRule>
    <cfRule type="containsText" dxfId="1191" priority="893" operator="containsText" text="In Question">
      <formula>NOT(ISERROR(SEARCH("In Question",AJ198)))</formula>
    </cfRule>
    <cfRule type="containsText" dxfId="1190" priority="894" operator="containsText" text="Continued">
      <formula>NOT(ISERROR(SEARCH("Continued",AJ198)))</formula>
    </cfRule>
  </conditionalFormatting>
  <conditionalFormatting sqref="BH201:BK201">
    <cfRule type="containsText" dxfId="1189" priority="889" operator="containsText" text="Discontinued">
      <formula>NOT(ISERROR(SEARCH("Discontinued",BH201)))</formula>
    </cfRule>
    <cfRule type="containsText" dxfId="1188" priority="890" operator="containsText" text="In Question">
      <formula>NOT(ISERROR(SEARCH("In Question",BH201)))</formula>
    </cfRule>
    <cfRule type="containsText" dxfId="1187" priority="891" operator="containsText" text="Continued">
      <formula>NOT(ISERROR(SEARCH("Continued",BH201)))</formula>
    </cfRule>
  </conditionalFormatting>
  <conditionalFormatting sqref="BF201:BG201">
    <cfRule type="containsText" dxfId="1186" priority="886" operator="containsText" text="Discontinued">
      <formula>NOT(ISERROR(SEARCH("Discontinued",BF201)))</formula>
    </cfRule>
    <cfRule type="containsText" dxfId="1185" priority="887" operator="containsText" text="In Question">
      <formula>NOT(ISERROR(SEARCH("In Question",BF201)))</formula>
    </cfRule>
    <cfRule type="containsText" dxfId="1184" priority="888" operator="containsText" text="Continued">
      <formula>NOT(ISERROR(SEARCH("Continued",BF201)))</formula>
    </cfRule>
  </conditionalFormatting>
  <conditionalFormatting sqref="AX201:BE201">
    <cfRule type="containsText" dxfId="1183" priority="883" operator="containsText" text="Discontinued">
      <formula>NOT(ISERROR(SEARCH("Discontinued",AX201)))</formula>
    </cfRule>
    <cfRule type="containsText" dxfId="1182" priority="884" operator="containsText" text="In Question">
      <formula>NOT(ISERROR(SEARCH("In Question",AX201)))</formula>
    </cfRule>
    <cfRule type="containsText" dxfId="1181" priority="885" operator="containsText" text="Continued">
      <formula>NOT(ISERROR(SEARCH("Continued",AX201)))</formula>
    </cfRule>
  </conditionalFormatting>
  <conditionalFormatting sqref="AJ201:AL201 AV201:AW201 AT201 AR201 AP201 AN201">
    <cfRule type="containsText" dxfId="1180" priority="880" operator="containsText" text="Discontinued">
      <formula>NOT(ISERROR(SEARCH("Discontinued",AJ201)))</formula>
    </cfRule>
    <cfRule type="containsText" dxfId="1179" priority="881" operator="containsText" text="In Question">
      <formula>NOT(ISERROR(SEARCH("In Question",AJ201)))</formula>
    </cfRule>
    <cfRule type="containsText" dxfId="1178" priority="882" operator="containsText" text="Continued">
      <formula>NOT(ISERROR(SEARCH("Continued",AJ201)))</formula>
    </cfRule>
  </conditionalFormatting>
  <conditionalFormatting sqref="BH202:BK202">
    <cfRule type="containsText" dxfId="1177" priority="877" operator="containsText" text="Discontinued">
      <formula>NOT(ISERROR(SEARCH("Discontinued",BH202)))</formula>
    </cfRule>
    <cfRule type="containsText" dxfId="1176" priority="878" operator="containsText" text="In Question">
      <formula>NOT(ISERROR(SEARCH("In Question",BH202)))</formula>
    </cfRule>
    <cfRule type="containsText" dxfId="1175" priority="879" operator="containsText" text="Continued">
      <formula>NOT(ISERROR(SEARCH("Continued",BH202)))</formula>
    </cfRule>
  </conditionalFormatting>
  <conditionalFormatting sqref="BF202:BG202">
    <cfRule type="containsText" dxfId="1174" priority="874" operator="containsText" text="Discontinued">
      <formula>NOT(ISERROR(SEARCH("Discontinued",BF202)))</formula>
    </cfRule>
    <cfRule type="containsText" dxfId="1173" priority="875" operator="containsText" text="In Question">
      <formula>NOT(ISERROR(SEARCH("In Question",BF202)))</formula>
    </cfRule>
    <cfRule type="containsText" dxfId="1172" priority="876" operator="containsText" text="Continued">
      <formula>NOT(ISERROR(SEARCH("Continued",BF202)))</formula>
    </cfRule>
  </conditionalFormatting>
  <conditionalFormatting sqref="AX202:BE202">
    <cfRule type="containsText" dxfId="1171" priority="871" operator="containsText" text="Discontinued">
      <formula>NOT(ISERROR(SEARCH("Discontinued",AX202)))</formula>
    </cfRule>
    <cfRule type="containsText" dxfId="1170" priority="872" operator="containsText" text="In Question">
      <formula>NOT(ISERROR(SEARCH("In Question",AX202)))</formula>
    </cfRule>
    <cfRule type="containsText" dxfId="1169" priority="873" operator="containsText" text="Continued">
      <formula>NOT(ISERROR(SEARCH("Continued",AX202)))</formula>
    </cfRule>
  </conditionalFormatting>
  <conditionalFormatting sqref="AJ202:AL202 AV202:AW202 AT202 AR202 AP202 AN202">
    <cfRule type="containsText" dxfId="1168" priority="868" operator="containsText" text="Discontinued">
      <formula>NOT(ISERROR(SEARCH("Discontinued",AJ202)))</formula>
    </cfRule>
    <cfRule type="containsText" dxfId="1167" priority="869" operator="containsText" text="In Question">
      <formula>NOT(ISERROR(SEARCH("In Question",AJ202)))</formula>
    </cfRule>
    <cfRule type="containsText" dxfId="1166" priority="870" operator="containsText" text="Continued">
      <formula>NOT(ISERROR(SEARCH("Continued",AJ202)))</formula>
    </cfRule>
  </conditionalFormatting>
  <conditionalFormatting sqref="BH204:BK204">
    <cfRule type="containsText" dxfId="1165" priority="865" operator="containsText" text="Discontinued">
      <formula>NOT(ISERROR(SEARCH("Discontinued",BH204)))</formula>
    </cfRule>
    <cfRule type="containsText" dxfId="1164" priority="866" operator="containsText" text="In Question">
      <formula>NOT(ISERROR(SEARCH("In Question",BH204)))</formula>
    </cfRule>
    <cfRule type="containsText" dxfId="1163" priority="867" operator="containsText" text="Continued">
      <formula>NOT(ISERROR(SEARCH("Continued",BH204)))</formula>
    </cfRule>
  </conditionalFormatting>
  <conditionalFormatting sqref="BF204:BG204">
    <cfRule type="containsText" dxfId="1162" priority="862" operator="containsText" text="Discontinued">
      <formula>NOT(ISERROR(SEARCH("Discontinued",BF204)))</formula>
    </cfRule>
    <cfRule type="containsText" dxfId="1161" priority="863" operator="containsText" text="In Question">
      <formula>NOT(ISERROR(SEARCH("In Question",BF204)))</formula>
    </cfRule>
    <cfRule type="containsText" dxfId="1160" priority="864" operator="containsText" text="Continued">
      <formula>NOT(ISERROR(SEARCH("Continued",BF204)))</formula>
    </cfRule>
  </conditionalFormatting>
  <conditionalFormatting sqref="AX204:BE204">
    <cfRule type="containsText" dxfId="1159" priority="859" operator="containsText" text="Discontinued">
      <formula>NOT(ISERROR(SEARCH("Discontinued",AX204)))</formula>
    </cfRule>
    <cfRule type="containsText" dxfId="1158" priority="860" operator="containsText" text="In Question">
      <formula>NOT(ISERROR(SEARCH("In Question",AX204)))</formula>
    </cfRule>
    <cfRule type="containsText" dxfId="1157" priority="861" operator="containsText" text="Continued">
      <formula>NOT(ISERROR(SEARCH("Continued",AX204)))</formula>
    </cfRule>
  </conditionalFormatting>
  <conditionalFormatting sqref="AJ204:AL204 AV204:AW204 AT204 AR204 AP204 AN204">
    <cfRule type="containsText" dxfId="1156" priority="856" operator="containsText" text="Discontinued">
      <formula>NOT(ISERROR(SEARCH("Discontinued",AJ204)))</formula>
    </cfRule>
    <cfRule type="containsText" dxfId="1155" priority="857" operator="containsText" text="In Question">
      <formula>NOT(ISERROR(SEARCH("In Question",AJ204)))</formula>
    </cfRule>
    <cfRule type="containsText" dxfId="1154" priority="858" operator="containsText" text="Continued">
      <formula>NOT(ISERROR(SEARCH("Continued",AJ204)))</formula>
    </cfRule>
  </conditionalFormatting>
  <conditionalFormatting sqref="BH205:BK205">
    <cfRule type="containsText" dxfId="1153" priority="853" operator="containsText" text="Discontinued">
      <formula>NOT(ISERROR(SEARCH("Discontinued",BH205)))</formula>
    </cfRule>
    <cfRule type="containsText" dxfId="1152" priority="854" operator="containsText" text="In Question">
      <formula>NOT(ISERROR(SEARCH("In Question",BH205)))</formula>
    </cfRule>
    <cfRule type="containsText" dxfId="1151" priority="855" operator="containsText" text="Continued">
      <formula>NOT(ISERROR(SEARCH("Continued",BH205)))</formula>
    </cfRule>
  </conditionalFormatting>
  <conditionalFormatting sqref="BF205:BG205">
    <cfRule type="containsText" dxfId="1150" priority="850" operator="containsText" text="Discontinued">
      <formula>NOT(ISERROR(SEARCH("Discontinued",BF205)))</formula>
    </cfRule>
    <cfRule type="containsText" dxfId="1149" priority="851" operator="containsText" text="In Question">
      <formula>NOT(ISERROR(SEARCH("In Question",BF205)))</formula>
    </cfRule>
    <cfRule type="containsText" dxfId="1148" priority="852" operator="containsText" text="Continued">
      <formula>NOT(ISERROR(SEARCH("Continued",BF205)))</formula>
    </cfRule>
  </conditionalFormatting>
  <conditionalFormatting sqref="AX205:BE205">
    <cfRule type="containsText" dxfId="1147" priority="847" operator="containsText" text="Discontinued">
      <formula>NOT(ISERROR(SEARCH("Discontinued",AX205)))</formula>
    </cfRule>
    <cfRule type="containsText" dxfId="1146" priority="848" operator="containsText" text="In Question">
      <formula>NOT(ISERROR(SEARCH("In Question",AX205)))</formula>
    </cfRule>
    <cfRule type="containsText" dxfId="1145" priority="849" operator="containsText" text="Continued">
      <formula>NOT(ISERROR(SEARCH("Continued",AX205)))</formula>
    </cfRule>
  </conditionalFormatting>
  <conditionalFormatting sqref="AJ205:AL205 AV205:AW205 AT205 AR205 AP205 AN205">
    <cfRule type="containsText" dxfId="1144" priority="844" operator="containsText" text="Discontinued">
      <formula>NOT(ISERROR(SEARCH("Discontinued",AJ205)))</formula>
    </cfRule>
    <cfRule type="containsText" dxfId="1143" priority="845" operator="containsText" text="In Question">
      <formula>NOT(ISERROR(SEARCH("In Question",AJ205)))</formula>
    </cfRule>
    <cfRule type="containsText" dxfId="1142" priority="846" operator="containsText" text="Continued">
      <formula>NOT(ISERROR(SEARCH("Continued",AJ205)))</formula>
    </cfRule>
  </conditionalFormatting>
  <conditionalFormatting sqref="BH206:BK206">
    <cfRule type="containsText" dxfId="1141" priority="841" operator="containsText" text="Discontinued">
      <formula>NOT(ISERROR(SEARCH("Discontinued",BH206)))</formula>
    </cfRule>
    <cfRule type="containsText" dxfId="1140" priority="842" operator="containsText" text="In Question">
      <formula>NOT(ISERROR(SEARCH("In Question",BH206)))</formula>
    </cfRule>
    <cfRule type="containsText" dxfId="1139" priority="843" operator="containsText" text="Continued">
      <formula>NOT(ISERROR(SEARCH("Continued",BH206)))</formula>
    </cfRule>
  </conditionalFormatting>
  <conditionalFormatting sqref="BF206:BG206">
    <cfRule type="containsText" dxfId="1138" priority="838" operator="containsText" text="Discontinued">
      <formula>NOT(ISERROR(SEARCH("Discontinued",BF206)))</formula>
    </cfRule>
    <cfRule type="containsText" dxfId="1137" priority="839" operator="containsText" text="In Question">
      <formula>NOT(ISERROR(SEARCH("In Question",BF206)))</formula>
    </cfRule>
    <cfRule type="containsText" dxfId="1136" priority="840" operator="containsText" text="Continued">
      <formula>NOT(ISERROR(SEARCH("Continued",BF206)))</formula>
    </cfRule>
  </conditionalFormatting>
  <conditionalFormatting sqref="AX206:BE206">
    <cfRule type="containsText" dxfId="1135" priority="835" operator="containsText" text="Discontinued">
      <formula>NOT(ISERROR(SEARCH("Discontinued",AX206)))</formula>
    </cfRule>
    <cfRule type="containsText" dxfId="1134" priority="836" operator="containsText" text="In Question">
      <formula>NOT(ISERROR(SEARCH("In Question",AX206)))</formula>
    </cfRule>
    <cfRule type="containsText" dxfId="1133" priority="837" operator="containsText" text="Continued">
      <formula>NOT(ISERROR(SEARCH("Continued",AX206)))</formula>
    </cfRule>
  </conditionalFormatting>
  <conditionalFormatting sqref="AJ206:AL206 AV206:AW206 AT206 AR206 AP206 AN206">
    <cfRule type="containsText" dxfId="1132" priority="832" operator="containsText" text="Discontinued">
      <formula>NOT(ISERROR(SEARCH("Discontinued",AJ206)))</formula>
    </cfRule>
    <cfRule type="containsText" dxfId="1131" priority="833" operator="containsText" text="In Question">
      <formula>NOT(ISERROR(SEARCH("In Question",AJ206)))</formula>
    </cfRule>
    <cfRule type="containsText" dxfId="1130" priority="834" operator="containsText" text="Continued">
      <formula>NOT(ISERROR(SEARCH("Continued",AJ206)))</formula>
    </cfRule>
  </conditionalFormatting>
  <conditionalFormatting sqref="BH207:BK207">
    <cfRule type="containsText" dxfId="1129" priority="829" operator="containsText" text="Discontinued">
      <formula>NOT(ISERROR(SEARCH("Discontinued",BH207)))</formula>
    </cfRule>
    <cfRule type="containsText" dxfId="1128" priority="830" operator="containsText" text="In Question">
      <formula>NOT(ISERROR(SEARCH("In Question",BH207)))</formula>
    </cfRule>
    <cfRule type="containsText" dxfId="1127" priority="831" operator="containsText" text="Continued">
      <formula>NOT(ISERROR(SEARCH("Continued",BH207)))</formula>
    </cfRule>
  </conditionalFormatting>
  <conditionalFormatting sqref="BF207:BG207">
    <cfRule type="containsText" dxfId="1126" priority="826" operator="containsText" text="Discontinued">
      <formula>NOT(ISERROR(SEARCH("Discontinued",BF207)))</formula>
    </cfRule>
    <cfRule type="containsText" dxfId="1125" priority="827" operator="containsText" text="In Question">
      <formula>NOT(ISERROR(SEARCH("In Question",BF207)))</formula>
    </cfRule>
    <cfRule type="containsText" dxfId="1124" priority="828" operator="containsText" text="Continued">
      <formula>NOT(ISERROR(SEARCH("Continued",BF207)))</formula>
    </cfRule>
  </conditionalFormatting>
  <conditionalFormatting sqref="AX207:BE207">
    <cfRule type="containsText" dxfId="1123" priority="823" operator="containsText" text="Discontinued">
      <formula>NOT(ISERROR(SEARCH("Discontinued",AX207)))</formula>
    </cfRule>
    <cfRule type="containsText" dxfId="1122" priority="824" operator="containsText" text="In Question">
      <formula>NOT(ISERROR(SEARCH("In Question",AX207)))</formula>
    </cfRule>
    <cfRule type="containsText" dxfId="1121" priority="825" operator="containsText" text="Continued">
      <formula>NOT(ISERROR(SEARCH("Continued",AX207)))</formula>
    </cfRule>
  </conditionalFormatting>
  <conditionalFormatting sqref="AJ207:AL207 AV207:AW207 AT207 AR207 AP207 AN207">
    <cfRule type="containsText" dxfId="1120" priority="820" operator="containsText" text="Discontinued">
      <formula>NOT(ISERROR(SEARCH("Discontinued",AJ207)))</formula>
    </cfRule>
    <cfRule type="containsText" dxfId="1119" priority="821" operator="containsText" text="In Question">
      <formula>NOT(ISERROR(SEARCH("In Question",AJ207)))</formula>
    </cfRule>
    <cfRule type="containsText" dxfId="1118" priority="822" operator="containsText" text="Continued">
      <formula>NOT(ISERROR(SEARCH("Continued",AJ207)))</formula>
    </cfRule>
  </conditionalFormatting>
  <conditionalFormatting sqref="BH208:BK208">
    <cfRule type="containsText" dxfId="1117" priority="817" operator="containsText" text="Discontinued">
      <formula>NOT(ISERROR(SEARCH("Discontinued",BH208)))</formula>
    </cfRule>
    <cfRule type="containsText" dxfId="1116" priority="818" operator="containsText" text="In Question">
      <formula>NOT(ISERROR(SEARCH("In Question",BH208)))</formula>
    </cfRule>
    <cfRule type="containsText" dxfId="1115" priority="819" operator="containsText" text="Continued">
      <formula>NOT(ISERROR(SEARCH("Continued",BH208)))</formula>
    </cfRule>
  </conditionalFormatting>
  <conditionalFormatting sqref="BF208:BG208">
    <cfRule type="containsText" dxfId="1114" priority="814" operator="containsText" text="Discontinued">
      <formula>NOT(ISERROR(SEARCH("Discontinued",BF208)))</formula>
    </cfRule>
    <cfRule type="containsText" dxfId="1113" priority="815" operator="containsText" text="In Question">
      <formula>NOT(ISERROR(SEARCH("In Question",BF208)))</formula>
    </cfRule>
    <cfRule type="containsText" dxfId="1112" priority="816" operator="containsText" text="Continued">
      <formula>NOT(ISERROR(SEARCH("Continued",BF208)))</formula>
    </cfRule>
  </conditionalFormatting>
  <conditionalFormatting sqref="AX208:BE208">
    <cfRule type="containsText" dxfId="1111" priority="811" operator="containsText" text="Discontinued">
      <formula>NOT(ISERROR(SEARCH("Discontinued",AX208)))</formula>
    </cfRule>
    <cfRule type="containsText" dxfId="1110" priority="812" operator="containsText" text="In Question">
      <formula>NOT(ISERROR(SEARCH("In Question",AX208)))</formula>
    </cfRule>
    <cfRule type="containsText" dxfId="1109" priority="813" operator="containsText" text="Continued">
      <formula>NOT(ISERROR(SEARCH("Continued",AX208)))</formula>
    </cfRule>
  </conditionalFormatting>
  <conditionalFormatting sqref="AJ208:AL208 AV208:AW208 AT208 AR208 AP208 AN208">
    <cfRule type="containsText" dxfId="1108" priority="808" operator="containsText" text="Discontinued">
      <formula>NOT(ISERROR(SEARCH("Discontinued",AJ208)))</formula>
    </cfRule>
    <cfRule type="containsText" dxfId="1107" priority="809" operator="containsText" text="In Question">
      <formula>NOT(ISERROR(SEARCH("In Question",AJ208)))</formula>
    </cfRule>
    <cfRule type="containsText" dxfId="1106" priority="810" operator="containsText" text="Continued">
      <formula>NOT(ISERROR(SEARCH("Continued",AJ208)))</formula>
    </cfRule>
  </conditionalFormatting>
  <conditionalFormatting sqref="BH209:BK209">
    <cfRule type="containsText" dxfId="1105" priority="805" operator="containsText" text="Discontinued">
      <formula>NOT(ISERROR(SEARCH("Discontinued",BH209)))</formula>
    </cfRule>
    <cfRule type="containsText" dxfId="1104" priority="806" operator="containsText" text="In Question">
      <formula>NOT(ISERROR(SEARCH("In Question",BH209)))</formula>
    </cfRule>
    <cfRule type="containsText" dxfId="1103" priority="807" operator="containsText" text="Continued">
      <formula>NOT(ISERROR(SEARCH("Continued",BH209)))</formula>
    </cfRule>
  </conditionalFormatting>
  <conditionalFormatting sqref="BF209:BG209">
    <cfRule type="containsText" dxfId="1102" priority="802" operator="containsText" text="Discontinued">
      <formula>NOT(ISERROR(SEARCH("Discontinued",BF209)))</formula>
    </cfRule>
    <cfRule type="containsText" dxfId="1101" priority="803" operator="containsText" text="In Question">
      <formula>NOT(ISERROR(SEARCH("In Question",BF209)))</formula>
    </cfRule>
    <cfRule type="containsText" dxfId="1100" priority="804" operator="containsText" text="Continued">
      <formula>NOT(ISERROR(SEARCH("Continued",BF209)))</formula>
    </cfRule>
  </conditionalFormatting>
  <conditionalFormatting sqref="AX209:BE209">
    <cfRule type="containsText" dxfId="1099" priority="799" operator="containsText" text="Discontinued">
      <formula>NOT(ISERROR(SEARCH("Discontinued",AX209)))</formula>
    </cfRule>
    <cfRule type="containsText" dxfId="1098" priority="800" operator="containsText" text="In Question">
      <formula>NOT(ISERROR(SEARCH("In Question",AX209)))</formula>
    </cfRule>
    <cfRule type="containsText" dxfId="1097" priority="801" operator="containsText" text="Continued">
      <formula>NOT(ISERROR(SEARCH("Continued",AX209)))</formula>
    </cfRule>
  </conditionalFormatting>
  <conditionalFormatting sqref="AJ209:AL209 AV209:AW209 AT209 AR209 AP209 AN209">
    <cfRule type="containsText" dxfId="1096" priority="796" operator="containsText" text="Discontinued">
      <formula>NOT(ISERROR(SEARCH("Discontinued",AJ209)))</formula>
    </cfRule>
    <cfRule type="containsText" dxfId="1095" priority="797" operator="containsText" text="In Question">
      <formula>NOT(ISERROR(SEARCH("In Question",AJ209)))</formula>
    </cfRule>
    <cfRule type="containsText" dxfId="1094" priority="798" operator="containsText" text="Continued">
      <formula>NOT(ISERROR(SEARCH("Continued",AJ209)))</formula>
    </cfRule>
  </conditionalFormatting>
  <conditionalFormatting sqref="BH210:BK210">
    <cfRule type="containsText" dxfId="1093" priority="793" operator="containsText" text="Discontinued">
      <formula>NOT(ISERROR(SEARCH("Discontinued",BH210)))</formula>
    </cfRule>
    <cfRule type="containsText" dxfId="1092" priority="794" operator="containsText" text="In Question">
      <formula>NOT(ISERROR(SEARCH("In Question",BH210)))</formula>
    </cfRule>
    <cfRule type="containsText" dxfId="1091" priority="795" operator="containsText" text="Continued">
      <formula>NOT(ISERROR(SEARCH("Continued",BH210)))</formula>
    </cfRule>
  </conditionalFormatting>
  <conditionalFormatting sqref="BF210:BG210">
    <cfRule type="containsText" dxfId="1090" priority="790" operator="containsText" text="Discontinued">
      <formula>NOT(ISERROR(SEARCH("Discontinued",BF210)))</formula>
    </cfRule>
    <cfRule type="containsText" dxfId="1089" priority="791" operator="containsText" text="In Question">
      <formula>NOT(ISERROR(SEARCH("In Question",BF210)))</formula>
    </cfRule>
    <cfRule type="containsText" dxfId="1088" priority="792" operator="containsText" text="Continued">
      <formula>NOT(ISERROR(SEARCH("Continued",BF210)))</formula>
    </cfRule>
  </conditionalFormatting>
  <conditionalFormatting sqref="AX210:BE210">
    <cfRule type="containsText" dxfId="1087" priority="787" operator="containsText" text="Discontinued">
      <formula>NOT(ISERROR(SEARCH("Discontinued",AX210)))</formula>
    </cfRule>
    <cfRule type="containsText" dxfId="1086" priority="788" operator="containsText" text="In Question">
      <formula>NOT(ISERROR(SEARCH("In Question",AX210)))</formula>
    </cfRule>
    <cfRule type="containsText" dxfId="1085" priority="789" operator="containsText" text="Continued">
      <formula>NOT(ISERROR(SEARCH("Continued",AX210)))</formula>
    </cfRule>
  </conditionalFormatting>
  <conditionalFormatting sqref="AJ210:AL210 AV210:AW210 AT210 AR210 AP210 AN210">
    <cfRule type="containsText" dxfId="1084" priority="784" operator="containsText" text="Discontinued">
      <formula>NOT(ISERROR(SEARCH("Discontinued",AJ210)))</formula>
    </cfRule>
    <cfRule type="containsText" dxfId="1083" priority="785" operator="containsText" text="In Question">
      <formula>NOT(ISERROR(SEARCH("In Question",AJ210)))</formula>
    </cfRule>
    <cfRule type="containsText" dxfId="1082" priority="786" operator="containsText" text="Continued">
      <formula>NOT(ISERROR(SEARCH("Continued",AJ210)))</formula>
    </cfRule>
  </conditionalFormatting>
  <conditionalFormatting sqref="BH211:BK211">
    <cfRule type="containsText" dxfId="1081" priority="781" operator="containsText" text="Discontinued">
      <formula>NOT(ISERROR(SEARCH("Discontinued",BH211)))</formula>
    </cfRule>
    <cfRule type="containsText" dxfId="1080" priority="782" operator="containsText" text="In Question">
      <formula>NOT(ISERROR(SEARCH("In Question",BH211)))</formula>
    </cfRule>
    <cfRule type="containsText" dxfId="1079" priority="783" operator="containsText" text="Continued">
      <formula>NOT(ISERROR(SEARCH("Continued",BH211)))</formula>
    </cfRule>
  </conditionalFormatting>
  <conditionalFormatting sqref="BF211:BG211">
    <cfRule type="containsText" dxfId="1078" priority="778" operator="containsText" text="Discontinued">
      <formula>NOT(ISERROR(SEARCH("Discontinued",BF211)))</formula>
    </cfRule>
    <cfRule type="containsText" dxfId="1077" priority="779" operator="containsText" text="In Question">
      <formula>NOT(ISERROR(SEARCH("In Question",BF211)))</formula>
    </cfRule>
    <cfRule type="containsText" dxfId="1076" priority="780" operator="containsText" text="Continued">
      <formula>NOT(ISERROR(SEARCH("Continued",BF211)))</formula>
    </cfRule>
  </conditionalFormatting>
  <conditionalFormatting sqref="AX211:BE211">
    <cfRule type="containsText" dxfId="1075" priority="775" operator="containsText" text="Discontinued">
      <formula>NOT(ISERROR(SEARCH("Discontinued",AX211)))</formula>
    </cfRule>
    <cfRule type="containsText" dxfId="1074" priority="776" operator="containsText" text="In Question">
      <formula>NOT(ISERROR(SEARCH("In Question",AX211)))</formula>
    </cfRule>
    <cfRule type="containsText" dxfId="1073" priority="777" operator="containsText" text="Continued">
      <formula>NOT(ISERROR(SEARCH("Continued",AX211)))</formula>
    </cfRule>
  </conditionalFormatting>
  <conditionalFormatting sqref="AJ211:AL211 AV211:AW211 AT211 AR211 AP211 AN211">
    <cfRule type="containsText" dxfId="1072" priority="772" operator="containsText" text="Discontinued">
      <formula>NOT(ISERROR(SEARCH("Discontinued",AJ211)))</formula>
    </cfRule>
    <cfRule type="containsText" dxfId="1071" priority="773" operator="containsText" text="In Question">
      <formula>NOT(ISERROR(SEARCH("In Question",AJ211)))</formula>
    </cfRule>
    <cfRule type="containsText" dxfId="1070" priority="774" operator="containsText" text="Continued">
      <formula>NOT(ISERROR(SEARCH("Continued",AJ211)))</formula>
    </cfRule>
  </conditionalFormatting>
  <conditionalFormatting sqref="BH231:BK231">
    <cfRule type="containsText" dxfId="1069" priority="769" operator="containsText" text="Discontinued">
      <formula>NOT(ISERROR(SEARCH("Discontinued",BH231)))</formula>
    </cfRule>
    <cfRule type="containsText" dxfId="1068" priority="770" operator="containsText" text="In Question">
      <formula>NOT(ISERROR(SEARCH("In Question",BH231)))</formula>
    </cfRule>
    <cfRule type="containsText" dxfId="1067" priority="771" operator="containsText" text="Continued">
      <formula>NOT(ISERROR(SEARCH("Continued",BH231)))</formula>
    </cfRule>
  </conditionalFormatting>
  <conditionalFormatting sqref="BF231:BG231">
    <cfRule type="containsText" dxfId="1066" priority="766" operator="containsText" text="Discontinued">
      <formula>NOT(ISERROR(SEARCH("Discontinued",BF231)))</formula>
    </cfRule>
    <cfRule type="containsText" dxfId="1065" priority="767" operator="containsText" text="In Question">
      <formula>NOT(ISERROR(SEARCH("In Question",BF231)))</formula>
    </cfRule>
    <cfRule type="containsText" dxfId="1064" priority="768" operator="containsText" text="Continued">
      <formula>NOT(ISERROR(SEARCH("Continued",BF231)))</formula>
    </cfRule>
  </conditionalFormatting>
  <conditionalFormatting sqref="AX231:BE231">
    <cfRule type="containsText" dxfId="1063" priority="763" operator="containsText" text="Discontinued">
      <formula>NOT(ISERROR(SEARCH("Discontinued",AX231)))</formula>
    </cfRule>
    <cfRule type="containsText" dxfId="1062" priority="764" operator="containsText" text="In Question">
      <formula>NOT(ISERROR(SEARCH("In Question",AX231)))</formula>
    </cfRule>
    <cfRule type="containsText" dxfId="1061" priority="765" operator="containsText" text="Continued">
      <formula>NOT(ISERROR(SEARCH("Continued",AX231)))</formula>
    </cfRule>
  </conditionalFormatting>
  <conditionalFormatting sqref="AJ231:AL231 AV231:AW231 AT231 AR231 AP231 AN231">
    <cfRule type="containsText" dxfId="1060" priority="760" operator="containsText" text="Discontinued">
      <formula>NOT(ISERROR(SEARCH("Discontinued",AJ231)))</formula>
    </cfRule>
    <cfRule type="containsText" dxfId="1059" priority="761" operator="containsText" text="In Question">
      <formula>NOT(ISERROR(SEARCH("In Question",AJ231)))</formula>
    </cfRule>
    <cfRule type="containsText" dxfId="1058" priority="762" operator="containsText" text="Continued">
      <formula>NOT(ISERROR(SEARCH("Continued",AJ231)))</formula>
    </cfRule>
  </conditionalFormatting>
  <conditionalFormatting sqref="BH232:BK232">
    <cfRule type="containsText" dxfId="1057" priority="757" operator="containsText" text="Discontinued">
      <formula>NOT(ISERROR(SEARCH("Discontinued",BH232)))</formula>
    </cfRule>
    <cfRule type="containsText" dxfId="1056" priority="758" operator="containsText" text="In Question">
      <formula>NOT(ISERROR(SEARCH("In Question",BH232)))</formula>
    </cfRule>
    <cfRule type="containsText" dxfId="1055" priority="759" operator="containsText" text="Continued">
      <formula>NOT(ISERROR(SEARCH("Continued",BH232)))</formula>
    </cfRule>
  </conditionalFormatting>
  <conditionalFormatting sqref="BF232:BG232">
    <cfRule type="containsText" dxfId="1054" priority="754" operator="containsText" text="Discontinued">
      <formula>NOT(ISERROR(SEARCH("Discontinued",BF232)))</formula>
    </cfRule>
    <cfRule type="containsText" dxfId="1053" priority="755" operator="containsText" text="In Question">
      <formula>NOT(ISERROR(SEARCH("In Question",BF232)))</formula>
    </cfRule>
    <cfRule type="containsText" dxfId="1052" priority="756" operator="containsText" text="Continued">
      <formula>NOT(ISERROR(SEARCH("Continued",BF232)))</formula>
    </cfRule>
  </conditionalFormatting>
  <conditionalFormatting sqref="AX232:BE232">
    <cfRule type="containsText" dxfId="1051" priority="751" operator="containsText" text="Discontinued">
      <formula>NOT(ISERROR(SEARCH("Discontinued",AX232)))</formula>
    </cfRule>
    <cfRule type="containsText" dxfId="1050" priority="752" operator="containsText" text="In Question">
      <formula>NOT(ISERROR(SEARCH("In Question",AX232)))</formula>
    </cfRule>
    <cfRule type="containsText" dxfId="1049" priority="753" operator="containsText" text="Continued">
      <formula>NOT(ISERROR(SEARCH("Continued",AX232)))</formula>
    </cfRule>
  </conditionalFormatting>
  <conditionalFormatting sqref="AJ232:AL232 AV232:AW232 AT232 AR232 AP232 AN232">
    <cfRule type="containsText" dxfId="1048" priority="748" operator="containsText" text="Discontinued">
      <formula>NOT(ISERROR(SEARCH("Discontinued",AJ232)))</formula>
    </cfRule>
    <cfRule type="containsText" dxfId="1047" priority="749" operator="containsText" text="In Question">
      <formula>NOT(ISERROR(SEARCH("In Question",AJ232)))</formula>
    </cfRule>
    <cfRule type="containsText" dxfId="1046" priority="750" operator="containsText" text="Continued">
      <formula>NOT(ISERROR(SEARCH("Continued",AJ232)))</formula>
    </cfRule>
  </conditionalFormatting>
  <conditionalFormatting sqref="BH233:BK233">
    <cfRule type="containsText" dxfId="1045" priority="745" operator="containsText" text="Discontinued">
      <formula>NOT(ISERROR(SEARCH("Discontinued",BH233)))</formula>
    </cfRule>
    <cfRule type="containsText" dxfId="1044" priority="746" operator="containsText" text="In Question">
      <formula>NOT(ISERROR(SEARCH("In Question",BH233)))</formula>
    </cfRule>
    <cfRule type="containsText" dxfId="1043" priority="747" operator="containsText" text="Continued">
      <formula>NOT(ISERROR(SEARCH("Continued",BH233)))</formula>
    </cfRule>
  </conditionalFormatting>
  <conditionalFormatting sqref="BF233:BG233">
    <cfRule type="containsText" dxfId="1042" priority="742" operator="containsText" text="Discontinued">
      <formula>NOT(ISERROR(SEARCH("Discontinued",BF233)))</formula>
    </cfRule>
    <cfRule type="containsText" dxfId="1041" priority="743" operator="containsText" text="In Question">
      <formula>NOT(ISERROR(SEARCH("In Question",BF233)))</formula>
    </cfRule>
    <cfRule type="containsText" dxfId="1040" priority="744" operator="containsText" text="Continued">
      <formula>NOT(ISERROR(SEARCH("Continued",BF233)))</formula>
    </cfRule>
  </conditionalFormatting>
  <conditionalFormatting sqref="AX233:BE233">
    <cfRule type="containsText" dxfId="1039" priority="739" operator="containsText" text="Discontinued">
      <formula>NOT(ISERROR(SEARCH("Discontinued",AX233)))</formula>
    </cfRule>
    <cfRule type="containsText" dxfId="1038" priority="740" operator="containsText" text="In Question">
      <formula>NOT(ISERROR(SEARCH("In Question",AX233)))</formula>
    </cfRule>
    <cfRule type="containsText" dxfId="1037" priority="741" operator="containsText" text="Continued">
      <formula>NOT(ISERROR(SEARCH("Continued",AX233)))</formula>
    </cfRule>
  </conditionalFormatting>
  <conditionalFormatting sqref="AJ233:AL233 AV233:AW233 AT233 AR233 AP233 AN233">
    <cfRule type="containsText" dxfId="1036" priority="736" operator="containsText" text="Discontinued">
      <formula>NOT(ISERROR(SEARCH("Discontinued",AJ233)))</formula>
    </cfRule>
    <cfRule type="containsText" dxfId="1035" priority="737" operator="containsText" text="In Question">
      <formula>NOT(ISERROR(SEARCH("In Question",AJ233)))</formula>
    </cfRule>
    <cfRule type="containsText" dxfId="1034" priority="738" operator="containsText" text="Continued">
      <formula>NOT(ISERROR(SEARCH("Continued",AJ233)))</formula>
    </cfRule>
  </conditionalFormatting>
  <conditionalFormatting sqref="BH234:BK234">
    <cfRule type="containsText" dxfId="1033" priority="733" operator="containsText" text="Discontinued">
      <formula>NOT(ISERROR(SEARCH("Discontinued",BH234)))</formula>
    </cfRule>
    <cfRule type="containsText" dxfId="1032" priority="734" operator="containsText" text="In Question">
      <formula>NOT(ISERROR(SEARCH("In Question",BH234)))</formula>
    </cfRule>
    <cfRule type="containsText" dxfId="1031" priority="735" operator="containsText" text="Continued">
      <formula>NOT(ISERROR(SEARCH("Continued",BH234)))</formula>
    </cfRule>
  </conditionalFormatting>
  <conditionalFormatting sqref="BF234:BG234">
    <cfRule type="containsText" dxfId="1030" priority="730" operator="containsText" text="Discontinued">
      <formula>NOT(ISERROR(SEARCH("Discontinued",BF234)))</formula>
    </cfRule>
    <cfRule type="containsText" dxfId="1029" priority="731" operator="containsText" text="In Question">
      <formula>NOT(ISERROR(SEARCH("In Question",BF234)))</formula>
    </cfRule>
    <cfRule type="containsText" dxfId="1028" priority="732" operator="containsText" text="Continued">
      <formula>NOT(ISERROR(SEARCH("Continued",BF234)))</formula>
    </cfRule>
  </conditionalFormatting>
  <conditionalFormatting sqref="AX234:BE234">
    <cfRule type="containsText" dxfId="1027" priority="727" operator="containsText" text="Discontinued">
      <formula>NOT(ISERROR(SEARCH("Discontinued",AX234)))</formula>
    </cfRule>
    <cfRule type="containsText" dxfId="1026" priority="728" operator="containsText" text="In Question">
      <formula>NOT(ISERROR(SEARCH("In Question",AX234)))</formula>
    </cfRule>
    <cfRule type="containsText" dxfId="1025" priority="729" operator="containsText" text="Continued">
      <formula>NOT(ISERROR(SEARCH("Continued",AX234)))</formula>
    </cfRule>
  </conditionalFormatting>
  <conditionalFormatting sqref="AJ234:AL234 AV234:AW234 AT234 AR234 AP234 AN234">
    <cfRule type="containsText" dxfId="1024" priority="724" operator="containsText" text="Discontinued">
      <formula>NOT(ISERROR(SEARCH("Discontinued",AJ234)))</formula>
    </cfRule>
    <cfRule type="containsText" dxfId="1023" priority="725" operator="containsText" text="In Question">
      <formula>NOT(ISERROR(SEARCH("In Question",AJ234)))</formula>
    </cfRule>
    <cfRule type="containsText" dxfId="1022" priority="726" operator="containsText" text="Continued">
      <formula>NOT(ISERROR(SEARCH("Continued",AJ234)))</formula>
    </cfRule>
  </conditionalFormatting>
  <conditionalFormatting sqref="BH235:BK235">
    <cfRule type="containsText" dxfId="1021" priority="721" operator="containsText" text="Discontinued">
      <formula>NOT(ISERROR(SEARCH("Discontinued",BH235)))</formula>
    </cfRule>
    <cfRule type="containsText" dxfId="1020" priority="722" operator="containsText" text="In Question">
      <formula>NOT(ISERROR(SEARCH("In Question",BH235)))</formula>
    </cfRule>
    <cfRule type="containsText" dxfId="1019" priority="723" operator="containsText" text="Continued">
      <formula>NOT(ISERROR(SEARCH("Continued",BH235)))</formula>
    </cfRule>
  </conditionalFormatting>
  <conditionalFormatting sqref="BF235:BG235">
    <cfRule type="containsText" dxfId="1018" priority="718" operator="containsText" text="Discontinued">
      <formula>NOT(ISERROR(SEARCH("Discontinued",BF235)))</formula>
    </cfRule>
    <cfRule type="containsText" dxfId="1017" priority="719" operator="containsText" text="In Question">
      <formula>NOT(ISERROR(SEARCH("In Question",BF235)))</formula>
    </cfRule>
    <cfRule type="containsText" dxfId="1016" priority="720" operator="containsText" text="Continued">
      <formula>NOT(ISERROR(SEARCH("Continued",BF235)))</formula>
    </cfRule>
  </conditionalFormatting>
  <conditionalFormatting sqref="AX235:BE235">
    <cfRule type="containsText" dxfId="1015" priority="715" operator="containsText" text="Discontinued">
      <formula>NOT(ISERROR(SEARCH("Discontinued",AX235)))</formula>
    </cfRule>
    <cfRule type="containsText" dxfId="1014" priority="716" operator="containsText" text="In Question">
      <formula>NOT(ISERROR(SEARCH("In Question",AX235)))</formula>
    </cfRule>
    <cfRule type="containsText" dxfId="1013" priority="717" operator="containsText" text="Continued">
      <formula>NOT(ISERROR(SEARCH("Continued",AX235)))</formula>
    </cfRule>
  </conditionalFormatting>
  <conditionalFormatting sqref="AJ235:AL235 AV235:AW235 AT235 AR235 AP235 AN235">
    <cfRule type="containsText" dxfId="1012" priority="712" operator="containsText" text="Discontinued">
      <formula>NOT(ISERROR(SEARCH("Discontinued",AJ235)))</formula>
    </cfRule>
    <cfRule type="containsText" dxfId="1011" priority="713" operator="containsText" text="In Question">
      <formula>NOT(ISERROR(SEARCH("In Question",AJ235)))</formula>
    </cfRule>
    <cfRule type="containsText" dxfId="1010" priority="714" operator="containsText" text="Continued">
      <formula>NOT(ISERROR(SEARCH("Continued",AJ235)))</formula>
    </cfRule>
  </conditionalFormatting>
  <conditionalFormatting sqref="BH236:BK236">
    <cfRule type="containsText" dxfId="1009" priority="709" operator="containsText" text="Discontinued">
      <formula>NOT(ISERROR(SEARCH("Discontinued",BH236)))</formula>
    </cfRule>
    <cfRule type="containsText" dxfId="1008" priority="710" operator="containsText" text="In Question">
      <formula>NOT(ISERROR(SEARCH("In Question",BH236)))</formula>
    </cfRule>
    <cfRule type="containsText" dxfId="1007" priority="711" operator="containsText" text="Continued">
      <formula>NOT(ISERROR(SEARCH("Continued",BH236)))</formula>
    </cfRule>
  </conditionalFormatting>
  <conditionalFormatting sqref="BF236:BG236">
    <cfRule type="containsText" dxfId="1006" priority="706" operator="containsText" text="Discontinued">
      <formula>NOT(ISERROR(SEARCH("Discontinued",BF236)))</formula>
    </cfRule>
    <cfRule type="containsText" dxfId="1005" priority="707" operator="containsText" text="In Question">
      <formula>NOT(ISERROR(SEARCH("In Question",BF236)))</formula>
    </cfRule>
    <cfRule type="containsText" dxfId="1004" priority="708" operator="containsText" text="Continued">
      <formula>NOT(ISERROR(SEARCH("Continued",BF236)))</formula>
    </cfRule>
  </conditionalFormatting>
  <conditionalFormatting sqref="AX236:BE236">
    <cfRule type="containsText" dxfId="1003" priority="703" operator="containsText" text="Discontinued">
      <formula>NOT(ISERROR(SEARCH("Discontinued",AX236)))</formula>
    </cfRule>
    <cfRule type="containsText" dxfId="1002" priority="704" operator="containsText" text="In Question">
      <formula>NOT(ISERROR(SEARCH("In Question",AX236)))</formula>
    </cfRule>
    <cfRule type="containsText" dxfId="1001" priority="705" operator="containsText" text="Continued">
      <formula>NOT(ISERROR(SEARCH("Continued",AX236)))</formula>
    </cfRule>
  </conditionalFormatting>
  <conditionalFormatting sqref="AJ236:AL236 AV236:AW236 AT236 AR236 AP236 AN236">
    <cfRule type="containsText" dxfId="1000" priority="700" operator="containsText" text="Discontinued">
      <formula>NOT(ISERROR(SEARCH("Discontinued",AJ236)))</formula>
    </cfRule>
    <cfRule type="containsText" dxfId="999" priority="701" operator="containsText" text="In Question">
      <formula>NOT(ISERROR(SEARCH("In Question",AJ236)))</formula>
    </cfRule>
    <cfRule type="containsText" dxfId="998" priority="702" operator="containsText" text="Continued">
      <formula>NOT(ISERROR(SEARCH("Continued",AJ236)))</formula>
    </cfRule>
  </conditionalFormatting>
  <conditionalFormatting sqref="BH237:BK237">
    <cfRule type="containsText" dxfId="997" priority="697" operator="containsText" text="Discontinued">
      <formula>NOT(ISERROR(SEARCH("Discontinued",BH237)))</formula>
    </cfRule>
    <cfRule type="containsText" dxfId="996" priority="698" operator="containsText" text="In Question">
      <formula>NOT(ISERROR(SEARCH("In Question",BH237)))</formula>
    </cfRule>
    <cfRule type="containsText" dxfId="995" priority="699" operator="containsText" text="Continued">
      <formula>NOT(ISERROR(SEARCH("Continued",BH237)))</formula>
    </cfRule>
  </conditionalFormatting>
  <conditionalFormatting sqref="BF237:BG237">
    <cfRule type="containsText" dxfId="994" priority="694" operator="containsText" text="Discontinued">
      <formula>NOT(ISERROR(SEARCH("Discontinued",BF237)))</formula>
    </cfRule>
    <cfRule type="containsText" dxfId="993" priority="695" operator="containsText" text="In Question">
      <formula>NOT(ISERROR(SEARCH("In Question",BF237)))</formula>
    </cfRule>
    <cfRule type="containsText" dxfId="992" priority="696" operator="containsText" text="Continued">
      <formula>NOT(ISERROR(SEARCH("Continued",BF237)))</formula>
    </cfRule>
  </conditionalFormatting>
  <conditionalFormatting sqref="AX237:BE237">
    <cfRule type="containsText" dxfId="991" priority="691" operator="containsText" text="Discontinued">
      <formula>NOT(ISERROR(SEARCH("Discontinued",AX237)))</formula>
    </cfRule>
    <cfRule type="containsText" dxfId="990" priority="692" operator="containsText" text="In Question">
      <formula>NOT(ISERROR(SEARCH("In Question",AX237)))</formula>
    </cfRule>
    <cfRule type="containsText" dxfId="989" priority="693" operator="containsText" text="Continued">
      <formula>NOT(ISERROR(SEARCH("Continued",AX237)))</formula>
    </cfRule>
  </conditionalFormatting>
  <conditionalFormatting sqref="AJ237:AL237 AV237:AW237 AT237 AR237 AP237 AN237">
    <cfRule type="containsText" dxfId="988" priority="688" operator="containsText" text="Discontinued">
      <formula>NOT(ISERROR(SEARCH("Discontinued",AJ237)))</formula>
    </cfRule>
    <cfRule type="containsText" dxfId="987" priority="689" operator="containsText" text="In Question">
      <formula>NOT(ISERROR(SEARCH("In Question",AJ237)))</formula>
    </cfRule>
    <cfRule type="containsText" dxfId="986" priority="690" operator="containsText" text="Continued">
      <formula>NOT(ISERROR(SEARCH("Continued",AJ237)))</formula>
    </cfRule>
  </conditionalFormatting>
  <conditionalFormatting sqref="BH238:BK238">
    <cfRule type="containsText" dxfId="985" priority="685" operator="containsText" text="Discontinued">
      <formula>NOT(ISERROR(SEARCH("Discontinued",BH238)))</formula>
    </cfRule>
    <cfRule type="containsText" dxfId="984" priority="686" operator="containsText" text="In Question">
      <formula>NOT(ISERROR(SEARCH("In Question",BH238)))</formula>
    </cfRule>
    <cfRule type="containsText" dxfId="983" priority="687" operator="containsText" text="Continued">
      <formula>NOT(ISERROR(SEARCH("Continued",BH238)))</formula>
    </cfRule>
  </conditionalFormatting>
  <conditionalFormatting sqref="BF238:BG238">
    <cfRule type="containsText" dxfId="982" priority="682" operator="containsText" text="Discontinued">
      <formula>NOT(ISERROR(SEARCH("Discontinued",BF238)))</formula>
    </cfRule>
    <cfRule type="containsText" dxfId="981" priority="683" operator="containsText" text="In Question">
      <formula>NOT(ISERROR(SEARCH("In Question",BF238)))</formula>
    </cfRule>
    <cfRule type="containsText" dxfId="980" priority="684" operator="containsText" text="Continued">
      <formula>NOT(ISERROR(SEARCH("Continued",BF238)))</formula>
    </cfRule>
  </conditionalFormatting>
  <conditionalFormatting sqref="AX238:BE238">
    <cfRule type="containsText" dxfId="979" priority="679" operator="containsText" text="Discontinued">
      <formula>NOT(ISERROR(SEARCH("Discontinued",AX238)))</formula>
    </cfRule>
    <cfRule type="containsText" dxfId="978" priority="680" operator="containsText" text="In Question">
      <formula>NOT(ISERROR(SEARCH("In Question",AX238)))</formula>
    </cfRule>
    <cfRule type="containsText" dxfId="977" priority="681" operator="containsText" text="Continued">
      <formula>NOT(ISERROR(SEARCH("Continued",AX238)))</formula>
    </cfRule>
  </conditionalFormatting>
  <conditionalFormatting sqref="AJ238:AL238 AV238:AW238 AT238 AR238 AP238 AN238">
    <cfRule type="containsText" dxfId="976" priority="676" operator="containsText" text="Discontinued">
      <formula>NOT(ISERROR(SEARCH("Discontinued",AJ238)))</formula>
    </cfRule>
    <cfRule type="containsText" dxfId="975" priority="677" operator="containsText" text="In Question">
      <formula>NOT(ISERROR(SEARCH("In Question",AJ238)))</formula>
    </cfRule>
    <cfRule type="containsText" dxfId="974" priority="678" operator="containsText" text="Continued">
      <formula>NOT(ISERROR(SEARCH("Continued",AJ238)))</formula>
    </cfRule>
  </conditionalFormatting>
  <conditionalFormatting sqref="BH239:BK239">
    <cfRule type="containsText" dxfId="973" priority="673" operator="containsText" text="Discontinued">
      <formula>NOT(ISERROR(SEARCH("Discontinued",BH239)))</formula>
    </cfRule>
    <cfRule type="containsText" dxfId="972" priority="674" operator="containsText" text="In Question">
      <formula>NOT(ISERROR(SEARCH("In Question",BH239)))</formula>
    </cfRule>
    <cfRule type="containsText" dxfId="971" priority="675" operator="containsText" text="Continued">
      <formula>NOT(ISERROR(SEARCH("Continued",BH239)))</formula>
    </cfRule>
  </conditionalFormatting>
  <conditionalFormatting sqref="BF239:BG239">
    <cfRule type="containsText" dxfId="970" priority="670" operator="containsText" text="Discontinued">
      <formula>NOT(ISERROR(SEARCH("Discontinued",BF239)))</formula>
    </cfRule>
    <cfRule type="containsText" dxfId="969" priority="671" operator="containsText" text="In Question">
      <formula>NOT(ISERROR(SEARCH("In Question",BF239)))</formula>
    </cfRule>
    <cfRule type="containsText" dxfId="968" priority="672" operator="containsText" text="Continued">
      <formula>NOT(ISERROR(SEARCH("Continued",BF239)))</formula>
    </cfRule>
  </conditionalFormatting>
  <conditionalFormatting sqref="AX239:BE239">
    <cfRule type="containsText" dxfId="967" priority="667" operator="containsText" text="Discontinued">
      <formula>NOT(ISERROR(SEARCH("Discontinued",AX239)))</formula>
    </cfRule>
    <cfRule type="containsText" dxfId="966" priority="668" operator="containsText" text="In Question">
      <formula>NOT(ISERROR(SEARCH("In Question",AX239)))</formula>
    </cfRule>
    <cfRule type="containsText" dxfId="965" priority="669" operator="containsText" text="Continued">
      <formula>NOT(ISERROR(SEARCH("Continued",AX239)))</formula>
    </cfRule>
  </conditionalFormatting>
  <conditionalFormatting sqref="AJ239:AL239 AV239:AW239 AT239 AR239 AP239 AN239">
    <cfRule type="containsText" dxfId="964" priority="664" operator="containsText" text="Discontinued">
      <formula>NOT(ISERROR(SEARCH("Discontinued",AJ239)))</formula>
    </cfRule>
    <cfRule type="containsText" dxfId="963" priority="665" operator="containsText" text="In Question">
      <formula>NOT(ISERROR(SEARCH("In Question",AJ239)))</formula>
    </cfRule>
    <cfRule type="containsText" dxfId="962" priority="666" operator="containsText" text="Continued">
      <formula>NOT(ISERROR(SEARCH("Continued",AJ239)))</formula>
    </cfRule>
  </conditionalFormatting>
  <conditionalFormatting sqref="BH240:BK240">
    <cfRule type="containsText" dxfId="961" priority="661" operator="containsText" text="Discontinued">
      <formula>NOT(ISERROR(SEARCH("Discontinued",BH240)))</formula>
    </cfRule>
    <cfRule type="containsText" dxfId="960" priority="662" operator="containsText" text="In Question">
      <formula>NOT(ISERROR(SEARCH("In Question",BH240)))</formula>
    </cfRule>
    <cfRule type="containsText" dxfId="959" priority="663" operator="containsText" text="Continued">
      <formula>NOT(ISERROR(SEARCH("Continued",BH240)))</formula>
    </cfRule>
  </conditionalFormatting>
  <conditionalFormatting sqref="BF240:BG240">
    <cfRule type="containsText" dxfId="958" priority="658" operator="containsText" text="Discontinued">
      <formula>NOT(ISERROR(SEARCH("Discontinued",BF240)))</formula>
    </cfRule>
    <cfRule type="containsText" dxfId="957" priority="659" operator="containsText" text="In Question">
      <formula>NOT(ISERROR(SEARCH("In Question",BF240)))</formula>
    </cfRule>
    <cfRule type="containsText" dxfId="956" priority="660" operator="containsText" text="Continued">
      <formula>NOT(ISERROR(SEARCH("Continued",BF240)))</formula>
    </cfRule>
  </conditionalFormatting>
  <conditionalFormatting sqref="AX240:BE240">
    <cfRule type="containsText" dxfId="955" priority="655" operator="containsText" text="Discontinued">
      <formula>NOT(ISERROR(SEARCH("Discontinued",AX240)))</formula>
    </cfRule>
    <cfRule type="containsText" dxfId="954" priority="656" operator="containsText" text="In Question">
      <formula>NOT(ISERROR(SEARCH("In Question",AX240)))</formula>
    </cfRule>
    <cfRule type="containsText" dxfId="953" priority="657" operator="containsText" text="Continued">
      <formula>NOT(ISERROR(SEARCH("Continued",AX240)))</formula>
    </cfRule>
  </conditionalFormatting>
  <conditionalFormatting sqref="AJ240:AL240 AV240:AW240 AT240 AR240 AP240 AN240">
    <cfRule type="containsText" dxfId="952" priority="652" operator="containsText" text="Discontinued">
      <formula>NOT(ISERROR(SEARCH("Discontinued",AJ240)))</formula>
    </cfRule>
    <cfRule type="containsText" dxfId="951" priority="653" operator="containsText" text="In Question">
      <formula>NOT(ISERROR(SEARCH("In Question",AJ240)))</formula>
    </cfRule>
    <cfRule type="containsText" dxfId="950" priority="654" operator="containsText" text="Continued">
      <formula>NOT(ISERROR(SEARCH("Continued",AJ240)))</formula>
    </cfRule>
  </conditionalFormatting>
  <conditionalFormatting sqref="BH241:BK241">
    <cfRule type="containsText" dxfId="949" priority="649" operator="containsText" text="Discontinued">
      <formula>NOT(ISERROR(SEARCH("Discontinued",BH241)))</formula>
    </cfRule>
    <cfRule type="containsText" dxfId="948" priority="650" operator="containsText" text="In Question">
      <formula>NOT(ISERROR(SEARCH("In Question",BH241)))</formula>
    </cfRule>
    <cfRule type="containsText" dxfId="947" priority="651" operator="containsText" text="Continued">
      <formula>NOT(ISERROR(SEARCH("Continued",BH241)))</formula>
    </cfRule>
  </conditionalFormatting>
  <conditionalFormatting sqref="BF241:BG241">
    <cfRule type="containsText" dxfId="946" priority="646" operator="containsText" text="Discontinued">
      <formula>NOT(ISERROR(SEARCH("Discontinued",BF241)))</formula>
    </cfRule>
    <cfRule type="containsText" dxfId="945" priority="647" operator="containsText" text="In Question">
      <formula>NOT(ISERROR(SEARCH("In Question",BF241)))</formula>
    </cfRule>
    <cfRule type="containsText" dxfId="944" priority="648" operator="containsText" text="Continued">
      <formula>NOT(ISERROR(SEARCH("Continued",BF241)))</formula>
    </cfRule>
  </conditionalFormatting>
  <conditionalFormatting sqref="AX241:BE241">
    <cfRule type="containsText" dxfId="943" priority="643" operator="containsText" text="Discontinued">
      <formula>NOT(ISERROR(SEARCH("Discontinued",AX241)))</formula>
    </cfRule>
    <cfRule type="containsText" dxfId="942" priority="644" operator="containsText" text="In Question">
      <formula>NOT(ISERROR(SEARCH("In Question",AX241)))</formula>
    </cfRule>
    <cfRule type="containsText" dxfId="941" priority="645" operator="containsText" text="Continued">
      <formula>NOT(ISERROR(SEARCH("Continued",AX241)))</formula>
    </cfRule>
  </conditionalFormatting>
  <conditionalFormatting sqref="AJ241:AL241 AV241:AW241 AT241 AR241 AP241 AN241">
    <cfRule type="containsText" dxfId="940" priority="640" operator="containsText" text="Discontinued">
      <formula>NOT(ISERROR(SEARCH("Discontinued",AJ241)))</formula>
    </cfRule>
    <cfRule type="containsText" dxfId="939" priority="641" operator="containsText" text="In Question">
      <formula>NOT(ISERROR(SEARCH("In Question",AJ241)))</formula>
    </cfRule>
    <cfRule type="containsText" dxfId="938" priority="642" operator="containsText" text="Continued">
      <formula>NOT(ISERROR(SEARCH("Continued",AJ241)))</formula>
    </cfRule>
  </conditionalFormatting>
  <conditionalFormatting sqref="BH242:BK242">
    <cfRule type="containsText" dxfId="937" priority="637" operator="containsText" text="Discontinued">
      <formula>NOT(ISERROR(SEARCH("Discontinued",BH242)))</formula>
    </cfRule>
    <cfRule type="containsText" dxfId="936" priority="638" operator="containsText" text="In Question">
      <formula>NOT(ISERROR(SEARCH("In Question",BH242)))</formula>
    </cfRule>
    <cfRule type="containsText" dxfId="935" priority="639" operator="containsText" text="Continued">
      <formula>NOT(ISERROR(SEARCH("Continued",BH242)))</formula>
    </cfRule>
  </conditionalFormatting>
  <conditionalFormatting sqref="BF242:BG242">
    <cfRule type="containsText" dxfId="934" priority="634" operator="containsText" text="Discontinued">
      <formula>NOT(ISERROR(SEARCH("Discontinued",BF242)))</formula>
    </cfRule>
    <cfRule type="containsText" dxfId="933" priority="635" operator="containsText" text="In Question">
      <formula>NOT(ISERROR(SEARCH("In Question",BF242)))</formula>
    </cfRule>
    <cfRule type="containsText" dxfId="932" priority="636" operator="containsText" text="Continued">
      <formula>NOT(ISERROR(SEARCH("Continued",BF242)))</formula>
    </cfRule>
  </conditionalFormatting>
  <conditionalFormatting sqref="AX242:BE242">
    <cfRule type="containsText" dxfId="931" priority="631" operator="containsText" text="Discontinued">
      <formula>NOT(ISERROR(SEARCH("Discontinued",AX242)))</formula>
    </cfRule>
    <cfRule type="containsText" dxfId="930" priority="632" operator="containsText" text="In Question">
      <formula>NOT(ISERROR(SEARCH("In Question",AX242)))</formula>
    </cfRule>
    <cfRule type="containsText" dxfId="929" priority="633" operator="containsText" text="Continued">
      <formula>NOT(ISERROR(SEARCH("Continued",AX242)))</formula>
    </cfRule>
  </conditionalFormatting>
  <conditionalFormatting sqref="AJ242:AL242 AV242:AW242 AT242 AR242 AP242 AN242">
    <cfRule type="containsText" dxfId="928" priority="628" operator="containsText" text="Discontinued">
      <formula>NOT(ISERROR(SEARCH("Discontinued",AJ242)))</formula>
    </cfRule>
    <cfRule type="containsText" dxfId="927" priority="629" operator="containsText" text="In Question">
      <formula>NOT(ISERROR(SEARCH("In Question",AJ242)))</formula>
    </cfRule>
    <cfRule type="containsText" dxfId="926" priority="630" operator="containsText" text="Continued">
      <formula>NOT(ISERROR(SEARCH("Continued",AJ242)))</formula>
    </cfRule>
  </conditionalFormatting>
  <conditionalFormatting sqref="BH243:BK243">
    <cfRule type="containsText" dxfId="925" priority="625" operator="containsText" text="Discontinued">
      <formula>NOT(ISERROR(SEARCH("Discontinued",BH243)))</formula>
    </cfRule>
    <cfRule type="containsText" dxfId="924" priority="626" operator="containsText" text="In Question">
      <formula>NOT(ISERROR(SEARCH("In Question",BH243)))</formula>
    </cfRule>
    <cfRule type="containsText" dxfId="923" priority="627" operator="containsText" text="Continued">
      <formula>NOT(ISERROR(SEARCH("Continued",BH243)))</formula>
    </cfRule>
  </conditionalFormatting>
  <conditionalFormatting sqref="BF243:BG243">
    <cfRule type="containsText" dxfId="922" priority="622" operator="containsText" text="Discontinued">
      <formula>NOT(ISERROR(SEARCH("Discontinued",BF243)))</formula>
    </cfRule>
    <cfRule type="containsText" dxfId="921" priority="623" operator="containsText" text="In Question">
      <formula>NOT(ISERROR(SEARCH("In Question",BF243)))</formula>
    </cfRule>
    <cfRule type="containsText" dxfId="920" priority="624" operator="containsText" text="Continued">
      <formula>NOT(ISERROR(SEARCH("Continued",BF243)))</formula>
    </cfRule>
  </conditionalFormatting>
  <conditionalFormatting sqref="AX243:BE243">
    <cfRule type="containsText" dxfId="919" priority="619" operator="containsText" text="Discontinued">
      <formula>NOT(ISERROR(SEARCH("Discontinued",AX243)))</formula>
    </cfRule>
    <cfRule type="containsText" dxfId="918" priority="620" operator="containsText" text="In Question">
      <formula>NOT(ISERROR(SEARCH("In Question",AX243)))</formula>
    </cfRule>
    <cfRule type="containsText" dxfId="917" priority="621" operator="containsText" text="Continued">
      <formula>NOT(ISERROR(SEARCH("Continued",AX243)))</formula>
    </cfRule>
  </conditionalFormatting>
  <conditionalFormatting sqref="AJ243:AL243 AV243:AW243 AT243 AR243 AP243 AN243">
    <cfRule type="containsText" dxfId="916" priority="616" operator="containsText" text="Discontinued">
      <formula>NOT(ISERROR(SEARCH("Discontinued",AJ243)))</formula>
    </cfRule>
    <cfRule type="containsText" dxfId="915" priority="617" operator="containsText" text="In Question">
      <formula>NOT(ISERROR(SEARCH("In Question",AJ243)))</formula>
    </cfRule>
    <cfRule type="containsText" dxfId="914" priority="618" operator="containsText" text="Continued">
      <formula>NOT(ISERROR(SEARCH("Continued",AJ243)))</formula>
    </cfRule>
  </conditionalFormatting>
  <conditionalFormatting sqref="BH244:BK244">
    <cfRule type="containsText" dxfId="913" priority="613" operator="containsText" text="Discontinued">
      <formula>NOT(ISERROR(SEARCH("Discontinued",BH244)))</formula>
    </cfRule>
    <cfRule type="containsText" dxfId="912" priority="614" operator="containsText" text="In Question">
      <formula>NOT(ISERROR(SEARCH("In Question",BH244)))</formula>
    </cfRule>
    <cfRule type="containsText" dxfId="911" priority="615" operator="containsText" text="Continued">
      <formula>NOT(ISERROR(SEARCH("Continued",BH244)))</formula>
    </cfRule>
  </conditionalFormatting>
  <conditionalFormatting sqref="BF244:BG244">
    <cfRule type="containsText" dxfId="910" priority="610" operator="containsText" text="Discontinued">
      <formula>NOT(ISERROR(SEARCH("Discontinued",BF244)))</formula>
    </cfRule>
    <cfRule type="containsText" dxfId="909" priority="611" operator="containsText" text="In Question">
      <formula>NOT(ISERROR(SEARCH("In Question",BF244)))</formula>
    </cfRule>
    <cfRule type="containsText" dxfId="908" priority="612" operator="containsText" text="Continued">
      <formula>NOT(ISERROR(SEARCH("Continued",BF244)))</formula>
    </cfRule>
  </conditionalFormatting>
  <conditionalFormatting sqref="AX244:BE244">
    <cfRule type="containsText" dxfId="907" priority="607" operator="containsText" text="Discontinued">
      <formula>NOT(ISERROR(SEARCH("Discontinued",AX244)))</formula>
    </cfRule>
    <cfRule type="containsText" dxfId="906" priority="608" operator="containsText" text="In Question">
      <formula>NOT(ISERROR(SEARCH("In Question",AX244)))</formula>
    </cfRule>
    <cfRule type="containsText" dxfId="905" priority="609" operator="containsText" text="Continued">
      <formula>NOT(ISERROR(SEARCH("Continued",AX244)))</formula>
    </cfRule>
  </conditionalFormatting>
  <conditionalFormatting sqref="AJ244:AL244 AV244:AW244 AT244 AR244 AP244 AN244">
    <cfRule type="containsText" dxfId="904" priority="604" operator="containsText" text="Discontinued">
      <formula>NOT(ISERROR(SEARCH("Discontinued",AJ244)))</formula>
    </cfRule>
    <cfRule type="containsText" dxfId="903" priority="605" operator="containsText" text="In Question">
      <formula>NOT(ISERROR(SEARCH("In Question",AJ244)))</formula>
    </cfRule>
    <cfRule type="containsText" dxfId="902" priority="606" operator="containsText" text="Continued">
      <formula>NOT(ISERROR(SEARCH("Continued",AJ244)))</formula>
    </cfRule>
  </conditionalFormatting>
  <conditionalFormatting sqref="BH245:BK245">
    <cfRule type="containsText" dxfId="901" priority="601" operator="containsText" text="Discontinued">
      <formula>NOT(ISERROR(SEARCH("Discontinued",BH245)))</formula>
    </cfRule>
    <cfRule type="containsText" dxfId="900" priority="602" operator="containsText" text="In Question">
      <formula>NOT(ISERROR(SEARCH("In Question",BH245)))</formula>
    </cfRule>
    <cfRule type="containsText" dxfId="899" priority="603" operator="containsText" text="Continued">
      <formula>NOT(ISERROR(SEARCH("Continued",BH245)))</formula>
    </cfRule>
  </conditionalFormatting>
  <conditionalFormatting sqref="BF245:BG245">
    <cfRule type="containsText" dxfId="898" priority="598" operator="containsText" text="Discontinued">
      <formula>NOT(ISERROR(SEARCH("Discontinued",BF245)))</formula>
    </cfRule>
    <cfRule type="containsText" dxfId="897" priority="599" operator="containsText" text="In Question">
      <formula>NOT(ISERROR(SEARCH("In Question",BF245)))</formula>
    </cfRule>
    <cfRule type="containsText" dxfId="896" priority="600" operator="containsText" text="Continued">
      <formula>NOT(ISERROR(SEARCH("Continued",BF245)))</formula>
    </cfRule>
  </conditionalFormatting>
  <conditionalFormatting sqref="AX245:BE245">
    <cfRule type="containsText" dxfId="895" priority="595" operator="containsText" text="Discontinued">
      <formula>NOT(ISERROR(SEARCH("Discontinued",AX245)))</formula>
    </cfRule>
    <cfRule type="containsText" dxfId="894" priority="596" operator="containsText" text="In Question">
      <formula>NOT(ISERROR(SEARCH("In Question",AX245)))</formula>
    </cfRule>
    <cfRule type="containsText" dxfId="893" priority="597" operator="containsText" text="Continued">
      <formula>NOT(ISERROR(SEARCH("Continued",AX245)))</formula>
    </cfRule>
  </conditionalFormatting>
  <conditionalFormatting sqref="AJ245:AL245 AV245:AW245 AT245 AR245 AP245 AN245">
    <cfRule type="containsText" dxfId="892" priority="592" operator="containsText" text="Discontinued">
      <formula>NOT(ISERROR(SEARCH("Discontinued",AJ245)))</formula>
    </cfRule>
    <cfRule type="containsText" dxfId="891" priority="593" operator="containsText" text="In Question">
      <formula>NOT(ISERROR(SEARCH("In Question",AJ245)))</formula>
    </cfRule>
    <cfRule type="containsText" dxfId="890" priority="594" operator="containsText" text="Continued">
      <formula>NOT(ISERROR(SEARCH("Continued",AJ245)))</formula>
    </cfRule>
  </conditionalFormatting>
  <conditionalFormatting sqref="BH246:BK246">
    <cfRule type="containsText" dxfId="889" priority="589" operator="containsText" text="Discontinued">
      <formula>NOT(ISERROR(SEARCH("Discontinued",BH246)))</formula>
    </cfRule>
    <cfRule type="containsText" dxfId="888" priority="590" operator="containsText" text="In Question">
      <formula>NOT(ISERROR(SEARCH("In Question",BH246)))</formula>
    </cfRule>
    <cfRule type="containsText" dxfId="887" priority="591" operator="containsText" text="Continued">
      <formula>NOT(ISERROR(SEARCH("Continued",BH246)))</formula>
    </cfRule>
  </conditionalFormatting>
  <conditionalFormatting sqref="BF246:BG246">
    <cfRule type="containsText" dxfId="886" priority="586" operator="containsText" text="Discontinued">
      <formula>NOT(ISERROR(SEARCH("Discontinued",BF246)))</formula>
    </cfRule>
    <cfRule type="containsText" dxfId="885" priority="587" operator="containsText" text="In Question">
      <formula>NOT(ISERROR(SEARCH("In Question",BF246)))</formula>
    </cfRule>
    <cfRule type="containsText" dxfId="884" priority="588" operator="containsText" text="Continued">
      <formula>NOT(ISERROR(SEARCH("Continued",BF246)))</formula>
    </cfRule>
  </conditionalFormatting>
  <conditionalFormatting sqref="AX246:BE246">
    <cfRule type="containsText" dxfId="883" priority="583" operator="containsText" text="Discontinued">
      <formula>NOT(ISERROR(SEARCH("Discontinued",AX246)))</formula>
    </cfRule>
    <cfRule type="containsText" dxfId="882" priority="584" operator="containsText" text="In Question">
      <formula>NOT(ISERROR(SEARCH("In Question",AX246)))</formula>
    </cfRule>
    <cfRule type="containsText" dxfId="881" priority="585" operator="containsText" text="Continued">
      <formula>NOT(ISERROR(SEARCH("Continued",AX246)))</formula>
    </cfRule>
  </conditionalFormatting>
  <conditionalFormatting sqref="AJ246:AL246 AV246:AW246 AT246 AR246 AP246 AN246">
    <cfRule type="containsText" dxfId="880" priority="580" operator="containsText" text="Discontinued">
      <formula>NOT(ISERROR(SEARCH("Discontinued",AJ246)))</formula>
    </cfRule>
    <cfRule type="containsText" dxfId="879" priority="581" operator="containsText" text="In Question">
      <formula>NOT(ISERROR(SEARCH("In Question",AJ246)))</formula>
    </cfRule>
    <cfRule type="containsText" dxfId="878" priority="582" operator="containsText" text="Continued">
      <formula>NOT(ISERROR(SEARCH("Continued",AJ246)))</formula>
    </cfRule>
  </conditionalFormatting>
  <conditionalFormatting sqref="BS203">
    <cfRule type="containsText" dxfId="877" priority="346" operator="containsText" text="Discontinued">
      <formula>NOT(ISERROR(SEARCH("Discontinued",BS203)))</formula>
    </cfRule>
    <cfRule type="containsText" dxfId="876" priority="347" operator="containsText" text="In Question">
      <formula>NOT(ISERROR(SEARCH("In Question",BS203)))</formula>
    </cfRule>
    <cfRule type="containsText" dxfId="875" priority="348" operator="containsText" text="Continued">
      <formula>NOT(ISERROR(SEARCH("Continued",BS203)))</formula>
    </cfRule>
  </conditionalFormatting>
  <conditionalFormatting sqref="BH247:BK247">
    <cfRule type="containsText" dxfId="874" priority="577" operator="containsText" text="Discontinued">
      <formula>NOT(ISERROR(SEARCH("Discontinued",BH247)))</formula>
    </cfRule>
    <cfRule type="containsText" dxfId="873" priority="578" operator="containsText" text="In Question">
      <formula>NOT(ISERROR(SEARCH("In Question",BH247)))</formula>
    </cfRule>
    <cfRule type="containsText" dxfId="872" priority="579" operator="containsText" text="Continued">
      <formula>NOT(ISERROR(SEARCH("Continued",BH247)))</formula>
    </cfRule>
  </conditionalFormatting>
  <conditionalFormatting sqref="BF247:BG247">
    <cfRule type="containsText" dxfId="871" priority="574" operator="containsText" text="Discontinued">
      <formula>NOT(ISERROR(SEARCH("Discontinued",BF247)))</formula>
    </cfRule>
    <cfRule type="containsText" dxfId="870" priority="575" operator="containsText" text="In Question">
      <formula>NOT(ISERROR(SEARCH("In Question",BF247)))</formula>
    </cfRule>
    <cfRule type="containsText" dxfId="869" priority="576" operator="containsText" text="Continued">
      <formula>NOT(ISERROR(SEARCH("Continued",BF247)))</formula>
    </cfRule>
  </conditionalFormatting>
  <conditionalFormatting sqref="AX247:BE247">
    <cfRule type="containsText" dxfId="868" priority="571" operator="containsText" text="Discontinued">
      <formula>NOT(ISERROR(SEARCH("Discontinued",AX247)))</formula>
    </cfRule>
    <cfRule type="containsText" dxfId="867" priority="572" operator="containsText" text="In Question">
      <formula>NOT(ISERROR(SEARCH("In Question",AX247)))</formula>
    </cfRule>
    <cfRule type="containsText" dxfId="866" priority="573" operator="containsText" text="Continued">
      <formula>NOT(ISERROR(SEARCH("Continued",AX247)))</formula>
    </cfRule>
  </conditionalFormatting>
  <conditionalFormatting sqref="AJ247:AL247 AV247:AW247 AT247 AR247 AP247 AN247">
    <cfRule type="containsText" dxfId="865" priority="568" operator="containsText" text="Discontinued">
      <formula>NOT(ISERROR(SEARCH("Discontinued",AJ247)))</formula>
    </cfRule>
    <cfRule type="containsText" dxfId="864" priority="569" operator="containsText" text="In Question">
      <formula>NOT(ISERROR(SEARCH("In Question",AJ247)))</formula>
    </cfRule>
    <cfRule type="containsText" dxfId="863" priority="570" operator="containsText" text="Continued">
      <formula>NOT(ISERROR(SEARCH("Continued",AJ247)))</formula>
    </cfRule>
  </conditionalFormatting>
  <conditionalFormatting sqref="BH248:BK248">
    <cfRule type="containsText" dxfId="862" priority="565" operator="containsText" text="Discontinued">
      <formula>NOT(ISERROR(SEARCH("Discontinued",BH248)))</formula>
    </cfRule>
    <cfRule type="containsText" dxfId="861" priority="566" operator="containsText" text="In Question">
      <formula>NOT(ISERROR(SEARCH("In Question",BH248)))</formula>
    </cfRule>
    <cfRule type="containsText" dxfId="860" priority="567" operator="containsText" text="Continued">
      <formula>NOT(ISERROR(SEARCH("Continued",BH248)))</formula>
    </cfRule>
  </conditionalFormatting>
  <conditionalFormatting sqref="BF248:BG248">
    <cfRule type="containsText" dxfId="859" priority="562" operator="containsText" text="Discontinued">
      <formula>NOT(ISERROR(SEARCH("Discontinued",BF248)))</formula>
    </cfRule>
    <cfRule type="containsText" dxfId="858" priority="563" operator="containsText" text="In Question">
      <formula>NOT(ISERROR(SEARCH("In Question",BF248)))</formula>
    </cfRule>
    <cfRule type="containsText" dxfId="857" priority="564" operator="containsText" text="Continued">
      <formula>NOT(ISERROR(SEARCH("Continued",BF248)))</formula>
    </cfRule>
  </conditionalFormatting>
  <conditionalFormatting sqref="AX248:BE248">
    <cfRule type="containsText" dxfId="856" priority="559" operator="containsText" text="Discontinued">
      <formula>NOT(ISERROR(SEARCH("Discontinued",AX248)))</formula>
    </cfRule>
    <cfRule type="containsText" dxfId="855" priority="560" operator="containsText" text="In Question">
      <formula>NOT(ISERROR(SEARCH("In Question",AX248)))</formula>
    </cfRule>
    <cfRule type="containsText" dxfId="854" priority="561" operator="containsText" text="Continued">
      <formula>NOT(ISERROR(SEARCH("Continued",AX248)))</formula>
    </cfRule>
  </conditionalFormatting>
  <conditionalFormatting sqref="AJ248:AL248 AV248:AW248 AT248 AR248 AP248 AN248">
    <cfRule type="containsText" dxfId="853" priority="556" operator="containsText" text="Discontinued">
      <formula>NOT(ISERROR(SEARCH("Discontinued",AJ248)))</formula>
    </cfRule>
    <cfRule type="containsText" dxfId="852" priority="557" operator="containsText" text="In Question">
      <formula>NOT(ISERROR(SEARCH("In Question",AJ248)))</formula>
    </cfRule>
    <cfRule type="containsText" dxfId="851" priority="558" operator="containsText" text="Continued">
      <formula>NOT(ISERROR(SEARCH("Continued",AJ248)))</formula>
    </cfRule>
  </conditionalFormatting>
  <conditionalFormatting sqref="BH249:BK249">
    <cfRule type="containsText" dxfId="850" priority="553" operator="containsText" text="Discontinued">
      <formula>NOT(ISERROR(SEARCH("Discontinued",BH249)))</formula>
    </cfRule>
    <cfRule type="containsText" dxfId="849" priority="554" operator="containsText" text="In Question">
      <formula>NOT(ISERROR(SEARCH("In Question",BH249)))</formula>
    </cfRule>
    <cfRule type="containsText" dxfId="848" priority="555" operator="containsText" text="Continued">
      <formula>NOT(ISERROR(SEARCH("Continued",BH249)))</formula>
    </cfRule>
  </conditionalFormatting>
  <conditionalFormatting sqref="BF249:BG249">
    <cfRule type="containsText" dxfId="847" priority="550" operator="containsText" text="Discontinued">
      <formula>NOT(ISERROR(SEARCH("Discontinued",BF249)))</formula>
    </cfRule>
    <cfRule type="containsText" dxfId="846" priority="551" operator="containsText" text="In Question">
      <formula>NOT(ISERROR(SEARCH("In Question",BF249)))</formula>
    </cfRule>
    <cfRule type="containsText" dxfId="845" priority="552" operator="containsText" text="Continued">
      <formula>NOT(ISERROR(SEARCH("Continued",BF249)))</formula>
    </cfRule>
  </conditionalFormatting>
  <conditionalFormatting sqref="AX249:BE249">
    <cfRule type="containsText" dxfId="844" priority="547" operator="containsText" text="Discontinued">
      <formula>NOT(ISERROR(SEARCH("Discontinued",AX249)))</formula>
    </cfRule>
    <cfRule type="containsText" dxfId="843" priority="548" operator="containsText" text="In Question">
      <formula>NOT(ISERROR(SEARCH("In Question",AX249)))</formula>
    </cfRule>
    <cfRule type="containsText" dxfId="842" priority="549" operator="containsText" text="Continued">
      <formula>NOT(ISERROR(SEARCH("Continued",AX249)))</formula>
    </cfRule>
  </conditionalFormatting>
  <conditionalFormatting sqref="AJ249:AL249 AV249:AW249 AT249 AR249 AP249 AN249">
    <cfRule type="containsText" dxfId="841" priority="544" operator="containsText" text="Discontinued">
      <formula>NOT(ISERROR(SEARCH("Discontinued",AJ249)))</formula>
    </cfRule>
    <cfRule type="containsText" dxfId="840" priority="545" operator="containsText" text="In Question">
      <formula>NOT(ISERROR(SEARCH("In Question",AJ249)))</formula>
    </cfRule>
    <cfRule type="containsText" dxfId="839" priority="546" operator="containsText" text="Continued">
      <formula>NOT(ISERROR(SEARCH("Continued",AJ249)))</formula>
    </cfRule>
  </conditionalFormatting>
  <conditionalFormatting sqref="BH250:BK250">
    <cfRule type="containsText" dxfId="838" priority="541" operator="containsText" text="Discontinued">
      <formula>NOT(ISERROR(SEARCH("Discontinued",BH250)))</formula>
    </cfRule>
    <cfRule type="containsText" dxfId="837" priority="542" operator="containsText" text="In Question">
      <formula>NOT(ISERROR(SEARCH("In Question",BH250)))</formula>
    </cfRule>
    <cfRule type="containsText" dxfId="836" priority="543" operator="containsText" text="Continued">
      <formula>NOT(ISERROR(SEARCH("Continued",BH250)))</formula>
    </cfRule>
  </conditionalFormatting>
  <conditionalFormatting sqref="BF250:BG250">
    <cfRule type="containsText" dxfId="835" priority="538" operator="containsText" text="Discontinued">
      <formula>NOT(ISERROR(SEARCH("Discontinued",BF250)))</formula>
    </cfRule>
    <cfRule type="containsText" dxfId="834" priority="539" operator="containsText" text="In Question">
      <formula>NOT(ISERROR(SEARCH("In Question",BF250)))</formula>
    </cfRule>
    <cfRule type="containsText" dxfId="833" priority="540" operator="containsText" text="Continued">
      <formula>NOT(ISERROR(SEARCH("Continued",BF250)))</formula>
    </cfRule>
  </conditionalFormatting>
  <conditionalFormatting sqref="AX250:BE250">
    <cfRule type="containsText" dxfId="832" priority="535" operator="containsText" text="Discontinued">
      <formula>NOT(ISERROR(SEARCH("Discontinued",AX250)))</formula>
    </cfRule>
    <cfRule type="containsText" dxfId="831" priority="536" operator="containsText" text="In Question">
      <formula>NOT(ISERROR(SEARCH("In Question",AX250)))</formula>
    </cfRule>
    <cfRule type="containsText" dxfId="830" priority="537" operator="containsText" text="Continued">
      <formula>NOT(ISERROR(SEARCH("Continued",AX250)))</formula>
    </cfRule>
  </conditionalFormatting>
  <conditionalFormatting sqref="AJ250:AL250 AV250:AW250 AT250 AR250 AP250 AN250">
    <cfRule type="containsText" dxfId="829" priority="532" operator="containsText" text="Discontinued">
      <formula>NOT(ISERROR(SEARCH("Discontinued",AJ250)))</formula>
    </cfRule>
    <cfRule type="containsText" dxfId="828" priority="533" operator="containsText" text="In Question">
      <formula>NOT(ISERROR(SEARCH("In Question",AJ250)))</formula>
    </cfRule>
    <cfRule type="containsText" dxfId="827" priority="534" operator="containsText" text="Continued">
      <formula>NOT(ISERROR(SEARCH("Continued",AJ250)))</formula>
    </cfRule>
  </conditionalFormatting>
  <conditionalFormatting sqref="BH251:BK251">
    <cfRule type="containsText" dxfId="826" priority="529" operator="containsText" text="Discontinued">
      <formula>NOT(ISERROR(SEARCH("Discontinued",BH251)))</formula>
    </cfRule>
    <cfRule type="containsText" dxfId="825" priority="530" operator="containsText" text="In Question">
      <formula>NOT(ISERROR(SEARCH("In Question",BH251)))</formula>
    </cfRule>
    <cfRule type="containsText" dxfId="824" priority="531" operator="containsText" text="Continued">
      <formula>NOT(ISERROR(SEARCH("Continued",BH251)))</formula>
    </cfRule>
  </conditionalFormatting>
  <conditionalFormatting sqref="BF251:BG251">
    <cfRule type="containsText" dxfId="823" priority="526" operator="containsText" text="Discontinued">
      <formula>NOT(ISERROR(SEARCH("Discontinued",BF251)))</formula>
    </cfRule>
    <cfRule type="containsText" dxfId="822" priority="527" operator="containsText" text="In Question">
      <formula>NOT(ISERROR(SEARCH("In Question",BF251)))</formula>
    </cfRule>
    <cfRule type="containsText" dxfId="821" priority="528" operator="containsText" text="Continued">
      <formula>NOT(ISERROR(SEARCH("Continued",BF251)))</formula>
    </cfRule>
  </conditionalFormatting>
  <conditionalFormatting sqref="AX251:BE251">
    <cfRule type="containsText" dxfId="820" priority="523" operator="containsText" text="Discontinued">
      <formula>NOT(ISERROR(SEARCH("Discontinued",AX251)))</formula>
    </cfRule>
    <cfRule type="containsText" dxfId="819" priority="524" operator="containsText" text="In Question">
      <formula>NOT(ISERROR(SEARCH("In Question",AX251)))</formula>
    </cfRule>
    <cfRule type="containsText" dxfId="818" priority="525" operator="containsText" text="Continued">
      <formula>NOT(ISERROR(SEARCH("Continued",AX251)))</formula>
    </cfRule>
  </conditionalFormatting>
  <conditionalFormatting sqref="AJ251:AL251 AV251:AW251 AT251 AR251 AP251 AN251">
    <cfRule type="containsText" dxfId="817" priority="520" operator="containsText" text="Discontinued">
      <formula>NOT(ISERROR(SEARCH("Discontinued",AJ251)))</formula>
    </cfRule>
    <cfRule type="containsText" dxfId="816" priority="521" operator="containsText" text="In Question">
      <formula>NOT(ISERROR(SEARCH("In Question",AJ251)))</formula>
    </cfRule>
    <cfRule type="containsText" dxfId="815" priority="522" operator="containsText" text="Continued">
      <formula>NOT(ISERROR(SEARCH("Continued",AJ251)))</formula>
    </cfRule>
  </conditionalFormatting>
  <conditionalFormatting sqref="BH252:BK252">
    <cfRule type="containsText" dxfId="814" priority="517" operator="containsText" text="Discontinued">
      <formula>NOT(ISERROR(SEARCH("Discontinued",BH252)))</formula>
    </cfRule>
    <cfRule type="containsText" dxfId="813" priority="518" operator="containsText" text="In Question">
      <formula>NOT(ISERROR(SEARCH("In Question",BH252)))</formula>
    </cfRule>
    <cfRule type="containsText" dxfId="812" priority="519" operator="containsText" text="Continued">
      <formula>NOT(ISERROR(SEARCH("Continued",BH252)))</formula>
    </cfRule>
  </conditionalFormatting>
  <conditionalFormatting sqref="BF252:BG252">
    <cfRule type="containsText" dxfId="811" priority="514" operator="containsText" text="Discontinued">
      <formula>NOT(ISERROR(SEARCH("Discontinued",BF252)))</formula>
    </cfRule>
    <cfRule type="containsText" dxfId="810" priority="515" operator="containsText" text="In Question">
      <formula>NOT(ISERROR(SEARCH("In Question",BF252)))</formula>
    </cfRule>
    <cfRule type="containsText" dxfId="809" priority="516" operator="containsText" text="Continued">
      <formula>NOT(ISERROR(SEARCH("Continued",BF252)))</formula>
    </cfRule>
  </conditionalFormatting>
  <conditionalFormatting sqref="AX252:BE252">
    <cfRule type="containsText" dxfId="808" priority="511" operator="containsText" text="Discontinued">
      <formula>NOT(ISERROR(SEARCH("Discontinued",AX252)))</formula>
    </cfRule>
    <cfRule type="containsText" dxfId="807" priority="512" operator="containsText" text="In Question">
      <formula>NOT(ISERROR(SEARCH("In Question",AX252)))</formula>
    </cfRule>
    <cfRule type="containsText" dxfId="806" priority="513" operator="containsText" text="Continued">
      <formula>NOT(ISERROR(SEARCH("Continued",AX252)))</formula>
    </cfRule>
  </conditionalFormatting>
  <conditionalFormatting sqref="AJ252:AL252 AV252:AW252 AT252 AR252 AP252 AN252">
    <cfRule type="containsText" dxfId="805" priority="508" operator="containsText" text="Discontinued">
      <formula>NOT(ISERROR(SEARCH("Discontinued",AJ252)))</formula>
    </cfRule>
    <cfRule type="containsText" dxfId="804" priority="509" operator="containsText" text="In Question">
      <formula>NOT(ISERROR(SEARCH("In Question",AJ252)))</formula>
    </cfRule>
    <cfRule type="containsText" dxfId="803" priority="510" operator="containsText" text="Continued">
      <formula>NOT(ISERROR(SEARCH("Continued",AJ252)))</formula>
    </cfRule>
  </conditionalFormatting>
  <conditionalFormatting sqref="BH253:BK253">
    <cfRule type="containsText" dxfId="802" priority="505" operator="containsText" text="Discontinued">
      <formula>NOT(ISERROR(SEARCH("Discontinued",BH253)))</formula>
    </cfRule>
    <cfRule type="containsText" dxfId="801" priority="506" operator="containsText" text="In Question">
      <formula>NOT(ISERROR(SEARCH("In Question",BH253)))</formula>
    </cfRule>
    <cfRule type="containsText" dxfId="800" priority="507" operator="containsText" text="Continued">
      <formula>NOT(ISERROR(SEARCH("Continued",BH253)))</formula>
    </cfRule>
  </conditionalFormatting>
  <conditionalFormatting sqref="BF253:BG253">
    <cfRule type="containsText" dxfId="799" priority="502" operator="containsText" text="Discontinued">
      <formula>NOT(ISERROR(SEARCH("Discontinued",BF253)))</formula>
    </cfRule>
    <cfRule type="containsText" dxfId="798" priority="503" operator="containsText" text="In Question">
      <formula>NOT(ISERROR(SEARCH("In Question",BF253)))</formula>
    </cfRule>
    <cfRule type="containsText" dxfId="797" priority="504" operator="containsText" text="Continued">
      <formula>NOT(ISERROR(SEARCH("Continued",BF253)))</formula>
    </cfRule>
  </conditionalFormatting>
  <conditionalFormatting sqref="AX253:BE253">
    <cfRule type="containsText" dxfId="796" priority="499" operator="containsText" text="Discontinued">
      <formula>NOT(ISERROR(SEARCH("Discontinued",AX253)))</formula>
    </cfRule>
    <cfRule type="containsText" dxfId="795" priority="500" operator="containsText" text="In Question">
      <formula>NOT(ISERROR(SEARCH("In Question",AX253)))</formula>
    </cfRule>
    <cfRule type="containsText" dxfId="794" priority="501" operator="containsText" text="Continued">
      <formula>NOT(ISERROR(SEARCH("Continued",AX253)))</formula>
    </cfRule>
  </conditionalFormatting>
  <conditionalFormatting sqref="AJ253:AL253 AV253:AW253 AT253 AR253 AP253 AN253">
    <cfRule type="containsText" dxfId="793" priority="496" operator="containsText" text="Discontinued">
      <formula>NOT(ISERROR(SEARCH("Discontinued",AJ253)))</formula>
    </cfRule>
    <cfRule type="containsText" dxfId="792" priority="497" operator="containsText" text="In Question">
      <formula>NOT(ISERROR(SEARCH("In Question",AJ253)))</formula>
    </cfRule>
    <cfRule type="containsText" dxfId="791" priority="498" operator="containsText" text="Continued">
      <formula>NOT(ISERROR(SEARCH("Continued",AJ253)))</formula>
    </cfRule>
  </conditionalFormatting>
  <conditionalFormatting sqref="BH254:BK254">
    <cfRule type="containsText" dxfId="790" priority="493" operator="containsText" text="Discontinued">
      <formula>NOT(ISERROR(SEARCH("Discontinued",BH254)))</formula>
    </cfRule>
    <cfRule type="containsText" dxfId="789" priority="494" operator="containsText" text="In Question">
      <formula>NOT(ISERROR(SEARCH("In Question",BH254)))</formula>
    </cfRule>
    <cfRule type="containsText" dxfId="788" priority="495" operator="containsText" text="Continued">
      <formula>NOT(ISERROR(SEARCH("Continued",BH254)))</formula>
    </cfRule>
  </conditionalFormatting>
  <conditionalFormatting sqref="BF254:BG254">
    <cfRule type="containsText" dxfId="787" priority="490" operator="containsText" text="Discontinued">
      <formula>NOT(ISERROR(SEARCH("Discontinued",BF254)))</formula>
    </cfRule>
    <cfRule type="containsText" dxfId="786" priority="491" operator="containsText" text="In Question">
      <formula>NOT(ISERROR(SEARCH("In Question",BF254)))</formula>
    </cfRule>
    <cfRule type="containsText" dxfId="785" priority="492" operator="containsText" text="Continued">
      <formula>NOT(ISERROR(SEARCH("Continued",BF254)))</formula>
    </cfRule>
  </conditionalFormatting>
  <conditionalFormatting sqref="AX254:BE254">
    <cfRule type="containsText" dxfId="784" priority="487" operator="containsText" text="Discontinued">
      <formula>NOT(ISERROR(SEARCH("Discontinued",AX254)))</formula>
    </cfRule>
    <cfRule type="containsText" dxfId="783" priority="488" operator="containsText" text="In Question">
      <formula>NOT(ISERROR(SEARCH("In Question",AX254)))</formula>
    </cfRule>
    <cfRule type="containsText" dxfId="782" priority="489" operator="containsText" text="Continued">
      <formula>NOT(ISERROR(SEARCH("Continued",AX254)))</formula>
    </cfRule>
  </conditionalFormatting>
  <conditionalFormatting sqref="AX125:AY125">
    <cfRule type="containsText" dxfId="781" priority="439" operator="containsText" text="Discontinued">
      <formula>NOT(ISERROR(SEARCH("Discontinued",AX125)))</formula>
    </cfRule>
    <cfRule type="containsText" dxfId="780" priority="440" operator="containsText" text="In Question">
      <formula>NOT(ISERROR(SEARCH("In Question",AX125)))</formula>
    </cfRule>
    <cfRule type="containsText" dxfId="779" priority="441" operator="containsText" text="Continued">
      <formula>NOT(ISERROR(SEARCH("Continued",AX125)))</formula>
    </cfRule>
  </conditionalFormatting>
  <conditionalFormatting sqref="BH181:BI181">
    <cfRule type="containsText" dxfId="778" priority="436" operator="containsText" text="Discontinued">
      <formula>NOT(ISERROR(SEARCH("Discontinued",BH181)))</formula>
    </cfRule>
    <cfRule type="containsText" dxfId="777" priority="437" operator="containsText" text="In Question">
      <formula>NOT(ISERROR(SEARCH("In Question",BH181)))</formula>
    </cfRule>
    <cfRule type="containsText" dxfId="776" priority="438" operator="containsText" text="Continued">
      <formula>NOT(ISERROR(SEARCH("Continued",BH181)))</formula>
    </cfRule>
  </conditionalFormatting>
  <conditionalFormatting sqref="BH183:BI183">
    <cfRule type="containsText" dxfId="775" priority="433" operator="containsText" text="Discontinued">
      <formula>NOT(ISERROR(SEARCH("Discontinued",BH183)))</formula>
    </cfRule>
    <cfRule type="containsText" dxfId="774" priority="434" operator="containsText" text="In Question">
      <formula>NOT(ISERROR(SEARCH("In Question",BH183)))</formula>
    </cfRule>
    <cfRule type="containsText" dxfId="773" priority="435" operator="containsText" text="Continued">
      <formula>NOT(ISERROR(SEARCH("Continued",BH183)))</formula>
    </cfRule>
  </conditionalFormatting>
  <conditionalFormatting sqref="AR83">
    <cfRule type="containsText" dxfId="772" priority="430" operator="containsText" text="Discontinued">
      <formula>NOT(ISERROR(SEARCH("Discontinued",AR83)))</formula>
    </cfRule>
    <cfRule type="containsText" dxfId="771" priority="431" operator="containsText" text="In Question">
      <formula>NOT(ISERROR(SEARCH("In Question",AR83)))</formula>
    </cfRule>
    <cfRule type="containsText" dxfId="770" priority="432" operator="containsText" text="Continued">
      <formula>NOT(ISERROR(SEARCH("Continued",AR83)))</formula>
    </cfRule>
  </conditionalFormatting>
  <conditionalFormatting sqref="BS196">
    <cfRule type="containsText" dxfId="769" priority="469" operator="containsText" text="Discontinued">
      <formula>NOT(ISERROR(SEARCH("Discontinued",BS196)))</formula>
    </cfRule>
    <cfRule type="containsText" dxfId="768" priority="470" operator="containsText" text="In Question">
      <formula>NOT(ISERROR(SEARCH("In Question",BS196)))</formula>
    </cfRule>
    <cfRule type="containsText" dxfId="767" priority="471" operator="containsText" text="Continued">
      <formula>NOT(ISERROR(SEARCH("Continued",BS196)))</formula>
    </cfRule>
  </conditionalFormatting>
  <conditionalFormatting sqref="BS197">
    <cfRule type="containsText" dxfId="766" priority="466" operator="containsText" text="Discontinued">
      <formula>NOT(ISERROR(SEARCH("Discontinued",BS197)))</formula>
    </cfRule>
    <cfRule type="containsText" dxfId="765" priority="467" operator="containsText" text="In Question">
      <formula>NOT(ISERROR(SEARCH("In Question",BS197)))</formula>
    </cfRule>
    <cfRule type="containsText" dxfId="764" priority="468" operator="containsText" text="Continued">
      <formula>NOT(ISERROR(SEARCH("Continued",BS197)))</formula>
    </cfRule>
  </conditionalFormatting>
  <conditionalFormatting sqref="BS198">
    <cfRule type="containsText" dxfId="763" priority="463" operator="containsText" text="Discontinued">
      <formula>NOT(ISERROR(SEARCH("Discontinued",BS198)))</formula>
    </cfRule>
    <cfRule type="containsText" dxfId="762" priority="464" operator="containsText" text="In Question">
      <formula>NOT(ISERROR(SEARCH("In Question",BS198)))</formula>
    </cfRule>
    <cfRule type="containsText" dxfId="761" priority="465" operator="containsText" text="Continued">
      <formula>NOT(ISERROR(SEARCH("Continued",BS198)))</formula>
    </cfRule>
  </conditionalFormatting>
  <conditionalFormatting sqref="BS201">
    <cfRule type="containsText" dxfId="760" priority="460" operator="containsText" text="Discontinued">
      <formula>NOT(ISERROR(SEARCH("Discontinued",BS201)))</formula>
    </cfRule>
    <cfRule type="containsText" dxfId="759" priority="461" operator="containsText" text="In Question">
      <formula>NOT(ISERROR(SEARCH("In Question",BS201)))</formula>
    </cfRule>
    <cfRule type="containsText" dxfId="758" priority="462" operator="containsText" text="Continued">
      <formula>NOT(ISERROR(SEARCH("Continued",BS201)))</formula>
    </cfRule>
  </conditionalFormatting>
  <conditionalFormatting sqref="AP83">
    <cfRule type="containsText" dxfId="757" priority="457" operator="containsText" text="Discontinued">
      <formula>NOT(ISERROR(SEARCH("Discontinued",AP83)))</formula>
    </cfRule>
    <cfRule type="containsText" dxfId="756" priority="458" operator="containsText" text="In Question">
      <formula>NOT(ISERROR(SEARCH("In Question",AP83)))</formula>
    </cfRule>
    <cfRule type="containsText" dxfId="755" priority="459" operator="containsText" text="Continued">
      <formula>NOT(ISERROR(SEARCH("Continued",AP83)))</formula>
    </cfRule>
  </conditionalFormatting>
  <conditionalFormatting sqref="AX121:AY121">
    <cfRule type="containsText" dxfId="754" priority="451" operator="containsText" text="Discontinued">
      <formula>NOT(ISERROR(SEARCH("Discontinued",AX121)))</formula>
    </cfRule>
    <cfRule type="containsText" dxfId="753" priority="452" operator="containsText" text="In Question">
      <formula>NOT(ISERROR(SEARCH("In Question",AX121)))</formula>
    </cfRule>
    <cfRule type="containsText" dxfId="752" priority="453" operator="containsText" text="Continued">
      <formula>NOT(ISERROR(SEARCH("Continued",AX121)))</formula>
    </cfRule>
  </conditionalFormatting>
  <conditionalFormatting sqref="AX122:AY122">
    <cfRule type="containsText" dxfId="751" priority="448" operator="containsText" text="Discontinued">
      <formula>NOT(ISERROR(SEARCH("Discontinued",AX122)))</formula>
    </cfRule>
    <cfRule type="containsText" dxfId="750" priority="449" operator="containsText" text="In Question">
      <formula>NOT(ISERROR(SEARCH("In Question",AX122)))</formula>
    </cfRule>
    <cfRule type="containsText" dxfId="749" priority="450" operator="containsText" text="Continued">
      <formula>NOT(ISERROR(SEARCH("Continued",AX122)))</formula>
    </cfRule>
  </conditionalFormatting>
  <conditionalFormatting sqref="AX123:AY123">
    <cfRule type="containsText" dxfId="748" priority="445" operator="containsText" text="Discontinued">
      <formula>NOT(ISERROR(SEARCH("Discontinued",AX123)))</formula>
    </cfRule>
    <cfRule type="containsText" dxfId="747" priority="446" operator="containsText" text="In Question">
      <formula>NOT(ISERROR(SEARCH("In Question",AX123)))</formula>
    </cfRule>
    <cfRule type="containsText" dxfId="746" priority="447" operator="containsText" text="Continued">
      <formula>NOT(ISERROR(SEARCH("Continued",AX123)))</formula>
    </cfRule>
  </conditionalFormatting>
  <conditionalFormatting sqref="AX124:AY124">
    <cfRule type="containsText" dxfId="745" priority="442" operator="containsText" text="Discontinued">
      <formula>NOT(ISERROR(SEARCH("Discontinued",AX124)))</formula>
    </cfRule>
    <cfRule type="containsText" dxfId="744" priority="443" operator="containsText" text="In Question">
      <formula>NOT(ISERROR(SEARCH("In Question",AX124)))</formula>
    </cfRule>
    <cfRule type="containsText" dxfId="743" priority="444" operator="containsText" text="Continued">
      <formula>NOT(ISERROR(SEARCH("Continued",AX124)))</formula>
    </cfRule>
  </conditionalFormatting>
  <conditionalFormatting sqref="AT83">
    <cfRule type="containsText" dxfId="742" priority="427" operator="containsText" text="Discontinued">
      <formula>NOT(ISERROR(SEARCH("Discontinued",AT83)))</formula>
    </cfRule>
    <cfRule type="containsText" dxfId="741" priority="428" operator="containsText" text="In Question">
      <formula>NOT(ISERROR(SEARCH("In Question",AT83)))</formula>
    </cfRule>
    <cfRule type="containsText" dxfId="740" priority="429" operator="containsText" text="Continued">
      <formula>NOT(ISERROR(SEARCH("Continued",AT83)))</formula>
    </cfRule>
  </conditionalFormatting>
  <conditionalFormatting sqref="AV83:AW83">
    <cfRule type="containsText" dxfId="739" priority="424" operator="containsText" text="Discontinued">
      <formula>NOT(ISERROR(SEARCH("Discontinued",AV83)))</formula>
    </cfRule>
    <cfRule type="containsText" dxfId="738" priority="425" operator="containsText" text="In Question">
      <formula>NOT(ISERROR(SEARCH("In Question",AV83)))</formula>
    </cfRule>
    <cfRule type="containsText" dxfId="737" priority="426" operator="containsText" text="Continued">
      <formula>NOT(ISERROR(SEARCH("Continued",AV83)))</formula>
    </cfRule>
  </conditionalFormatting>
  <conditionalFormatting sqref="AX83:AY84">
    <cfRule type="containsText" dxfId="736" priority="421" operator="containsText" text="Discontinued">
      <formula>NOT(ISERROR(SEARCH("Discontinued",AX83)))</formula>
    </cfRule>
    <cfRule type="containsText" dxfId="735" priority="422" operator="containsText" text="In Question">
      <formula>NOT(ISERROR(SEARCH("In Question",AX83)))</formula>
    </cfRule>
    <cfRule type="containsText" dxfId="734" priority="423" operator="containsText" text="Continued">
      <formula>NOT(ISERROR(SEARCH("Continued",AX83)))</formula>
    </cfRule>
  </conditionalFormatting>
  <conditionalFormatting sqref="AX86:AY89">
    <cfRule type="containsText" dxfId="733" priority="418" operator="containsText" text="Discontinued">
      <formula>NOT(ISERROR(SEARCH("Discontinued",AX86)))</formula>
    </cfRule>
    <cfRule type="containsText" dxfId="732" priority="419" operator="containsText" text="In Question">
      <formula>NOT(ISERROR(SEARCH("In Question",AX86)))</formula>
    </cfRule>
    <cfRule type="containsText" dxfId="731" priority="420" operator="containsText" text="Continued">
      <formula>NOT(ISERROR(SEARCH("Continued",AX86)))</formula>
    </cfRule>
  </conditionalFormatting>
  <conditionalFormatting sqref="AZ121:BA125">
    <cfRule type="containsText" dxfId="730" priority="412" operator="containsText" text="Discontinued">
      <formula>NOT(ISERROR(SEARCH("Discontinued",AZ121)))</formula>
    </cfRule>
    <cfRule type="containsText" dxfId="729" priority="413" operator="containsText" text="In Question">
      <formula>NOT(ISERROR(SEARCH("In Question",AZ121)))</formula>
    </cfRule>
    <cfRule type="containsText" dxfId="728" priority="414" operator="containsText" text="Continued">
      <formula>NOT(ISERROR(SEARCH("Continued",AZ121)))</formula>
    </cfRule>
  </conditionalFormatting>
  <conditionalFormatting sqref="BB121:BC125">
    <cfRule type="containsText" dxfId="727" priority="400" operator="containsText" text="Discontinued">
      <formula>NOT(ISERROR(SEARCH("Discontinued",BB121)))</formula>
    </cfRule>
    <cfRule type="containsText" dxfId="726" priority="401" operator="containsText" text="In Question">
      <formula>NOT(ISERROR(SEARCH("In Question",BB121)))</formula>
    </cfRule>
    <cfRule type="containsText" dxfId="725" priority="402" operator="containsText" text="Continued">
      <formula>NOT(ISERROR(SEARCH("Continued",BB121)))</formula>
    </cfRule>
  </conditionalFormatting>
  <conditionalFormatting sqref="BD121:BE125">
    <cfRule type="containsText" dxfId="724" priority="394" operator="containsText" text="Discontinued">
      <formula>NOT(ISERROR(SEARCH("Discontinued",BD121)))</formula>
    </cfRule>
    <cfRule type="containsText" dxfId="723" priority="395" operator="containsText" text="In Question">
      <formula>NOT(ISERROR(SEARCH("In Question",BD121)))</formula>
    </cfRule>
    <cfRule type="containsText" dxfId="722" priority="396" operator="containsText" text="Continued">
      <formula>NOT(ISERROR(SEARCH("Continued",BD121)))</formula>
    </cfRule>
  </conditionalFormatting>
  <conditionalFormatting sqref="BF121:BG125">
    <cfRule type="containsText" dxfId="721" priority="388" operator="containsText" text="Discontinued">
      <formula>NOT(ISERROR(SEARCH("Discontinued",BF121)))</formula>
    </cfRule>
    <cfRule type="containsText" dxfId="720" priority="389" operator="containsText" text="In Question">
      <formula>NOT(ISERROR(SEARCH("In Question",BF121)))</formula>
    </cfRule>
    <cfRule type="containsText" dxfId="719" priority="390" operator="containsText" text="Continued">
      <formula>NOT(ISERROR(SEARCH("Continued",BF121)))</formula>
    </cfRule>
  </conditionalFormatting>
  <conditionalFormatting sqref="BH121:BI164">
    <cfRule type="containsText" dxfId="718" priority="382" operator="containsText" text="Discontinued">
      <formula>NOT(ISERROR(SEARCH("Discontinued",BH121)))</formula>
    </cfRule>
    <cfRule type="containsText" dxfId="717" priority="383" operator="containsText" text="In Question">
      <formula>NOT(ISERROR(SEARCH("In Question",BH121)))</formula>
    </cfRule>
    <cfRule type="containsText" dxfId="716" priority="384" operator="containsText" text="Continued">
      <formula>NOT(ISERROR(SEARCH("Continued",BH121)))</formula>
    </cfRule>
  </conditionalFormatting>
  <conditionalFormatting sqref="BJ121:BK165">
    <cfRule type="containsText" dxfId="715" priority="376" operator="containsText" text="Discontinued">
      <formula>NOT(ISERROR(SEARCH("Discontinued",BJ121)))</formula>
    </cfRule>
    <cfRule type="containsText" dxfId="714" priority="377" operator="containsText" text="In Question">
      <formula>NOT(ISERROR(SEARCH("In Question",BJ121)))</formula>
    </cfRule>
    <cfRule type="containsText" dxfId="713" priority="378" operator="containsText" text="Continued">
      <formula>NOT(ISERROR(SEARCH("Continued",BJ121)))</formula>
    </cfRule>
  </conditionalFormatting>
  <conditionalFormatting sqref="BJ181:BK181">
    <cfRule type="containsText" dxfId="712" priority="373" operator="containsText" text="Discontinued">
      <formula>NOT(ISERROR(SEARCH("Discontinued",BJ181)))</formula>
    </cfRule>
    <cfRule type="containsText" dxfId="711" priority="374" operator="containsText" text="In Question">
      <formula>NOT(ISERROR(SEARCH("In Question",BJ181)))</formula>
    </cfRule>
    <cfRule type="containsText" dxfId="710" priority="375" operator="containsText" text="Continued">
      <formula>NOT(ISERROR(SEARCH("Continued",BJ181)))</formula>
    </cfRule>
  </conditionalFormatting>
  <conditionalFormatting sqref="BJ183:BK183">
    <cfRule type="containsText" dxfId="709" priority="370" operator="containsText" text="Discontinued">
      <formula>NOT(ISERROR(SEARCH("Discontinued",BJ183)))</formula>
    </cfRule>
    <cfRule type="containsText" dxfId="708" priority="371" operator="containsText" text="In Question">
      <formula>NOT(ISERROR(SEARCH("In Question",BJ183)))</formula>
    </cfRule>
    <cfRule type="containsText" dxfId="707" priority="372" operator="containsText" text="Continued">
      <formula>NOT(ISERROR(SEARCH("Continued",BJ183)))</formula>
    </cfRule>
  </conditionalFormatting>
  <conditionalFormatting sqref="BS121:BT121 BS122:BS165">
    <cfRule type="containsText" dxfId="706" priority="364" operator="containsText" text="Discontinued">
      <formula>NOT(ISERROR(SEARCH("Discontinued",BS121)))</formula>
    </cfRule>
    <cfRule type="containsText" dxfId="705" priority="365" operator="containsText" text="In Question">
      <formula>NOT(ISERROR(SEARCH("In Question",BS121)))</formula>
    </cfRule>
    <cfRule type="containsText" dxfId="704" priority="366" operator="containsText" text="Continued">
      <formula>NOT(ISERROR(SEARCH("Continued",BS121)))</formula>
    </cfRule>
  </conditionalFormatting>
  <conditionalFormatting sqref="BS174:BS178">
    <cfRule type="containsText" dxfId="703" priority="361" operator="containsText" text="Discontinued">
      <formula>NOT(ISERROR(SEARCH("Discontinued",BS174)))</formula>
    </cfRule>
    <cfRule type="containsText" dxfId="702" priority="362" operator="containsText" text="In Question">
      <formula>NOT(ISERROR(SEARCH("In Question",BS174)))</formula>
    </cfRule>
    <cfRule type="containsText" dxfId="701" priority="363" operator="containsText" text="Continued">
      <formula>NOT(ISERROR(SEARCH("Continued",BS174)))</formula>
    </cfRule>
  </conditionalFormatting>
  <conditionalFormatting sqref="BS181">
    <cfRule type="containsText" dxfId="700" priority="358" operator="containsText" text="Discontinued">
      <formula>NOT(ISERROR(SEARCH("Discontinued",BS181)))</formula>
    </cfRule>
    <cfRule type="containsText" dxfId="699" priority="359" operator="containsText" text="In Question">
      <formula>NOT(ISERROR(SEARCH("In Question",BS181)))</formula>
    </cfRule>
    <cfRule type="containsText" dxfId="698" priority="360" operator="containsText" text="Continued">
      <formula>NOT(ISERROR(SEARCH("Continued",BS181)))</formula>
    </cfRule>
  </conditionalFormatting>
  <conditionalFormatting sqref="BS183">
    <cfRule type="containsText" dxfId="697" priority="355" operator="containsText" text="Discontinued">
      <formula>NOT(ISERROR(SEARCH("Discontinued",BS183)))</formula>
    </cfRule>
    <cfRule type="containsText" dxfId="696" priority="356" operator="containsText" text="In Question">
      <formula>NOT(ISERROR(SEARCH("In Question",BS183)))</formula>
    </cfRule>
    <cfRule type="containsText" dxfId="695" priority="357" operator="containsText" text="Continued">
      <formula>NOT(ISERROR(SEARCH("Continued",BS183)))</formula>
    </cfRule>
  </conditionalFormatting>
  <conditionalFormatting sqref="BS199">
    <cfRule type="containsText" dxfId="694" priority="352" operator="containsText" text="Discontinued">
      <formula>NOT(ISERROR(SEARCH("Discontinued",BS199)))</formula>
    </cfRule>
    <cfRule type="containsText" dxfId="693" priority="353" operator="containsText" text="In Question">
      <formula>NOT(ISERROR(SEARCH("In Question",BS199)))</formula>
    </cfRule>
    <cfRule type="containsText" dxfId="692" priority="354" operator="containsText" text="Continued">
      <formula>NOT(ISERROR(SEARCH("Continued",BS199)))</formula>
    </cfRule>
  </conditionalFormatting>
  <conditionalFormatting sqref="BS200">
    <cfRule type="containsText" dxfId="691" priority="349" operator="containsText" text="Discontinued">
      <formula>NOT(ISERROR(SEARCH("Discontinued",BS200)))</formula>
    </cfRule>
    <cfRule type="containsText" dxfId="690" priority="350" operator="containsText" text="In Question">
      <formula>NOT(ISERROR(SEARCH("In Question",BS200)))</formula>
    </cfRule>
    <cfRule type="containsText" dxfId="689" priority="351" operator="containsText" text="Continued">
      <formula>NOT(ISERROR(SEARCH("Continued",BS200)))</formula>
    </cfRule>
  </conditionalFormatting>
  <conditionalFormatting sqref="BU196:BV211">
    <cfRule type="containsText" dxfId="688" priority="295" operator="containsText" text="Discontinued">
      <formula>NOT(ISERROR(SEARCH("Discontinued",BU196)))</formula>
    </cfRule>
    <cfRule type="containsText" dxfId="687" priority="296" operator="containsText" text="In Question">
      <formula>NOT(ISERROR(SEARCH("In Question",BU196)))</formula>
    </cfRule>
    <cfRule type="containsText" dxfId="686" priority="297" operator="containsText" text="Continued">
      <formula>NOT(ISERROR(SEARCH("Continued",BU196)))</formula>
    </cfRule>
  </conditionalFormatting>
  <conditionalFormatting sqref="BM248:BO254">
    <cfRule type="containsText" dxfId="685" priority="343" operator="containsText" text="Discontinued">
      <formula>NOT(ISERROR(SEARCH("Discontinued",BM248)))</formula>
    </cfRule>
    <cfRule type="containsText" dxfId="684" priority="344" operator="containsText" text="In Question">
      <formula>NOT(ISERROR(SEARCH("In Question",BM248)))</formula>
    </cfRule>
    <cfRule type="containsText" dxfId="683" priority="345" operator="containsText" text="Continued">
      <formula>NOT(ISERROR(SEARCH("Continued",BM248)))</formula>
    </cfRule>
  </conditionalFormatting>
  <conditionalFormatting sqref="BM255:BQ285">
    <cfRule type="containsText" dxfId="682" priority="334" operator="containsText" text="Discontinued">
      <formula>NOT(ISERROR(SEARCH("Discontinued",BM255)))</formula>
    </cfRule>
    <cfRule type="containsText" dxfId="681" priority="335" operator="containsText" text="In Question">
      <formula>NOT(ISERROR(SEARCH("In Question",BM255)))</formula>
    </cfRule>
    <cfRule type="containsText" dxfId="680" priority="336" operator="containsText" text="Continued">
      <formula>NOT(ISERROR(SEARCH("Continued",BM255)))</formula>
    </cfRule>
  </conditionalFormatting>
  <conditionalFormatting sqref="BR255:BR285">
    <cfRule type="containsText" dxfId="679" priority="328" operator="containsText" text="Discontinued">
      <formula>NOT(ISERROR(SEARCH("Discontinued",BR255)))</formula>
    </cfRule>
    <cfRule type="containsText" dxfId="678" priority="329" operator="containsText" text="In Question">
      <formula>NOT(ISERROR(SEARCH("In Question",BR255)))</formula>
    </cfRule>
    <cfRule type="containsText" dxfId="677" priority="330" operator="containsText" text="Continued">
      <formula>NOT(ISERROR(SEARCH("Continued",BR255)))</formula>
    </cfRule>
  </conditionalFormatting>
  <conditionalFormatting sqref="BR120">
    <cfRule type="containsText" dxfId="676" priority="319" operator="containsText" text="Discontinued">
      <formula>NOT(ISERROR(SEARCH("Discontinued",BR120)))</formula>
    </cfRule>
    <cfRule type="containsText" dxfId="675" priority="320" operator="containsText" text="In Question">
      <formula>NOT(ISERROR(SEARCH("In Question",BR120)))</formula>
    </cfRule>
    <cfRule type="containsText" dxfId="674" priority="321" operator="containsText" text="Continued">
      <formula>NOT(ISERROR(SEARCH("Continued",BR120)))</formula>
    </cfRule>
  </conditionalFormatting>
  <conditionalFormatting sqref="BT196:BT211">
    <cfRule type="containsText" dxfId="673" priority="313" operator="containsText" text="Discontinued">
      <formula>NOT(ISERROR(SEARCH("Discontinued",BT196)))</formula>
    </cfRule>
    <cfRule type="containsText" dxfId="672" priority="314" operator="containsText" text="In Question">
      <formula>NOT(ISERROR(SEARCH("In Question",BT196)))</formula>
    </cfRule>
    <cfRule type="containsText" dxfId="671" priority="315" operator="containsText" text="Continued">
      <formula>NOT(ISERROR(SEARCH("Continued",BT196)))</formula>
    </cfRule>
  </conditionalFormatting>
  <conditionalFormatting sqref="BT231">
    <cfRule type="containsText" dxfId="670" priority="310" operator="containsText" text="Discontinued">
      <formula>NOT(ISERROR(SEARCH("Discontinued",BT231)))</formula>
    </cfRule>
    <cfRule type="containsText" dxfId="669" priority="311" operator="containsText" text="In Question">
      <formula>NOT(ISERROR(SEARCH("In Question",BT231)))</formula>
    </cfRule>
    <cfRule type="containsText" dxfId="668" priority="312" operator="containsText" text="Continued">
      <formula>NOT(ISERROR(SEARCH("Continued",BT231)))</formula>
    </cfRule>
  </conditionalFormatting>
  <conditionalFormatting sqref="BT232:BT254">
    <cfRule type="containsText" dxfId="667" priority="307" operator="containsText" text="Discontinued">
      <formula>NOT(ISERROR(SEARCH("Discontinued",BT232)))</formula>
    </cfRule>
    <cfRule type="containsText" dxfId="666" priority="308" operator="containsText" text="In Question">
      <formula>NOT(ISERROR(SEARCH("In Question",BT232)))</formula>
    </cfRule>
    <cfRule type="containsText" dxfId="665" priority="309" operator="containsText" text="Continued">
      <formula>NOT(ISERROR(SEARCH("Continued",BT232)))</formula>
    </cfRule>
  </conditionalFormatting>
  <conditionalFormatting sqref="BV231">
    <cfRule type="containsText" dxfId="664" priority="304" operator="containsText" text="Discontinued">
      <formula>NOT(ISERROR(SEARCH("Discontinued",BV231)))</formula>
    </cfRule>
    <cfRule type="containsText" dxfId="663" priority="305" operator="containsText" text="In Question">
      <formula>NOT(ISERROR(SEARCH("In Question",BV231)))</formula>
    </cfRule>
    <cfRule type="containsText" dxfId="662" priority="306" operator="containsText" text="Continued">
      <formula>NOT(ISERROR(SEARCH("Continued",BV231)))</formula>
    </cfRule>
  </conditionalFormatting>
  <conditionalFormatting sqref="BL120:BL124">
    <cfRule type="cellIs" dxfId="661" priority="251" operator="equal">
      <formula>"Continued"</formula>
    </cfRule>
    <cfRule type="cellIs" dxfId="660" priority="252" operator="equal">
      <formula>"Discontinued"</formula>
    </cfRule>
  </conditionalFormatting>
  <conditionalFormatting sqref="BL196:BL201">
    <cfRule type="cellIs" dxfId="659" priority="250" operator="equal">
      <formula>"Continued"</formula>
    </cfRule>
  </conditionalFormatting>
  <conditionalFormatting sqref="BL231:BL241">
    <cfRule type="cellIs" dxfId="658" priority="249" operator="equal">
      <formula>"Continued"</formula>
    </cfRule>
  </conditionalFormatting>
  <conditionalFormatting sqref="AI196:AI201">
    <cfRule type="cellIs" dxfId="657" priority="248" operator="equal">
      <formula>"Continued"</formula>
    </cfRule>
  </conditionalFormatting>
  <conditionalFormatting sqref="AI231:AI241">
    <cfRule type="cellIs" dxfId="656" priority="246" operator="equal">
      <formula>"Continued"</formula>
    </cfRule>
  </conditionalFormatting>
  <conditionalFormatting sqref="BL286">
    <cfRule type="containsText" dxfId="655" priority="243" operator="containsText" text="Discontinued">
      <formula>NOT(ISERROR(SEARCH("Discontinued",BL286)))</formula>
    </cfRule>
    <cfRule type="containsText" dxfId="654" priority="244" operator="containsText" text="In Question">
      <formula>NOT(ISERROR(SEARCH("In Question",BL286)))</formula>
    </cfRule>
    <cfRule type="containsText" dxfId="653" priority="245" operator="containsText" text="Continued">
      <formula>NOT(ISERROR(SEARCH("Continued",BL286)))</formula>
    </cfRule>
  </conditionalFormatting>
  <conditionalFormatting sqref="BL286">
    <cfRule type="containsText" dxfId="652" priority="242" operator="containsText" text="Past Survey Line">
      <formula>NOT(ISERROR(SEARCH("Past Survey Line",BL286)))</formula>
    </cfRule>
  </conditionalFormatting>
  <conditionalFormatting sqref="BL286">
    <cfRule type="cellIs" dxfId="651" priority="241" operator="equal">
      <formula>"Unknown"</formula>
    </cfRule>
  </conditionalFormatting>
  <conditionalFormatting sqref="BQ287:BQ304">
    <cfRule type="containsText" dxfId="650" priority="225" operator="containsText" text="Discontinued">
      <formula>NOT(ISERROR(SEARCH("Discontinued",BQ287)))</formula>
    </cfRule>
    <cfRule type="containsText" dxfId="649" priority="226" operator="containsText" text="In Question">
      <formula>NOT(ISERROR(SEARCH("In Question",BQ287)))</formula>
    </cfRule>
    <cfRule type="containsText" dxfId="648" priority="227" operator="containsText" text="Continued">
      <formula>NOT(ISERROR(SEARCH("Continued",BQ287)))</formula>
    </cfRule>
  </conditionalFormatting>
  <conditionalFormatting sqref="BL287:BL304">
    <cfRule type="containsText" dxfId="647" priority="222" operator="containsText" text="Discontinued">
      <formula>NOT(ISERROR(SEARCH("Discontinued",BL287)))</formula>
    </cfRule>
    <cfRule type="containsText" dxfId="646" priority="223" operator="containsText" text="In Question">
      <formula>NOT(ISERROR(SEARCH("In Question",BL287)))</formula>
    </cfRule>
    <cfRule type="containsText" dxfId="645" priority="224" operator="containsText" text="Continued">
      <formula>NOT(ISERROR(SEARCH("Continued",BL287)))</formula>
    </cfRule>
  </conditionalFormatting>
  <conditionalFormatting sqref="BL287:BL304">
    <cfRule type="containsText" dxfId="644" priority="221" operator="containsText" text="Past Survey Line">
      <formula>NOT(ISERROR(SEARCH("Past Survey Line",BL287)))</formula>
    </cfRule>
  </conditionalFormatting>
  <conditionalFormatting sqref="BL287:BL304">
    <cfRule type="cellIs" dxfId="643" priority="220" operator="equal">
      <formula>"Unknown"</formula>
    </cfRule>
  </conditionalFormatting>
  <conditionalFormatting sqref="BL305:BL310">
    <cfRule type="cellIs" dxfId="642" priority="219" operator="equal">
      <formula>"Unknown"</formula>
    </cfRule>
  </conditionalFormatting>
  <conditionalFormatting sqref="BT286:BT296">
    <cfRule type="containsText" dxfId="641" priority="216" operator="containsText" text="Discontinued">
      <formula>NOT(ISERROR(SEARCH("Discontinued",BT286)))</formula>
    </cfRule>
    <cfRule type="containsText" dxfId="640" priority="217" operator="containsText" text="In Question">
      <formula>NOT(ISERROR(SEARCH("In Question",BT286)))</formula>
    </cfRule>
    <cfRule type="containsText" dxfId="639" priority="218" operator="containsText" text="Continued">
      <formula>NOT(ISERROR(SEARCH("Continued",BT286)))</formula>
    </cfRule>
  </conditionalFormatting>
  <conditionalFormatting sqref="AI120:AI125">
    <cfRule type="cellIs" dxfId="638" priority="203" operator="equal">
      <formula>"Discontinued"</formula>
    </cfRule>
  </conditionalFormatting>
  <conditionalFormatting sqref="AI120:AI125">
    <cfRule type="cellIs" dxfId="637" priority="202" operator="equal">
      <formula>"Continued"</formula>
    </cfRule>
  </conditionalFormatting>
  <conditionalFormatting sqref="BL311:BL334">
    <cfRule type="containsText" dxfId="636" priority="199" operator="containsText" text="Discontinued">
      <formula>NOT(ISERROR(SEARCH("Discontinued",BL311)))</formula>
    </cfRule>
    <cfRule type="containsText" dxfId="635" priority="200" operator="containsText" text="In Question">
      <formula>NOT(ISERROR(SEARCH("In Question",BL311)))</formula>
    </cfRule>
    <cfRule type="containsText" dxfId="634" priority="201" operator="containsText" text="Continued">
      <formula>NOT(ISERROR(SEARCH("Continued",BL311)))</formula>
    </cfRule>
  </conditionalFormatting>
  <conditionalFormatting sqref="BL311:BL334">
    <cfRule type="containsText" dxfId="633" priority="198" operator="containsText" text="Past Survey Line">
      <formula>NOT(ISERROR(SEARCH("Past Survey Line",BL311)))</formula>
    </cfRule>
  </conditionalFormatting>
  <conditionalFormatting sqref="BL311:BL334">
    <cfRule type="cellIs" dxfId="632" priority="197" operator="equal">
      <formula>"Unknown"</formula>
    </cfRule>
  </conditionalFormatting>
  <conditionalFormatting sqref="CF287:CF296">
    <cfRule type="containsText" dxfId="631" priority="136" operator="containsText" text="Discontinued">
      <formula>NOT(ISERROR(SEARCH("Discontinued",CF287)))</formula>
    </cfRule>
    <cfRule type="containsText" dxfId="630" priority="137" operator="containsText" text="In Question">
      <formula>NOT(ISERROR(SEARCH("In Question",CF287)))</formula>
    </cfRule>
    <cfRule type="containsText" dxfId="629" priority="138" operator="containsText" text="Continued">
      <formula>NOT(ISERROR(SEARCH("Continued",CF287)))</formula>
    </cfRule>
  </conditionalFormatting>
  <conditionalFormatting sqref="CB278:CD285">
    <cfRule type="containsText" dxfId="628" priority="142" operator="containsText" text="Discontinued">
      <formula>NOT(ISERROR(SEARCH("Discontinued",CB278)))</formula>
    </cfRule>
    <cfRule type="containsText" dxfId="627" priority="143" operator="containsText" text="In Question">
      <formula>NOT(ISERROR(SEARCH("In Question",CB278)))</formula>
    </cfRule>
    <cfRule type="containsText" dxfId="626" priority="144" operator="containsText" text="Continued">
      <formula>NOT(ISERROR(SEARCH("Continued",CB278)))</formula>
    </cfRule>
  </conditionalFormatting>
  <conditionalFormatting sqref="CF278:CF285">
    <cfRule type="containsText" dxfId="625" priority="139" operator="containsText" text="Discontinued">
      <formula>NOT(ISERROR(SEARCH("Discontinued",CF278)))</formula>
    </cfRule>
    <cfRule type="containsText" dxfId="624" priority="140" operator="containsText" text="In Question">
      <formula>NOT(ISERROR(SEARCH("In Question",CF278)))</formula>
    </cfRule>
    <cfRule type="containsText" dxfId="623" priority="141" operator="containsText" text="Continued">
      <formula>NOT(ISERROR(SEARCH("Continued",CF278)))</formula>
    </cfRule>
  </conditionalFormatting>
  <conditionalFormatting sqref="AN351:BK368">
    <cfRule type="containsText" dxfId="622" priority="130" operator="containsText" text="Discontinued">
      <formula>NOT(ISERROR(SEARCH("Discontinued",AN351)))</formula>
    </cfRule>
    <cfRule type="containsText" dxfId="621" priority="131" operator="containsText" text="In Question">
      <formula>NOT(ISERROR(SEARCH("In Question",AN351)))</formula>
    </cfRule>
    <cfRule type="containsText" dxfId="620" priority="132" operator="containsText" text="Continued">
      <formula>NOT(ISERROR(SEARCH("Continued",AN351)))</formula>
    </cfRule>
  </conditionalFormatting>
  <conditionalFormatting sqref="BL369:BL378">
    <cfRule type="cellIs" dxfId="619" priority="129" operator="equal">
      <formula>"Unknown"</formula>
    </cfRule>
  </conditionalFormatting>
  <conditionalFormatting sqref="BL351:BL368">
    <cfRule type="containsText" dxfId="618" priority="126" operator="containsText" text="Discontinued">
      <formula>NOT(ISERROR(SEARCH("Discontinued",BL351)))</formula>
    </cfRule>
    <cfRule type="containsText" dxfId="617" priority="127" operator="containsText" text="In Question">
      <formula>NOT(ISERROR(SEARCH("In Question",BL351)))</formula>
    </cfRule>
    <cfRule type="containsText" dxfId="616" priority="128" operator="containsText" text="Continued">
      <formula>NOT(ISERROR(SEARCH("Continued",BL351)))</formula>
    </cfRule>
  </conditionalFormatting>
  <conditionalFormatting sqref="BL351:BL368">
    <cfRule type="containsText" dxfId="615" priority="125" operator="containsText" text="Past Survey Line">
      <formula>NOT(ISERROR(SEARCH("Past Survey Line",BL351)))</formula>
    </cfRule>
  </conditionalFormatting>
  <conditionalFormatting sqref="BL351:BL368">
    <cfRule type="cellIs" dxfId="614" priority="124" operator="equal">
      <formula>"Unknown"</formula>
    </cfRule>
  </conditionalFormatting>
  <conditionalFormatting sqref="AV311:BK334">
    <cfRule type="containsText" dxfId="613" priority="121" operator="containsText" text="Discontinued">
      <formula>NOT(ISERROR(SEARCH("Discontinued",AV311)))</formula>
    </cfRule>
    <cfRule type="containsText" dxfId="612" priority="122" operator="containsText" text="In Question">
      <formula>NOT(ISERROR(SEARCH("In Question",AV311)))</formula>
    </cfRule>
    <cfRule type="containsText" dxfId="611" priority="123" operator="containsText" text="Continued">
      <formula>NOT(ISERROR(SEARCH("Continued",AV311)))</formula>
    </cfRule>
  </conditionalFormatting>
  <conditionalFormatting sqref="BM311:BO334">
    <cfRule type="containsText" dxfId="610" priority="118" operator="containsText" text="Discontinued">
      <formula>NOT(ISERROR(SEARCH("Discontinued",BM311)))</formula>
    </cfRule>
    <cfRule type="containsText" dxfId="609" priority="119" operator="containsText" text="In Question">
      <formula>NOT(ISERROR(SEARCH("In Question",BM311)))</formula>
    </cfRule>
    <cfRule type="containsText" dxfId="608" priority="120" operator="containsText" text="Continued">
      <formula>NOT(ISERROR(SEARCH("Continued",BM311)))</formula>
    </cfRule>
  </conditionalFormatting>
  <conditionalFormatting sqref="CH202:CH217 CH2:CH82 CH84:CH108 CH132:CH192 CH110:CH119 CH272:CH277">
    <cfRule type="containsText" dxfId="607" priority="115" operator="containsText" text="Discontinued">
      <formula>NOT(ISERROR(SEARCH("Discontinued",CH2)))</formula>
    </cfRule>
    <cfRule type="containsText" dxfId="606" priority="116" operator="containsText" text="In Question">
      <formula>NOT(ISERROR(SEARCH("In Question",CH2)))</formula>
    </cfRule>
    <cfRule type="containsText" dxfId="605" priority="117" operator="containsText" text="Continued">
      <formula>NOT(ISERROR(SEARCH("Continued",CH2)))</formula>
    </cfRule>
  </conditionalFormatting>
  <conditionalFormatting sqref="CH109">
    <cfRule type="containsText" dxfId="604" priority="112" operator="containsText" text="Discontinued">
      <formula>NOT(ISERROR(SEARCH("Discontinued",CH109)))</formula>
    </cfRule>
    <cfRule type="containsText" dxfId="603" priority="113" operator="containsText" text="In Question">
      <formula>NOT(ISERROR(SEARCH("In Question",CH109)))</formula>
    </cfRule>
    <cfRule type="containsText" dxfId="602" priority="114" operator="containsText" text="Continued">
      <formula>NOT(ISERROR(SEARCH("Continued",CH109)))</formula>
    </cfRule>
  </conditionalFormatting>
  <conditionalFormatting sqref="CH114">
    <cfRule type="containsText" dxfId="601" priority="109" operator="containsText" text="Discontinued">
      <formula>NOT(ISERROR(SEARCH("Discontinued",CH114)))</formula>
    </cfRule>
    <cfRule type="containsText" dxfId="600" priority="110" operator="containsText" text="In Question">
      <formula>NOT(ISERROR(SEARCH("In Question",CH114)))</formula>
    </cfRule>
    <cfRule type="containsText" dxfId="599" priority="111" operator="containsText" text="Continued">
      <formula>NOT(ISERROR(SEARCH("Continued",CH114)))</formula>
    </cfRule>
  </conditionalFormatting>
  <conditionalFormatting sqref="CH126:CH131">
    <cfRule type="containsText" dxfId="598" priority="106" operator="containsText" text="Discontinued">
      <formula>NOT(ISERROR(SEARCH("Discontinued",CH126)))</formula>
    </cfRule>
    <cfRule type="containsText" dxfId="597" priority="107" operator="containsText" text="In Question">
      <formula>NOT(ISERROR(SEARCH("In Question",CH126)))</formula>
    </cfRule>
    <cfRule type="containsText" dxfId="596" priority="108" operator="containsText" text="Continued">
      <formula>NOT(ISERROR(SEARCH("Continued",CH126)))</formula>
    </cfRule>
  </conditionalFormatting>
  <conditionalFormatting sqref="CB248:CD252">
    <cfRule type="containsText" dxfId="595" priority="103" operator="containsText" text="Discontinued">
      <formula>NOT(ISERROR(SEARCH("Discontinued",CB248)))</formula>
    </cfRule>
    <cfRule type="containsText" dxfId="594" priority="104" operator="containsText" text="In Question">
      <formula>NOT(ISERROR(SEARCH("In Question",CB248)))</formula>
    </cfRule>
    <cfRule type="containsText" dxfId="593" priority="105" operator="containsText" text="Continued">
      <formula>NOT(ISERROR(SEARCH("Continued",CB248)))</formula>
    </cfRule>
  </conditionalFormatting>
  <conditionalFormatting sqref="CD351:CD367">
    <cfRule type="containsText" dxfId="592" priority="100" operator="containsText" text="Discontinued">
      <formula>NOT(ISERROR(SEARCH("Discontinued",CD351)))</formula>
    </cfRule>
    <cfRule type="containsText" dxfId="591" priority="101" operator="containsText" text="In Question">
      <formula>NOT(ISERROR(SEARCH("In Question",CD351)))</formula>
    </cfRule>
    <cfRule type="containsText" dxfId="590" priority="102" operator="containsText" text="Continued">
      <formula>NOT(ISERROR(SEARCH("Continued",CD351)))</formula>
    </cfRule>
  </conditionalFormatting>
  <conditionalFormatting sqref="DI369:DI378">
    <cfRule type="containsText" dxfId="589" priority="94" operator="containsText" text="Discontinued">
      <formula>NOT(ISERROR(SEARCH("Discontinued",DI369)))</formula>
    </cfRule>
    <cfRule type="containsText" dxfId="588" priority="95" operator="containsText" text="In Question">
      <formula>NOT(ISERROR(SEARCH("In Question",DI369)))</formula>
    </cfRule>
    <cfRule type="containsText" dxfId="587" priority="96" operator="containsText" text="Continued">
      <formula>NOT(ISERROR(SEARCH("Continued",DI369)))</formula>
    </cfRule>
  </conditionalFormatting>
  <conditionalFormatting sqref="BX455:BX1048576 CA1:CA424 CA454">
    <cfRule type="cellIs" dxfId="586" priority="91" operator="equal">
      <formula>"Unknown"</formula>
    </cfRule>
    <cfRule type="cellIs" dxfId="585" priority="92" operator="equal">
      <formula>"Continued"</formula>
    </cfRule>
    <cfRule type="containsText" dxfId="584" priority="93" operator="containsText" text="Discontinued">
      <formula>NOT(ISERROR(SEARCH("Discontinued",BX1)))</formula>
    </cfRule>
  </conditionalFormatting>
  <conditionalFormatting sqref="AN369:BK378">
    <cfRule type="containsText" dxfId="583" priority="88" operator="containsText" text="Discontinued">
      <formula>NOT(ISERROR(SEARCH("Discontinued",AN369)))</formula>
    </cfRule>
    <cfRule type="containsText" dxfId="582" priority="89" operator="containsText" text="In Question">
      <formula>NOT(ISERROR(SEARCH("In Question",AN369)))</formula>
    </cfRule>
    <cfRule type="containsText" dxfId="581" priority="90" operator="containsText" text="Continued">
      <formula>NOT(ISERROR(SEARCH("Continued",AN369)))</formula>
    </cfRule>
  </conditionalFormatting>
  <conditionalFormatting sqref="AV379:BK402 BM379:BW402">
    <cfRule type="containsText" dxfId="580" priority="82" operator="containsText" text="Discontinued">
      <formula>NOT(ISERROR(SEARCH("Discontinued",AV379)))</formula>
    </cfRule>
    <cfRule type="containsText" dxfId="579" priority="83" operator="containsText" text="In Question">
      <formula>NOT(ISERROR(SEARCH("In Question",AV379)))</formula>
    </cfRule>
    <cfRule type="containsText" dxfId="578" priority="84" operator="containsText" text="Continued">
      <formula>NOT(ISERROR(SEARCH("Continued",AV379)))</formula>
    </cfRule>
  </conditionalFormatting>
  <conditionalFormatting sqref="CB379:CD402">
    <cfRule type="containsText" dxfId="577" priority="79" operator="containsText" text="Discontinued">
      <formula>NOT(ISERROR(SEARCH("Discontinued",CB379)))</formula>
    </cfRule>
    <cfRule type="containsText" dxfId="576" priority="80" operator="containsText" text="In Question">
      <formula>NOT(ISERROR(SEARCH("In Question",CB379)))</formula>
    </cfRule>
    <cfRule type="containsText" dxfId="575" priority="81" operator="containsText" text="Continued">
      <formula>NOT(ISERROR(SEARCH("Continued",CB379)))</formula>
    </cfRule>
  </conditionalFormatting>
  <conditionalFormatting sqref="BL379:BL392">
    <cfRule type="containsText" dxfId="574" priority="76" operator="containsText" text="Discontinued">
      <formula>NOT(ISERROR(SEARCH("Discontinued",BL379)))</formula>
    </cfRule>
    <cfRule type="containsText" dxfId="573" priority="77" operator="containsText" text="In Question">
      <formula>NOT(ISERROR(SEARCH("In Question",BL379)))</formula>
    </cfRule>
    <cfRule type="containsText" dxfId="572" priority="78" operator="containsText" text="Continued">
      <formula>NOT(ISERROR(SEARCH("Continued",BL379)))</formula>
    </cfRule>
  </conditionalFormatting>
  <conditionalFormatting sqref="BL379:BL392">
    <cfRule type="containsText" dxfId="571" priority="75" operator="containsText" text="Past Survey Line">
      <formula>NOT(ISERROR(SEARCH("Past Survey Line",BL379)))</formula>
    </cfRule>
  </conditionalFormatting>
  <conditionalFormatting sqref="BL379:BL392">
    <cfRule type="cellIs" dxfId="570" priority="74" operator="equal">
      <formula>"Unknown"</formula>
    </cfRule>
  </conditionalFormatting>
  <conditionalFormatting sqref="BL393:BL402">
    <cfRule type="cellIs" dxfId="569" priority="73" operator="equal">
      <formula>"Unknown"</formula>
    </cfRule>
  </conditionalFormatting>
  <conditionalFormatting sqref="CE393:CF402">
    <cfRule type="containsText" dxfId="568" priority="64" operator="containsText" text="Discontinued">
      <formula>NOT(ISERROR(SEARCH("Discontinued",CE393)))</formula>
    </cfRule>
    <cfRule type="containsText" dxfId="567" priority="65" operator="containsText" text="In Question">
      <formula>NOT(ISERROR(SEARCH("In Question",CE393)))</formula>
    </cfRule>
    <cfRule type="containsText" dxfId="566" priority="66" operator="containsText" text="Continued">
      <formula>NOT(ISERROR(SEARCH("Continued",CE393)))</formula>
    </cfRule>
  </conditionalFormatting>
  <conditionalFormatting sqref="CH368:CH378 CH380:CH402">
    <cfRule type="containsText" dxfId="565" priority="61" operator="containsText" text="Discontinued">
      <formula>NOT(ISERROR(SEARCH("Discontinued",CH368)))</formula>
    </cfRule>
    <cfRule type="containsText" dxfId="564" priority="62" operator="containsText" text="In Question">
      <formula>NOT(ISERROR(SEARCH("In Question",CH368)))</formula>
    </cfRule>
    <cfRule type="containsText" dxfId="563" priority="63" operator="containsText" text="Continued">
      <formula>NOT(ISERROR(SEARCH("Continued",CH368)))</formula>
    </cfRule>
  </conditionalFormatting>
  <conditionalFormatting sqref="Y368:AD378">
    <cfRule type="containsText" dxfId="562" priority="55" operator="containsText" text="Discontinued">
      <formula>NOT(ISERROR(SEARCH("Discontinued",Y368)))</formula>
    </cfRule>
    <cfRule type="containsText" dxfId="561" priority="56" operator="containsText" text="In Question">
      <formula>NOT(ISERROR(SEARCH("In Question",Y368)))</formula>
    </cfRule>
    <cfRule type="containsText" dxfId="560" priority="57" operator="containsText" text="Continued">
      <formula>NOT(ISERROR(SEARCH("Continued",Y368)))</formula>
    </cfRule>
  </conditionalFormatting>
  <conditionalFormatting sqref="Y393:AD402">
    <cfRule type="containsText" dxfId="559" priority="52" operator="containsText" text="Discontinued">
      <formula>NOT(ISERROR(SEARCH("Discontinued",Y393)))</formula>
    </cfRule>
    <cfRule type="containsText" dxfId="558" priority="53" operator="containsText" text="In Question">
      <formula>NOT(ISERROR(SEARCH("In Question",Y393)))</formula>
    </cfRule>
    <cfRule type="containsText" dxfId="557" priority="54" operator="containsText" text="Continued">
      <formula>NOT(ISERROR(SEARCH("Continued",Y393)))</formula>
    </cfRule>
  </conditionalFormatting>
  <conditionalFormatting sqref="BL403">
    <cfRule type="containsText" dxfId="556" priority="49" operator="containsText" text="Discontinued">
      <formula>NOT(ISERROR(SEARCH("Discontinued",BL403)))</formula>
    </cfRule>
    <cfRule type="containsText" dxfId="555" priority="50" operator="containsText" text="In Question">
      <formula>NOT(ISERROR(SEARCH("In Question",BL403)))</formula>
    </cfRule>
    <cfRule type="containsText" dxfId="554" priority="51" operator="containsText" text="Continued">
      <formula>NOT(ISERROR(SEARCH("Continued",BL403)))</formula>
    </cfRule>
  </conditionalFormatting>
  <conditionalFormatting sqref="BL403">
    <cfRule type="containsText" dxfId="553" priority="48" operator="containsText" text="Past Survey Line">
      <formula>NOT(ISERROR(SEARCH("Past Survey Line",BL403)))</formula>
    </cfRule>
  </conditionalFormatting>
  <conditionalFormatting sqref="BL403">
    <cfRule type="cellIs" dxfId="552" priority="47" operator="equal">
      <formula>"Unknown"</formula>
    </cfRule>
  </conditionalFormatting>
  <conditionalFormatting sqref="BL404:BL415">
    <cfRule type="containsText" dxfId="551" priority="44" operator="containsText" text="Discontinued">
      <formula>NOT(ISERROR(SEARCH("Discontinued",BL404)))</formula>
    </cfRule>
    <cfRule type="containsText" dxfId="550" priority="45" operator="containsText" text="In Question">
      <formula>NOT(ISERROR(SEARCH("In Question",BL404)))</formula>
    </cfRule>
    <cfRule type="containsText" dxfId="549" priority="46" operator="containsText" text="Continued">
      <formula>NOT(ISERROR(SEARCH("Continued",BL404)))</formula>
    </cfRule>
  </conditionalFormatting>
  <conditionalFormatting sqref="BL404:BL415">
    <cfRule type="containsText" dxfId="548" priority="43" operator="containsText" text="Past Survey Line">
      <formula>NOT(ISERROR(SEARCH("Past Survey Line",BL404)))</formula>
    </cfRule>
  </conditionalFormatting>
  <conditionalFormatting sqref="BL404:BL415">
    <cfRule type="cellIs" dxfId="547" priority="42" operator="equal">
      <formula>"Unknown"</formula>
    </cfRule>
  </conditionalFormatting>
  <conditionalFormatting sqref="BL425">
    <cfRule type="containsText" dxfId="546" priority="39" operator="containsText" text="Discontinued">
      <formula>NOT(ISERROR(SEARCH("Discontinued",BL425)))</formula>
    </cfRule>
    <cfRule type="containsText" dxfId="545" priority="40" operator="containsText" text="In Question">
      <formula>NOT(ISERROR(SEARCH("In Question",BL425)))</formula>
    </cfRule>
    <cfRule type="containsText" dxfId="544" priority="41" operator="containsText" text="Continued">
      <formula>NOT(ISERROR(SEARCH("Continued",BL425)))</formula>
    </cfRule>
  </conditionalFormatting>
  <conditionalFormatting sqref="BL425">
    <cfRule type="containsText" dxfId="543" priority="38" operator="containsText" text="Past Survey Line">
      <formula>NOT(ISERROR(SEARCH("Past Survey Line",BL425)))</formula>
    </cfRule>
  </conditionalFormatting>
  <conditionalFormatting sqref="BL425">
    <cfRule type="cellIs" dxfId="542" priority="37" operator="equal">
      <formula>"Unknown"</formula>
    </cfRule>
  </conditionalFormatting>
  <conditionalFormatting sqref="BL426:BL436">
    <cfRule type="containsText" dxfId="541" priority="34" operator="containsText" text="Discontinued">
      <formula>NOT(ISERROR(SEARCH("Discontinued",BL426)))</formula>
    </cfRule>
    <cfRule type="containsText" dxfId="540" priority="35" operator="containsText" text="In Question">
      <formula>NOT(ISERROR(SEARCH("In Question",BL426)))</formula>
    </cfRule>
    <cfRule type="containsText" dxfId="539" priority="36" operator="containsText" text="Continued">
      <formula>NOT(ISERROR(SEARCH("Continued",BL426)))</formula>
    </cfRule>
  </conditionalFormatting>
  <conditionalFormatting sqref="BL426:BL436">
    <cfRule type="containsText" dxfId="538" priority="33" operator="containsText" text="Past Survey Line">
      <formula>NOT(ISERROR(SEARCH("Past Survey Line",BL426)))</formula>
    </cfRule>
  </conditionalFormatting>
  <conditionalFormatting sqref="BL426:BL436">
    <cfRule type="cellIs" dxfId="537" priority="32" operator="equal">
      <formula>"Unknown"</formula>
    </cfRule>
  </conditionalFormatting>
  <conditionalFormatting sqref="CA437:CA453">
    <cfRule type="containsText" dxfId="536" priority="29" operator="containsText" text="Discontinued">
      <formula>NOT(ISERROR(SEARCH("Discontinued",CA437)))</formula>
    </cfRule>
    <cfRule type="containsText" dxfId="535" priority="30" operator="containsText" text="In Question">
      <formula>NOT(ISERROR(SEARCH("In Question",CA437)))</formula>
    </cfRule>
    <cfRule type="containsText" dxfId="534" priority="31" operator="containsText" text="Continued">
      <formula>NOT(ISERROR(SEARCH("Continued",CA437)))</formula>
    </cfRule>
  </conditionalFormatting>
  <conditionalFormatting sqref="CA425">
    <cfRule type="containsText" dxfId="533" priority="26" operator="containsText" text="Discontinued">
      <formula>NOT(ISERROR(SEARCH("Discontinued",CA425)))</formula>
    </cfRule>
    <cfRule type="containsText" dxfId="532" priority="27" operator="containsText" text="In Question">
      <formula>NOT(ISERROR(SEARCH("In Question",CA425)))</formula>
    </cfRule>
    <cfRule type="containsText" dxfId="531" priority="28" operator="containsText" text="Continued">
      <formula>NOT(ISERROR(SEARCH("Continued",CA425)))</formula>
    </cfRule>
  </conditionalFormatting>
  <conditionalFormatting sqref="CA425">
    <cfRule type="containsText" dxfId="530" priority="25" operator="containsText" text="Past Survey Line">
      <formula>NOT(ISERROR(SEARCH("Past Survey Line",CA425)))</formula>
    </cfRule>
  </conditionalFormatting>
  <conditionalFormatting sqref="CA425">
    <cfRule type="cellIs" dxfId="529" priority="24" operator="equal">
      <formula>"Unknown"</formula>
    </cfRule>
  </conditionalFormatting>
  <conditionalFormatting sqref="CA426:CA436">
    <cfRule type="containsText" dxfId="528" priority="21" operator="containsText" text="Discontinued">
      <formula>NOT(ISERROR(SEARCH("Discontinued",CA426)))</formula>
    </cfRule>
    <cfRule type="containsText" dxfId="527" priority="22" operator="containsText" text="In Question">
      <formula>NOT(ISERROR(SEARCH("In Question",CA426)))</formula>
    </cfRule>
    <cfRule type="containsText" dxfId="526" priority="23" operator="containsText" text="Continued">
      <formula>NOT(ISERROR(SEARCH("Continued",CA426)))</formula>
    </cfRule>
  </conditionalFormatting>
  <conditionalFormatting sqref="CA426:CA436">
    <cfRule type="containsText" dxfId="525" priority="20" operator="containsText" text="Past Survey Line">
      <formula>NOT(ISERROR(SEARCH("Past Survey Line",CA426)))</formula>
    </cfRule>
  </conditionalFormatting>
  <conditionalFormatting sqref="CA426:CA436">
    <cfRule type="cellIs" dxfId="524" priority="19" operator="equal">
      <formula>"Unknown"</formula>
    </cfRule>
  </conditionalFormatting>
  <conditionalFormatting sqref="CQ2:CQ500">
    <cfRule type="containsText" dxfId="523" priority="13" operator="containsText" text="Discontinued">
      <formula>NOT(ISERROR(SEARCH("Discontinued",CQ2)))</formula>
    </cfRule>
    <cfRule type="containsText" dxfId="522" priority="14" operator="containsText" text="In Question">
      <formula>NOT(ISERROR(SEARCH("In Question",CQ2)))</formula>
    </cfRule>
    <cfRule type="containsText" dxfId="521" priority="1599" operator="containsText" text="Continued">
      <formula>NOT(ISERROR(SEARCH("Continued",CQ2)))</formula>
    </cfRule>
  </conditionalFormatting>
  <conditionalFormatting sqref="CX368:CX378 CX380:CX402">
    <cfRule type="containsText" dxfId="520" priority="4" operator="containsText" text="Discontinued">
      <formula>NOT(ISERROR(SEARCH("Discontinued",CX368)))</formula>
    </cfRule>
    <cfRule type="containsText" dxfId="519" priority="5" operator="containsText" text="In Question">
      <formula>NOT(ISERROR(SEARCH("In Question",CX368)))</formula>
    </cfRule>
    <cfRule type="containsText" dxfId="518" priority="6" operator="containsText" text="Continued">
      <formula>NOT(ISERROR(SEARCH("Continued",CX368)))</formula>
    </cfRule>
  </conditionalFormatting>
  <conditionalFormatting sqref="CQ1:CQ1048576">
    <cfRule type="cellIs" dxfId="517" priority="1" operator="equal">
      <formula>"Unknown"</formula>
    </cfRule>
    <cfRule type="cellIs" dxfId="516" priority="2" operator="equal">
      <formula>"Scaled"</formula>
    </cfRule>
    <cfRule type="cellIs" dxfId="515" priority="3" operator="equal">
      <formula>"Timed Out"</formula>
    </cfRule>
  </conditionalFormatting>
  <hyperlinks>
    <hyperlink ref="A233" r:id="rId1" xr:uid="{00000000-0004-0000-0100-000000000000}"/>
    <hyperlink ref="A232" r:id="rId2" xr:uid="{00000000-0004-0000-0100-000001000000}"/>
    <hyperlink ref="A231" r:id="rId3" xr:uid="{00000000-0004-0000-0100-000002000000}"/>
    <hyperlink ref="A230" r:id="rId4" xr:uid="{00000000-0004-0000-0100-000003000000}"/>
    <hyperlink ref="A229" r:id="rId5" xr:uid="{00000000-0004-0000-0100-000004000000}"/>
    <hyperlink ref="G233" r:id="rId6" xr:uid="{00000000-0004-0000-0100-000005000000}"/>
    <hyperlink ref="G232" r:id="rId7" xr:uid="{00000000-0004-0000-0100-000006000000}"/>
    <hyperlink ref="G231" r:id="rId8" xr:uid="{00000000-0004-0000-0100-000007000000}"/>
    <hyperlink ref="G230" r:id="rId9" xr:uid="{00000000-0004-0000-0100-000008000000}"/>
    <hyperlink ref="G229" r:id="rId10" xr:uid="{00000000-0004-0000-0100-000009000000}"/>
    <hyperlink ref="BQ76" r:id="rId11" display="$321.74" xr:uid="{00000000-0004-0000-0100-00000A000000}"/>
    <hyperlink ref="BQ75" r:id="rId12" display="$259.60" xr:uid="{00000000-0004-0000-0100-00000B000000}"/>
    <hyperlink ref="BQ74" r:id="rId13" display="$244.60" xr:uid="{00000000-0004-0000-0100-00000C000000}"/>
    <hyperlink ref="BQ73" r:id="rId14" display="$209.00" xr:uid="{00000000-0004-0000-0100-00000D000000}"/>
    <hyperlink ref="BQ72" r:id="rId15" display="$255.67" xr:uid="{00000000-0004-0000-0100-00000E000000}"/>
    <hyperlink ref="BQ69" r:id="rId16" display="$140.00" xr:uid="{00000000-0004-0000-0100-00000F000000}"/>
    <hyperlink ref="BQ68" r:id="rId17" location="tab" display="$125.99" xr:uid="{00000000-0004-0000-0100-000010000000}"/>
    <hyperlink ref="BQ66" r:id="rId18" display="$134.20" xr:uid="{00000000-0004-0000-0100-000011000000}"/>
    <hyperlink ref="BQ65" r:id="rId19" display="$303.93" xr:uid="{00000000-0004-0000-0100-000012000000}"/>
    <hyperlink ref="BQ64" r:id="rId20" display="$121.80" xr:uid="{00000000-0004-0000-0100-000013000000}"/>
    <hyperlink ref="BQ63" r:id="rId21" display="$280.93" xr:uid="{00000000-0004-0000-0100-000014000000}"/>
    <hyperlink ref="BQ62" r:id="rId22" location="tab" display="$115.99" xr:uid="{00000000-0004-0000-0100-000015000000}"/>
    <hyperlink ref="BQ61" r:id="rId23" display="$168.09" xr:uid="{00000000-0004-0000-0100-000016000000}"/>
    <hyperlink ref="BQ60" r:id="rId24" display="$67.95" xr:uid="{00000000-0004-0000-0100-000017000000}"/>
    <hyperlink ref="BQ59" r:id="rId25" display="$244.60" xr:uid="{00000000-0004-0000-0100-000018000000}"/>
    <hyperlink ref="BQ56" r:id="rId26" location="tab" display="$248.99" xr:uid="{00000000-0004-0000-0100-000019000000}"/>
    <hyperlink ref="BQ53" r:id="rId27" display="$219.26" xr:uid="{00000000-0004-0000-0100-00001A000000}"/>
    <hyperlink ref="BQ50" r:id="rId28" display="$244.91" xr:uid="{00000000-0004-0000-0100-00001B000000}"/>
    <hyperlink ref="BQ49" r:id="rId29" display="$263.95" xr:uid="{00000000-0004-0000-0100-00001C000000}"/>
    <hyperlink ref="BQ48" r:id="rId30" display="$145.35" xr:uid="{00000000-0004-0000-0100-00001D000000}"/>
    <hyperlink ref="BQ46" r:id="rId31" display="$198.80" xr:uid="{00000000-0004-0000-0100-00001E000000}"/>
    <hyperlink ref="BQ41" r:id="rId32" display="$189.95" xr:uid="{00000000-0004-0000-0100-00001F000000}"/>
    <hyperlink ref="BQ40" r:id="rId33" display="$249.95" xr:uid="{00000000-0004-0000-0100-000020000000}"/>
    <hyperlink ref="BQ39" r:id="rId34" location="compare-buying-options" display="$209.95" xr:uid="{00000000-0004-0000-0100-000021000000}"/>
    <hyperlink ref="BQ38" r:id="rId35" display="$177.80" xr:uid="{00000000-0004-0000-0100-000022000000}"/>
    <hyperlink ref="BQ37" r:id="rId36" display="$108.20" xr:uid="{00000000-0004-0000-0100-000023000000}"/>
    <hyperlink ref="BQ36" r:id="rId37" display="$306.21" xr:uid="{00000000-0004-0000-0100-000024000000}"/>
    <hyperlink ref="BQ33" r:id="rId38" display="$277.20" xr:uid="{00000000-0004-0000-0100-000025000000}"/>
    <hyperlink ref="BQ32" r:id="rId39" display="$299.95" xr:uid="{00000000-0004-0000-0100-000026000000}"/>
    <hyperlink ref="BQ31" r:id="rId40" display="$107.40" xr:uid="{00000000-0004-0000-0100-000027000000}"/>
    <hyperlink ref="BQ29" r:id="rId41" display="$399.95" xr:uid="{00000000-0004-0000-0100-000028000000}"/>
    <hyperlink ref="BQ28" r:id="rId42" display="$103.95" xr:uid="{00000000-0004-0000-0100-000029000000}"/>
    <hyperlink ref="BQ27" r:id="rId43" display="$289.95" xr:uid="{00000000-0004-0000-0100-00002A000000}"/>
    <hyperlink ref="BQ26" r:id="rId44" display="$304.00" xr:uid="{00000000-0004-0000-0100-00002B000000}"/>
    <hyperlink ref="BQ25" r:id="rId45" display="$143.07" xr:uid="{00000000-0004-0000-0100-00002C000000}"/>
    <hyperlink ref="BQ23" r:id="rId46" display="$59.72" xr:uid="{00000000-0004-0000-0100-00002D000000}"/>
    <hyperlink ref="BQ22" r:id="rId47" display="$200.14" xr:uid="{00000000-0004-0000-0100-00002E000000}"/>
    <hyperlink ref="BQ21" r:id="rId48" display="$178.00" xr:uid="{00000000-0004-0000-0100-00002F000000}"/>
    <hyperlink ref="BQ20" r:id="rId49" display="$173.85" xr:uid="{00000000-0004-0000-0100-000030000000}"/>
    <hyperlink ref="BQ18" r:id="rId50" display="$116.09" xr:uid="{00000000-0004-0000-0100-000031000000}"/>
    <hyperlink ref="BQ15" r:id="rId51" location="/book/info/680/view/formats" display="$138.00" xr:uid="{00000000-0004-0000-0100-000032000000}"/>
    <hyperlink ref="BQ14" r:id="rId52" display="$223.65" xr:uid="{00000000-0004-0000-0100-000033000000}"/>
    <hyperlink ref="BQ13" r:id="rId53" display="$288.68" xr:uid="{00000000-0004-0000-0100-000034000000}"/>
    <hyperlink ref="BQ12" r:id="rId54" location="tab" display="$115.99" xr:uid="{00000000-0004-0000-0100-000035000000}"/>
    <hyperlink ref="BQ11" r:id="rId55" display="$102.67" xr:uid="{00000000-0004-0000-0100-000036000000}"/>
    <hyperlink ref="BQ10" r:id="rId56" display="$193.74" xr:uid="{00000000-0004-0000-0100-000037000000}"/>
    <hyperlink ref="BQ9" r:id="rId57" location="compare-buying-options" display="$181.95" xr:uid="{00000000-0004-0000-0100-000038000000}"/>
    <hyperlink ref="BQ8" r:id="rId58" location="compare-buying-options" display="$189.95" xr:uid="{00000000-0004-0000-0100-000039000000}"/>
    <hyperlink ref="BQ7" r:id="rId59" display="$108.33" xr:uid="{00000000-0004-0000-0100-00003A000000}"/>
    <hyperlink ref="BQ6" r:id="rId60" display="$102.67" xr:uid="{00000000-0004-0000-0100-00003B000000}"/>
    <hyperlink ref="BQ5" r:id="rId61" display="$193.33" xr:uid="{00000000-0004-0000-0100-00003C000000}"/>
    <hyperlink ref="BQ4" r:id="rId62" display="$364.95" xr:uid="{00000000-0004-0000-0100-00003D000000}"/>
    <hyperlink ref="BQ3" r:id="rId63" display="$133.98" xr:uid="{00000000-0004-0000-0100-00003E000000}"/>
    <hyperlink ref="BQ2" r:id="rId64" display="$95.53" xr:uid="{00000000-0004-0000-0100-00003F000000}"/>
    <hyperlink ref="G202:G241" r:id="rId65" display="11" xr:uid="{00000000-0004-0000-0100-000040000000}"/>
    <hyperlink ref="G178:G201" r:id="rId66" display="10" xr:uid="{00000000-0004-0000-0100-000041000000}"/>
    <hyperlink ref="G126:G131" r:id="rId67" display="Open Math" xr:uid="{00000000-0004-0000-0100-000042000000}"/>
    <hyperlink ref="BQ77" r:id="rId68" display="$125.00" xr:uid="{00000000-0004-0000-0100-000043000000}"/>
    <hyperlink ref="BQ83:BQ84" r:id="rId69" display="$233.95" xr:uid="{00000000-0004-0000-0100-000044000000}"/>
    <hyperlink ref="BQ80" r:id="rId70" display="$113.00" xr:uid="{00000000-0004-0000-0100-000045000000}"/>
    <hyperlink ref="BQ84" r:id="rId71" display="$254.33" xr:uid="{00000000-0004-0000-0100-000046000000}"/>
    <hyperlink ref="BQ85" r:id="rId72" location="tab" display="$141.47" xr:uid="{00000000-0004-0000-0100-000047000000}"/>
    <hyperlink ref="BQ86" r:id="rId73" location="buying-options" display="$203.60" xr:uid="{00000000-0004-0000-0100-000048000000}"/>
    <hyperlink ref="BQ87" r:id="rId74" location="tab" display="$208.98" xr:uid="{00000000-0004-0000-0100-000049000000}"/>
    <hyperlink ref="BQ88" r:id="rId75" display="$171.25" xr:uid="{00000000-0004-0000-0100-00004A000000}"/>
    <hyperlink ref="BQ89" r:id="rId76" location="tab" display="$142.98" xr:uid="{00000000-0004-0000-0100-00004B000000}"/>
    <hyperlink ref="BQ90" r:id="rId77" display="$242.20" xr:uid="{00000000-0004-0000-0100-00004C000000}"/>
    <hyperlink ref="BQ91" r:id="rId78" display="$199.95" xr:uid="{00000000-0004-0000-0100-00004D000000}"/>
    <hyperlink ref="BQ100" r:id="rId79" location="tab" display="$218.56" xr:uid="{00000000-0004-0000-0100-00004E000000}"/>
    <hyperlink ref="BQ105" r:id="rId80" display="$211.40" xr:uid="{00000000-0004-0000-0100-00004F000000}"/>
    <hyperlink ref="BQ106" r:id="rId81" display="$257.80" xr:uid="{00000000-0004-0000-0100-000050000000}"/>
    <hyperlink ref="BQ109" r:id="rId82" location="tab" display="$142.98" xr:uid="{00000000-0004-0000-0100-000051000000}"/>
    <hyperlink ref="BQ110" r:id="rId83" display="$208.67" xr:uid="{00000000-0004-0000-0100-000052000000}"/>
    <hyperlink ref="BQ111" r:id="rId84" display="$145.50" xr:uid="{00000000-0004-0000-0100-000053000000}"/>
    <hyperlink ref="A2" r:id="rId85" display="2" xr:uid="{00000000-0004-0000-0100-000054000000}"/>
    <hyperlink ref="A3" r:id="rId86" display="6" xr:uid="{00000000-0004-0000-0100-000055000000}"/>
    <hyperlink ref="BQ119" r:id="rId87" display="$285.60" xr:uid="{00000000-0004-0000-0100-000056000000}"/>
    <hyperlink ref="BQ120" r:id="rId88" display="$268.93" xr:uid="{00000000-0004-0000-0100-000057000000}"/>
    <hyperlink ref="BQ121" r:id="rId89" location="tab" display="$124.55" xr:uid="{00000000-0004-0000-0100-000058000000}"/>
    <hyperlink ref="BQ122" r:id="rId90" display="$299.95" xr:uid="{00000000-0004-0000-0100-000059000000}"/>
    <hyperlink ref="BQ125" r:id="rId91" display="$242.20" xr:uid="{00000000-0004-0000-0100-00005A000000}"/>
    <hyperlink ref="BQ126" r:id="rId92" display="$310.95" xr:uid="{00000000-0004-0000-0100-00005B000000}"/>
    <hyperlink ref="BQ127" r:id="rId93" location="buying-options" display="$140.08" xr:uid="{00000000-0004-0000-0100-00005C000000}"/>
    <hyperlink ref="BQ128" r:id="rId94" display="$259.60" xr:uid="{00000000-0004-0000-0100-00005D000000}"/>
    <hyperlink ref="BQ135" r:id="rId95" display="$255.47" xr:uid="{00000000-0004-0000-0100-00005E000000}"/>
    <hyperlink ref="BQ136" r:id="rId96" display="$193.80" xr:uid="{00000000-0004-0000-0100-00005F000000}"/>
    <hyperlink ref="BQ137" r:id="rId97" display="$320.53" xr:uid="{00000000-0004-0000-0100-000060000000}"/>
    <hyperlink ref="BQ140" r:id="rId98" display="$140.80" xr:uid="{00000000-0004-0000-0100-000061000000}"/>
    <hyperlink ref="BQ141" r:id="rId99" location="tab" display="$65.19" xr:uid="{00000000-0004-0000-0100-000062000000}"/>
    <hyperlink ref="BQ142" r:id="rId100" display="$255.60" xr:uid="{00000000-0004-0000-0100-000063000000}"/>
    <hyperlink ref="BQ143" r:id="rId101" location="tab" display="$133.19" xr:uid="{00000000-0004-0000-0100-000064000000}"/>
    <hyperlink ref="BQ145" r:id="rId102" display="$242.20" xr:uid="{00000000-0004-0000-0100-000065000000}"/>
    <hyperlink ref="BQ147" r:id="rId103" location="buying-options" display="$170.67" xr:uid="{00000000-0004-0000-0100-000066000000}"/>
    <hyperlink ref="BQ149" r:id="rId104" display="$71.25" xr:uid="{00000000-0004-0000-0100-000067000000}"/>
    <hyperlink ref="BQ153" r:id="rId105" location="buying-options" display="$266.20" xr:uid="{00000000-0004-0000-0100-000068000000}"/>
    <hyperlink ref="BQ154" r:id="rId106" display="$249.95" xr:uid="{00000000-0004-0000-0100-000069000000}"/>
    <hyperlink ref="BQ155" r:id="rId107" display="$194.20" xr:uid="{00000000-0004-0000-0100-00006A000000}"/>
    <hyperlink ref="BQ160" r:id="rId108" display="$138.65" xr:uid="{00000000-0004-0000-0100-00006B000000}"/>
    <hyperlink ref="BQ163" r:id="rId109" location="buying-options" display="$199.50" xr:uid="{00000000-0004-0000-0100-00006C000000}"/>
    <hyperlink ref="BQ164" r:id="rId110" location="buying-options" display="$176.74" xr:uid="{00000000-0004-0000-0100-00006D000000}"/>
    <hyperlink ref="BQ166" r:id="rId111" location="buying-options" display="$164.00" xr:uid="{00000000-0004-0000-0100-00006E000000}"/>
    <hyperlink ref="BQ167" r:id="rId112" display="$320.53" xr:uid="{00000000-0004-0000-0100-00006F000000}"/>
    <hyperlink ref="BQ168" r:id="rId113" location="compare-buying-options" display="$199.95" xr:uid="{00000000-0004-0000-0100-000070000000}"/>
    <hyperlink ref="A10" r:id="rId114" display="17" xr:uid="{00000000-0004-0000-0100-000071000000}"/>
    <hyperlink ref="A4" r:id="rId115" display="7" xr:uid="{00000000-0004-0000-0100-000072000000}"/>
    <hyperlink ref="A5" r:id="rId116" display="8" xr:uid="{00000000-0004-0000-0100-000073000000}"/>
    <hyperlink ref="A6" r:id="rId117" display="10" xr:uid="{00000000-0004-0000-0100-000074000000}"/>
    <hyperlink ref="A7" r:id="rId118" display="13" xr:uid="{00000000-0004-0000-0100-000075000000}"/>
    <hyperlink ref="A8" r:id="rId119" display="14" xr:uid="{00000000-0004-0000-0100-000076000000}"/>
    <hyperlink ref="A9" r:id="rId120" display="16" xr:uid="{00000000-0004-0000-0100-000077000000}"/>
    <hyperlink ref="A11" r:id="rId121" display="18" xr:uid="{00000000-0004-0000-0100-000078000000}"/>
    <hyperlink ref="A12" r:id="rId122" display="23" xr:uid="{00000000-0004-0000-0100-000079000000}"/>
    <hyperlink ref="A13" r:id="rId123" display="24" xr:uid="{00000000-0004-0000-0100-00007A000000}"/>
    <hyperlink ref="A14" r:id="rId124" display="27" xr:uid="{00000000-0004-0000-0100-00007B000000}"/>
    <hyperlink ref="A15" r:id="rId125" display="29" xr:uid="{00000000-0004-0000-0100-00007C000000}"/>
    <hyperlink ref="A16" r:id="rId126" display="30" xr:uid="{00000000-0004-0000-0100-00007D000000}"/>
    <hyperlink ref="A17" r:id="rId127" display="31" xr:uid="{00000000-0004-0000-0100-00007E000000}"/>
    <hyperlink ref="A18" r:id="rId128" display="33" xr:uid="{00000000-0004-0000-0100-00007F000000}"/>
    <hyperlink ref="A19" r:id="rId129" display="34" xr:uid="{00000000-0004-0000-0100-000080000000}"/>
    <hyperlink ref="A20" r:id="rId130" display="36" xr:uid="{00000000-0004-0000-0100-000081000000}"/>
    <hyperlink ref="A21" r:id="rId131" display="37" xr:uid="{00000000-0004-0000-0100-000082000000}"/>
    <hyperlink ref="A22" r:id="rId132" display="38" xr:uid="{00000000-0004-0000-0100-000083000000}"/>
    <hyperlink ref="A23" r:id="rId133" display="39" xr:uid="{00000000-0004-0000-0100-000084000000}"/>
    <hyperlink ref="A24" r:id="rId134" display="41" xr:uid="{00000000-0004-0000-0100-000085000000}"/>
    <hyperlink ref="A25" r:id="rId135" display="42" xr:uid="{00000000-0004-0000-0100-000086000000}"/>
    <hyperlink ref="A26" r:id="rId136" display="43" xr:uid="{00000000-0004-0000-0100-000087000000}"/>
    <hyperlink ref="A27" r:id="rId137" display="44" xr:uid="{00000000-0004-0000-0100-000088000000}"/>
    <hyperlink ref="A28" r:id="rId138" display="45" xr:uid="{00000000-0004-0000-0100-000089000000}"/>
    <hyperlink ref="A29" r:id="rId139" display="46" xr:uid="{00000000-0004-0000-0100-00008A000000}"/>
    <hyperlink ref="A30" r:id="rId140" display="47" xr:uid="{00000000-0004-0000-0100-00008B000000}"/>
    <hyperlink ref="A31" r:id="rId141" display="48" xr:uid="{00000000-0004-0000-0100-00008C000000}"/>
    <hyperlink ref="A37" r:id="rId142" display="82" xr:uid="{00000000-0004-0000-0100-00008D000000}"/>
    <hyperlink ref="A38" r:id="rId143" display="83" xr:uid="{00000000-0004-0000-0100-00008E000000}"/>
    <hyperlink ref="A39" r:id="rId144" display="92" xr:uid="{00000000-0004-0000-0100-00008F000000}"/>
    <hyperlink ref="A36" r:id="rId145" display="81" xr:uid="{00000000-0004-0000-0100-000090000000}"/>
    <hyperlink ref="A47" r:id="rId146" display="108" xr:uid="{00000000-0004-0000-0100-000091000000}"/>
    <hyperlink ref="A42" r:id="rId147" display="101" xr:uid="{00000000-0004-0000-0100-000092000000}"/>
    <hyperlink ref="A43" r:id="rId148" display="102" xr:uid="{00000000-0004-0000-0100-000093000000}"/>
    <hyperlink ref="A44" r:id="rId149" display="103" xr:uid="{00000000-0004-0000-0100-000094000000}"/>
    <hyperlink ref="A45" r:id="rId150" display="104" xr:uid="{00000000-0004-0000-0100-000095000000}"/>
    <hyperlink ref="A46" r:id="rId151" display="107" xr:uid="{00000000-0004-0000-0100-000096000000}"/>
    <hyperlink ref="A48" r:id="rId152" display="109" xr:uid="{00000000-0004-0000-0100-000097000000}"/>
    <hyperlink ref="A49" r:id="rId153" display="111" xr:uid="{00000000-0004-0000-0100-000098000000}"/>
    <hyperlink ref="A50" r:id="rId154" display="113" xr:uid="{00000000-0004-0000-0100-000099000000}"/>
    <hyperlink ref="A51" r:id="rId155" display="114" xr:uid="{00000000-0004-0000-0100-00009A000000}"/>
    <hyperlink ref="A52" r:id="rId156" display="116" xr:uid="{00000000-0004-0000-0100-00009B000000}"/>
    <hyperlink ref="A53" r:id="rId157" display="118" xr:uid="{00000000-0004-0000-0100-00009C000000}"/>
    <hyperlink ref="A54" r:id="rId158" display="119" xr:uid="{00000000-0004-0000-0100-00009D000000}"/>
    <hyperlink ref="A55" r:id="rId159" display="120" xr:uid="{00000000-0004-0000-0100-00009E000000}"/>
    <hyperlink ref="A56" r:id="rId160" display="122" xr:uid="{00000000-0004-0000-0100-00009F000000}"/>
    <hyperlink ref="A57" r:id="rId161" display="125" xr:uid="{00000000-0004-0000-0100-0000A0000000}"/>
    <hyperlink ref="A58" r:id="rId162" display="126" xr:uid="{00000000-0004-0000-0100-0000A1000000}"/>
    <hyperlink ref="A40" r:id="rId163" display="96" xr:uid="{00000000-0004-0000-0100-0000A2000000}"/>
    <hyperlink ref="A41" r:id="rId164" display="98" xr:uid="{00000000-0004-0000-0100-0000A3000000}"/>
    <hyperlink ref="A33" r:id="rId165" display="64" xr:uid="{00000000-0004-0000-0100-0000A4000000}"/>
    <hyperlink ref="A32" r:id="rId166" display="61" xr:uid="{00000000-0004-0000-0100-0000A5000000}"/>
    <hyperlink ref="A34" r:id="rId167" display="68" xr:uid="{00000000-0004-0000-0100-0000A6000000}"/>
    <hyperlink ref="A35" r:id="rId168" display="76" xr:uid="{00000000-0004-0000-0100-0000A7000000}"/>
    <hyperlink ref="A59" r:id="rId169" display="127" xr:uid="{00000000-0004-0000-0100-0000A8000000}"/>
    <hyperlink ref="A60" r:id="rId170" display="128" xr:uid="{00000000-0004-0000-0100-0000A9000000}"/>
    <hyperlink ref="A61" r:id="rId171" display="129" xr:uid="{00000000-0004-0000-0100-0000AA000000}"/>
    <hyperlink ref="A62" r:id="rId172" display="130" xr:uid="{00000000-0004-0000-0100-0000AB000000}"/>
    <hyperlink ref="A63" r:id="rId173" display="132" xr:uid="{00000000-0004-0000-0100-0000AC000000}"/>
    <hyperlink ref="A64" r:id="rId174" display="133" xr:uid="{00000000-0004-0000-0100-0000AD000000}"/>
    <hyperlink ref="A65" r:id="rId175" display="134" xr:uid="{00000000-0004-0000-0100-0000AE000000}"/>
    <hyperlink ref="A66" r:id="rId176" display="135" xr:uid="{00000000-0004-0000-0100-0000AF000000}"/>
    <hyperlink ref="A67" r:id="rId177" display="136" xr:uid="{00000000-0004-0000-0100-0000B0000000}"/>
    <hyperlink ref="A68" r:id="rId178" display="137" xr:uid="{00000000-0004-0000-0100-0000B1000000}"/>
    <hyperlink ref="A69" r:id="rId179" display="138" xr:uid="{00000000-0004-0000-0100-0000B2000000}"/>
    <hyperlink ref="A70" r:id="rId180" display="139" xr:uid="{00000000-0004-0000-0100-0000B3000000}"/>
    <hyperlink ref="A71" r:id="rId181" display="140" xr:uid="{00000000-0004-0000-0100-0000B4000000}"/>
    <hyperlink ref="A72" r:id="rId182" display="141" xr:uid="{00000000-0004-0000-0100-0000B5000000}"/>
    <hyperlink ref="A73" r:id="rId183" display="142" xr:uid="{00000000-0004-0000-0100-0000B6000000}"/>
    <hyperlink ref="A74" r:id="rId184" display="143" xr:uid="{00000000-0004-0000-0100-0000B7000000}"/>
    <hyperlink ref="A75" r:id="rId185" display="145" xr:uid="{00000000-0004-0000-0100-0000B8000000}"/>
    <hyperlink ref="A76" r:id="rId186" display="147" xr:uid="{00000000-0004-0000-0100-0000B9000000}"/>
    <hyperlink ref="A77" r:id="rId187" display="150" xr:uid="{00000000-0004-0000-0100-0000BA000000}"/>
    <hyperlink ref="A78" r:id="rId188" xr:uid="{00000000-0004-0000-0100-0000BB000000}"/>
    <hyperlink ref="A79" r:id="rId189" xr:uid="{00000000-0004-0000-0100-0000BC000000}"/>
    <hyperlink ref="A80" r:id="rId190" display="154" xr:uid="{00000000-0004-0000-0100-0000BD000000}"/>
    <hyperlink ref="A81" r:id="rId191" display="155" xr:uid="{00000000-0004-0000-0100-0000BE000000}"/>
    <hyperlink ref="A82" r:id="rId192" display="156" xr:uid="{00000000-0004-0000-0100-0000BF000000}"/>
    <hyperlink ref="A83" r:id="rId193" display="157" xr:uid="{00000000-0004-0000-0100-0000C0000000}"/>
    <hyperlink ref="A84" r:id="rId194" display="159" xr:uid="{00000000-0004-0000-0100-0000C1000000}"/>
    <hyperlink ref="A85" r:id="rId195" display="160" xr:uid="{00000000-0004-0000-0100-0000C2000000}"/>
    <hyperlink ref="A86" r:id="rId196" display="162" xr:uid="{00000000-0004-0000-0100-0000C3000000}"/>
    <hyperlink ref="A87" r:id="rId197" display="165" xr:uid="{00000000-0004-0000-0100-0000C4000000}"/>
    <hyperlink ref="A88" r:id="rId198" display="167" xr:uid="{00000000-0004-0000-0100-0000C5000000}"/>
    <hyperlink ref="A89" r:id="rId199" display="168" xr:uid="{00000000-0004-0000-0100-0000C6000000}"/>
    <hyperlink ref="A90" r:id="rId200" display="169" xr:uid="{00000000-0004-0000-0100-0000C7000000}"/>
    <hyperlink ref="A91" r:id="rId201" display="172" xr:uid="{00000000-0004-0000-0100-0000C8000000}"/>
    <hyperlink ref="A92" r:id="rId202" display="174" xr:uid="{00000000-0004-0000-0100-0000C9000000}"/>
    <hyperlink ref="A93" r:id="rId203" display="175" xr:uid="{00000000-0004-0000-0100-0000CA000000}"/>
    <hyperlink ref="A94" r:id="rId204" display="177" xr:uid="{00000000-0004-0000-0100-0000CB000000}"/>
    <hyperlink ref="A95" r:id="rId205" display="178" xr:uid="{00000000-0004-0000-0100-0000CC000000}"/>
    <hyperlink ref="A96" r:id="rId206" display="180" xr:uid="{00000000-0004-0000-0100-0000CD000000}"/>
    <hyperlink ref="A97" r:id="rId207" display="181" xr:uid="{00000000-0004-0000-0100-0000CE000000}"/>
    <hyperlink ref="A98" r:id="rId208" display="182" xr:uid="{00000000-0004-0000-0100-0000CF000000}"/>
    <hyperlink ref="A99" r:id="rId209" display="183" xr:uid="{00000000-0004-0000-0100-0000D0000000}"/>
    <hyperlink ref="A100" r:id="rId210" display="193" xr:uid="{00000000-0004-0000-0100-0000D1000000}"/>
    <hyperlink ref="A101" r:id="rId211" display="196" xr:uid="{00000000-0004-0000-0100-0000D2000000}"/>
    <hyperlink ref="A108:A109" r:id="rId212" display="204a" xr:uid="{00000000-0004-0000-0100-0000D3000000}"/>
    <hyperlink ref="A104" r:id="rId213" display="206" xr:uid="{00000000-0004-0000-0100-0000D4000000}"/>
    <hyperlink ref="A111" r:id="rId214" display="229" xr:uid="{00000000-0004-0000-0100-0000D5000000}"/>
    <hyperlink ref="A105" r:id="rId215" display="210" xr:uid="{00000000-0004-0000-0100-0000D6000000}"/>
    <hyperlink ref="A106" r:id="rId216" display="213" xr:uid="{00000000-0004-0000-0100-0000D7000000}"/>
    <hyperlink ref="A107" r:id="rId217" display="218" xr:uid="{00000000-0004-0000-0100-0000D8000000}"/>
    <hyperlink ref="A108" r:id="rId218" display="219" xr:uid="{00000000-0004-0000-0100-0000D9000000}"/>
    <hyperlink ref="A109" r:id="rId219" display="221" xr:uid="{00000000-0004-0000-0100-0000DA000000}"/>
    <hyperlink ref="A110" r:id="rId220" display="225" xr:uid="{00000000-0004-0000-0100-0000DB000000}"/>
    <hyperlink ref="A113" r:id="rId221" xr:uid="{00000000-0004-0000-0100-0000DC000000}"/>
    <hyperlink ref="A114" r:id="rId222" xr:uid="{00000000-0004-0000-0100-0000DD000000}"/>
    <hyperlink ref="A115" r:id="rId223" xr:uid="{00000000-0004-0000-0100-0000DE000000}"/>
    <hyperlink ref="A116" r:id="rId224" xr:uid="{00000000-0004-0000-0100-0000DF000000}"/>
    <hyperlink ref="A117" r:id="rId225" xr:uid="{00000000-0004-0000-0100-0000E0000000}"/>
    <hyperlink ref="A118" r:id="rId226" display="232" xr:uid="{00000000-0004-0000-0100-0000E1000000}"/>
    <hyperlink ref="A119" r:id="rId227" display="234" xr:uid="{00000000-0004-0000-0100-0000E2000000}"/>
    <hyperlink ref="A120" r:id="rId228" display="235" xr:uid="{00000000-0004-0000-0100-0000E3000000}"/>
    <hyperlink ref="A121" r:id="rId229" display="237" xr:uid="{00000000-0004-0000-0100-0000E4000000}"/>
    <hyperlink ref="A122" r:id="rId230" display="238" xr:uid="{00000000-0004-0000-0100-0000E5000000}"/>
    <hyperlink ref="A123" r:id="rId231" display="240" xr:uid="{00000000-0004-0000-0100-0000E6000000}"/>
    <hyperlink ref="A124" r:id="rId232" display="241" xr:uid="{00000000-0004-0000-0100-0000E7000000}"/>
    <hyperlink ref="A125" r:id="rId233" display="242" xr:uid="{00000000-0004-0000-0100-0000E8000000}"/>
    <hyperlink ref="A126" r:id="rId234" display="243" xr:uid="{00000000-0004-0000-0100-0000E9000000}"/>
    <hyperlink ref="A127" r:id="rId235" display="244" xr:uid="{00000000-0004-0000-0100-0000EA000000}"/>
    <hyperlink ref="A128" r:id="rId236" display="245" xr:uid="{00000000-0004-0000-0100-0000EB000000}"/>
    <hyperlink ref="A129" r:id="rId237" display="246" xr:uid="{00000000-0004-0000-0100-0000EC000000}"/>
    <hyperlink ref="A130" r:id="rId238" display="255" xr:uid="{00000000-0004-0000-0100-0000ED000000}"/>
    <hyperlink ref="A131" r:id="rId239" display="259" xr:uid="{00000000-0004-0000-0100-0000EE000000}"/>
    <hyperlink ref="A132" r:id="rId240" display="261" xr:uid="{00000000-0004-0000-0100-0000EF000000}"/>
    <hyperlink ref="A133" r:id="rId241" display="264" xr:uid="{00000000-0004-0000-0100-0000F0000000}"/>
    <hyperlink ref="A134" r:id="rId242" display="268" xr:uid="{00000000-0004-0000-0100-0000F1000000}"/>
    <hyperlink ref="A135" r:id="rId243" display="270" xr:uid="{00000000-0004-0000-0100-0000F2000000}"/>
    <hyperlink ref="A136" r:id="rId244" display="272" xr:uid="{00000000-0004-0000-0100-0000F3000000}"/>
    <hyperlink ref="A137" r:id="rId245" display="274" xr:uid="{00000000-0004-0000-0100-0000F4000000}"/>
    <hyperlink ref="A138" r:id="rId246" display="276" xr:uid="{00000000-0004-0000-0100-0000F5000000}"/>
    <hyperlink ref="A139" r:id="rId247" display="277" xr:uid="{00000000-0004-0000-0100-0000F6000000}"/>
    <hyperlink ref="A140" r:id="rId248" display="279" xr:uid="{00000000-0004-0000-0100-0000F7000000}"/>
    <hyperlink ref="A141" r:id="rId249" display="280" xr:uid="{00000000-0004-0000-0100-0000F8000000}"/>
    <hyperlink ref="A142" r:id="rId250" display="281" xr:uid="{00000000-0004-0000-0100-0000F9000000}"/>
    <hyperlink ref="A143" r:id="rId251" display="283" xr:uid="{00000000-0004-0000-0100-0000FA000000}"/>
    <hyperlink ref="A144" r:id="rId252" display="285" xr:uid="{00000000-0004-0000-0100-0000FB000000}"/>
    <hyperlink ref="A145" r:id="rId253" display="291" xr:uid="{00000000-0004-0000-0100-0000FC000000}"/>
    <hyperlink ref="A146" r:id="rId254" display="292" xr:uid="{00000000-0004-0000-0100-0000FD000000}"/>
    <hyperlink ref="A147" r:id="rId255" display="294" xr:uid="{00000000-0004-0000-0100-0000FE000000}"/>
    <hyperlink ref="A148" r:id="rId256" display="296" xr:uid="{00000000-0004-0000-0100-0000FF000000}"/>
    <hyperlink ref="A149" r:id="rId257" display="300" xr:uid="{00000000-0004-0000-0100-000000010000}"/>
    <hyperlink ref="A150" r:id="rId258" display="302" xr:uid="{00000000-0004-0000-0100-000001010000}"/>
    <hyperlink ref="A151" r:id="rId259" display="304" xr:uid="{00000000-0004-0000-0100-000002010000}"/>
    <hyperlink ref="A152" r:id="rId260" display="308" xr:uid="{00000000-0004-0000-0100-000003010000}"/>
    <hyperlink ref="A153" r:id="rId261" display="309" xr:uid="{00000000-0004-0000-0100-000004010000}"/>
    <hyperlink ref="A154" r:id="rId262" display="312" xr:uid="{00000000-0004-0000-0100-000005010000}"/>
    <hyperlink ref="A155" r:id="rId263" display="313" xr:uid="{00000000-0004-0000-0100-000006010000}"/>
    <hyperlink ref="A114:A115" r:id="rId264" display="314a" xr:uid="{00000000-0004-0000-0100-000007010000}"/>
    <hyperlink ref="A158" r:id="rId265" display="315" xr:uid="{00000000-0004-0000-0100-000008010000}"/>
    <hyperlink ref="A159" r:id="rId266" display="316" xr:uid="{00000000-0004-0000-0100-000009010000}"/>
    <hyperlink ref="A160" r:id="rId267" display="317" xr:uid="{00000000-0004-0000-0100-00000A010000}"/>
    <hyperlink ref="A161" r:id="rId268" display="318" xr:uid="{00000000-0004-0000-0100-00000B010000}"/>
    <hyperlink ref="A162" r:id="rId269" display="319" xr:uid="{00000000-0004-0000-0100-00000C010000}"/>
    <hyperlink ref="A163" r:id="rId270" display="320" xr:uid="{00000000-0004-0000-0100-00000D010000}"/>
    <hyperlink ref="A164" r:id="rId271" display="323" xr:uid="{00000000-0004-0000-0100-00000E010000}"/>
    <hyperlink ref="A165" r:id="rId272" display="324" xr:uid="{00000000-0004-0000-0100-00000F010000}"/>
    <hyperlink ref="A166" r:id="rId273" display="326" xr:uid="{00000000-0004-0000-0100-000010010000}"/>
    <hyperlink ref="A167" r:id="rId274" display="328" xr:uid="{00000000-0004-0000-0100-000011010000}"/>
    <hyperlink ref="A168" r:id="rId275" display="329" xr:uid="{00000000-0004-0000-0100-000012010000}"/>
    <hyperlink ref="A169" r:id="rId276" display="330" xr:uid="{00000000-0004-0000-0100-000013010000}"/>
    <hyperlink ref="A175" r:id="rId277" display="337" xr:uid="{00000000-0004-0000-0100-000014010000}"/>
    <hyperlink ref="A179" r:id="rId278" display="341" xr:uid="{00000000-0004-0000-0100-000015010000}"/>
    <hyperlink ref="A188" r:id="rId279" display="M05" xr:uid="{00000000-0004-0000-0100-000016010000}"/>
    <hyperlink ref="A189" r:id="rId280" display="M06" xr:uid="{00000000-0004-0000-0100-000017010000}"/>
    <hyperlink ref="A112" r:id="rId281" xr:uid="{00000000-0004-0000-0100-000018010000}"/>
    <hyperlink ref="A170" r:id="rId282" display="332" xr:uid="{00000000-0004-0000-0100-000019010000}"/>
    <hyperlink ref="A171" r:id="rId283" display="333" xr:uid="{00000000-0004-0000-0100-00001A010000}"/>
    <hyperlink ref="A172" r:id="rId284" display="334" xr:uid="{00000000-0004-0000-0100-00001B010000}"/>
    <hyperlink ref="A173" r:id="rId285" display="335" xr:uid="{00000000-0004-0000-0100-00001C010000}"/>
    <hyperlink ref="A174" r:id="rId286" display="336" xr:uid="{00000000-0004-0000-0100-00001D010000}"/>
    <hyperlink ref="A176" r:id="rId287" display="338" xr:uid="{00000000-0004-0000-0100-00001E010000}"/>
    <hyperlink ref="A177" r:id="rId288" display="339" xr:uid="{00000000-0004-0000-0100-00001F010000}"/>
    <hyperlink ref="A178" r:id="rId289" display="340" xr:uid="{00000000-0004-0000-0100-000020010000}"/>
    <hyperlink ref="A180" r:id="rId290" display="342" xr:uid="{00000000-0004-0000-0100-000021010000}"/>
    <hyperlink ref="A181" r:id="rId291" display="343" xr:uid="{00000000-0004-0000-0100-000022010000}"/>
    <hyperlink ref="A182" r:id="rId292" display="344" xr:uid="{00000000-0004-0000-0100-000023010000}"/>
    <hyperlink ref="A183" r:id="rId293" display="345" xr:uid="{00000000-0004-0000-0100-000024010000}"/>
    <hyperlink ref="A184" r:id="rId294" display="347" xr:uid="{00000000-0004-0000-0100-000025010000}"/>
    <hyperlink ref="A185" r:id="rId295" display="M01" xr:uid="{00000000-0004-0000-0100-000026010000}"/>
    <hyperlink ref="A186" r:id="rId296" display="M02" xr:uid="{00000000-0004-0000-0100-000027010000}"/>
    <hyperlink ref="A187" r:id="rId297" display="M04" xr:uid="{00000000-0004-0000-0100-000028010000}"/>
    <hyperlink ref="A190" r:id="rId298" display="M07" xr:uid="{00000000-0004-0000-0100-000029010000}"/>
    <hyperlink ref="A191" r:id="rId299" display="M09" xr:uid="{00000000-0004-0000-0100-00002A010000}"/>
    <hyperlink ref="A192" r:id="rId300" display="M10" xr:uid="{00000000-0004-0000-0100-00002B010000}"/>
    <hyperlink ref="A193" r:id="rId301" display="M11" xr:uid="{00000000-0004-0000-0100-00002C010000}"/>
    <hyperlink ref="A194" r:id="rId302" display="349" xr:uid="{00000000-0004-0000-0100-00002D010000}"/>
    <hyperlink ref="A195" r:id="rId303" display="350" xr:uid="{00000000-0004-0000-0100-00002E010000}"/>
    <hyperlink ref="A196" r:id="rId304" display="351" xr:uid="{00000000-0004-0000-0100-00002F010000}"/>
    <hyperlink ref="A197" r:id="rId305" display="352" xr:uid="{00000000-0004-0000-0100-000030010000}"/>
    <hyperlink ref="A198" r:id="rId306" display="354" xr:uid="{00000000-0004-0000-0100-000031010000}"/>
    <hyperlink ref="A199" r:id="rId307" display="355" xr:uid="{00000000-0004-0000-0100-000032010000}"/>
    <hyperlink ref="A200" r:id="rId308" display="356" xr:uid="{00000000-0004-0000-0100-000033010000}"/>
    <hyperlink ref="A201" r:id="rId309" display="357" xr:uid="{00000000-0004-0000-0100-000034010000}"/>
    <hyperlink ref="A202" r:id="rId310" display="359" xr:uid="{00000000-0004-0000-0100-000035010000}"/>
    <hyperlink ref="A203" r:id="rId311" display="360" xr:uid="{00000000-0004-0000-0100-000036010000}"/>
    <hyperlink ref="A204" r:id="rId312" display="361" xr:uid="{00000000-0004-0000-0100-000037010000}"/>
    <hyperlink ref="A205" r:id="rId313" display="362" xr:uid="{00000000-0004-0000-0100-000038010000}"/>
    <hyperlink ref="A206" r:id="rId314" display="364" xr:uid="{00000000-0004-0000-0100-000039010000}"/>
    <hyperlink ref="A207" r:id="rId315" display="365" xr:uid="{00000000-0004-0000-0100-00003A010000}"/>
    <hyperlink ref="A208" r:id="rId316" display="366" xr:uid="{00000000-0004-0000-0100-00003B010000}"/>
    <hyperlink ref="A209" r:id="rId317" display="370" xr:uid="{00000000-0004-0000-0100-00003C010000}"/>
    <hyperlink ref="A210" r:id="rId318" display="M13" xr:uid="{00000000-0004-0000-0100-00003D010000}"/>
    <hyperlink ref="A211" r:id="rId319" display="M14" xr:uid="{00000000-0004-0000-0100-00003E010000}"/>
    <hyperlink ref="A212" r:id="rId320" display="M15" xr:uid="{00000000-0004-0000-0100-00003F010000}"/>
    <hyperlink ref="A213" r:id="rId321" display="M16" xr:uid="{00000000-0004-0000-0100-000040010000}"/>
    <hyperlink ref="A214" r:id="rId322" display="M17" xr:uid="{00000000-0004-0000-0100-000041010000}"/>
    <hyperlink ref="A215" r:id="rId323" display="M18" xr:uid="{00000000-0004-0000-0100-000042010000}"/>
    <hyperlink ref="A216" r:id="rId324" display="M20" xr:uid="{00000000-0004-0000-0100-000043010000}"/>
    <hyperlink ref="A217" r:id="rId325" display="M21" xr:uid="{00000000-0004-0000-0100-000044010000}"/>
    <hyperlink ref="A218" r:id="rId326" display="M22" xr:uid="{00000000-0004-0000-0100-000045010000}"/>
    <hyperlink ref="A219" r:id="rId327" display="M23" xr:uid="{00000000-0004-0000-0100-000046010000}"/>
    <hyperlink ref="A220" r:id="rId328" display="M24" xr:uid="{00000000-0004-0000-0100-000047010000}"/>
    <hyperlink ref="A221" r:id="rId329" display="M25" xr:uid="{00000000-0004-0000-0100-000048010000}"/>
    <hyperlink ref="A222" r:id="rId330" display="M26" xr:uid="{00000000-0004-0000-0100-000049010000}"/>
    <hyperlink ref="A223" r:id="rId331" display="M27" xr:uid="{00000000-0004-0000-0100-00004A010000}"/>
    <hyperlink ref="A224" r:id="rId332" display="M28" xr:uid="{00000000-0004-0000-0100-00004B010000}"/>
    <hyperlink ref="A225" r:id="rId333" display="M30" xr:uid="{00000000-0004-0000-0100-00004C010000}"/>
    <hyperlink ref="A226" r:id="rId334" display="M31" xr:uid="{00000000-0004-0000-0100-00004D010000}"/>
    <hyperlink ref="A227" r:id="rId335" display="M32" xr:uid="{00000000-0004-0000-0100-00004E010000}"/>
    <hyperlink ref="A228" r:id="rId336" display="M33" xr:uid="{00000000-0004-0000-0100-00004F010000}"/>
    <hyperlink ref="A235" r:id="rId337" display="https://drive.google.com/open?id=1smR6UMfws9N3lpUrXkxVdYjUgUiUdLb2" xr:uid="{00000000-0004-0000-0100-000050010000}"/>
    <hyperlink ref="A236" r:id="rId338" display="https://drive.google.com/open?id=18wKlkM4snag7SCJbmcliz8FohF7PZhKx" xr:uid="{00000000-0004-0000-0100-000051010000}"/>
    <hyperlink ref="A237" r:id="rId339" display="https://drive.google.com/open?id=13m0TCMaNXKWvIA2fhApnu6_bNnIQXV_u" xr:uid="{00000000-0004-0000-0100-000052010000}"/>
    <hyperlink ref="A238" r:id="rId340" display="https://drive.google.com/open?id=11Vda8xpH7W9UgA5uDq8CKZ83UMKvy6H6" xr:uid="{00000000-0004-0000-0100-000053010000}"/>
    <hyperlink ref="A239" r:id="rId341" display="https://drive.google.com/open?id=1e7Qjk7w6_cnUy8EEIKWV0uTzm76uDm4b" xr:uid="{00000000-0004-0000-0100-000054010000}"/>
    <hyperlink ref="A240" r:id="rId342" display="https://drive.google.com/open?id=1cDeHRoL36-jLBajZWGQW9DDaoLoP52DG" xr:uid="{00000000-0004-0000-0100-000055010000}"/>
    <hyperlink ref="A241" r:id="rId343" display="https://drive.google.com/open?id=1FUhbGLzweWK5NKGaFXW37dSOtOJFxXFb" xr:uid="{00000000-0004-0000-0100-000056010000}"/>
    <hyperlink ref="A242" r:id="rId344" display="https://drive.google.com/open?id=1dg3Dt9E-8OnOSu3E22zD6zKKQhA4W7AM" xr:uid="{00000000-0004-0000-0100-000057010000}"/>
    <hyperlink ref="A243" r:id="rId345" display="https://drive.google.com/open?id=1VP1KeehiiCzCAhLz2P9ZVJph-zQCht8o" xr:uid="{00000000-0004-0000-0100-000058010000}"/>
    <hyperlink ref="A244" r:id="rId346" display="https://drive.google.com/open?id=1_yZD0qZQ6Tu8kvn42rGcDB66uppKEzUO" xr:uid="{00000000-0004-0000-0100-000059010000}"/>
    <hyperlink ref="A245" r:id="rId347" display="https://drive.google.com/open?id=1vd14S6tlOLVCw96IaAdobqsf9BLqZEWH" xr:uid="{00000000-0004-0000-0100-00005A010000}"/>
    <hyperlink ref="A246" r:id="rId348" display="https://drive.google.com/open?id=1qBsDMBoFBl1QoMI1h5P078B_8CrZbr6M" xr:uid="{00000000-0004-0000-0100-00005B010000}"/>
    <hyperlink ref="A247" r:id="rId349" display="https://drive.google.com/open?id=1seLjUPU9fQbqVNqF2xIMzvTKoD8TD9az" xr:uid="{00000000-0004-0000-0100-00005C010000}"/>
    <hyperlink ref="A248" r:id="rId350" display="https://drive.google.com/open?id=1dMTet_WjaQornhLtJg7uPSOCQMDxo4it" xr:uid="{00000000-0004-0000-0100-00005D010000}"/>
    <hyperlink ref="A249" r:id="rId351" display="https://drive.google.com/open?id=1T-XIBMKej-ZyylQEjChT5ynKA-gGHSpJ" xr:uid="{00000000-0004-0000-0100-00005E010000}"/>
    <hyperlink ref="A250" r:id="rId352" display="https://drive.google.com/open?id=1QN9MhTXe9mMsYWKlQ-9fxNOZSEl_p3RV" xr:uid="{00000000-0004-0000-0100-00005F010000}"/>
    <hyperlink ref="A251" r:id="rId353" display="https://drive.google.com/open?id=18gp76P64ZVOch_vXW2kGS2jLs6rKISlP" xr:uid="{00000000-0004-0000-0100-000060010000}"/>
    <hyperlink ref="A252" r:id="rId354" display="https://drive.google.com/open?id=1D3-5nuSLa_DKSbXSHHd5yLeIbavk5tMu" xr:uid="{00000000-0004-0000-0100-000061010000}"/>
    <hyperlink ref="A234" r:id="rId355" display="https://affordablelearninggeorgia.org/documents/375_KSU_Shi.pdf" xr:uid="{00000000-0004-0000-0100-000062010000}"/>
    <hyperlink ref="A253" r:id="rId356" display="M35" xr:uid="{00000000-0004-0000-0100-000063010000}"/>
    <hyperlink ref="A254" r:id="rId357" display="M36" xr:uid="{00000000-0004-0000-0100-000064010000}"/>
    <hyperlink ref="A255" r:id="rId358" display="M37" xr:uid="{00000000-0004-0000-0100-000065010000}"/>
    <hyperlink ref="A256" r:id="rId359" display="M38" xr:uid="{00000000-0004-0000-0100-000066010000}"/>
    <hyperlink ref="A257" r:id="rId360" display="M39" xr:uid="{00000000-0004-0000-0100-000067010000}"/>
    <hyperlink ref="A258" r:id="rId361" display="M40" xr:uid="{00000000-0004-0000-0100-000068010000}"/>
    <hyperlink ref="A259" r:id="rId362" display="M41" xr:uid="{00000000-0004-0000-0100-000069010000}"/>
    <hyperlink ref="A260" r:id="rId363" display="M42" xr:uid="{00000000-0004-0000-0100-00006A010000}"/>
    <hyperlink ref="A262" r:id="rId364" display="M44" xr:uid="{00000000-0004-0000-0100-00006B010000}"/>
    <hyperlink ref="A261" r:id="rId365" display="M43" xr:uid="{00000000-0004-0000-0100-00006C010000}"/>
    <hyperlink ref="A263" r:id="rId366" display="M46" xr:uid="{00000000-0004-0000-0100-00006D010000}"/>
    <hyperlink ref="A264" r:id="rId367" display="M47" xr:uid="{00000000-0004-0000-0100-00006E010000}"/>
    <hyperlink ref="A265" r:id="rId368" display="M48" xr:uid="{00000000-0004-0000-0100-00006F010000}"/>
    <hyperlink ref="A266" r:id="rId369" display="M50" xr:uid="{00000000-0004-0000-0100-000070010000}"/>
    <hyperlink ref="A267" r:id="rId370" display="M51" xr:uid="{00000000-0004-0000-0100-000071010000}"/>
    <hyperlink ref="A268" r:id="rId371" display="M52" xr:uid="{00000000-0004-0000-0100-000072010000}"/>
    <hyperlink ref="A269" r:id="rId372" display="M53" xr:uid="{00000000-0004-0000-0100-000073010000}"/>
    <hyperlink ref="A270" r:id="rId373" display="M54" xr:uid="{00000000-0004-0000-0100-000074010000}"/>
    <hyperlink ref="A271" r:id="rId374" display="M55" xr:uid="{00000000-0004-0000-0100-000075010000}"/>
    <hyperlink ref="A280" r:id="rId375" display="https://drive.google.com/open?id=1gojkxZrpoHVivKGbIHg7QTHOevRyYBTR" xr:uid="{00000000-0004-0000-0100-000076010000}"/>
    <hyperlink ref="A289" r:id="rId376" display="https://drive.google.com/open?id=1pZX76vEebLL7xXbPmm8CE0dFFcT7Bjdc" xr:uid="{00000000-0004-0000-0100-000077010000}"/>
    <hyperlink ref="A283" r:id="rId377" display="https://drive.google.com/open?id=1Gs1LZN-D4O2dRzu0npUGC10iDmy9yqM_" xr:uid="{00000000-0004-0000-0100-000078010000}"/>
    <hyperlink ref="A294" r:id="rId378" display="https://drive.google.com/open?id=1KYGehjEHxj4Smy7Mlz5SQCn0PeUOcKQy" xr:uid="{00000000-0004-0000-0100-000079010000}"/>
    <hyperlink ref="A287" r:id="rId379" display="https://drive.google.com/open?id=1yVhfDQOyFLDb3MS34Q-VB6JZc_fHJqnW" xr:uid="{00000000-0004-0000-0100-00007A010000}"/>
    <hyperlink ref="A286" r:id="rId380" display="https://drive.google.com/open?id=1GTz8D3L3n_ohmwEdyOGy0EKPSPjt95H3" xr:uid="{00000000-0004-0000-0100-00007B010000}"/>
    <hyperlink ref="A295" r:id="rId381" display="https://drive.google.com/open?id=14zayqkDoNxIfyw6XyQ-Xn6iqmTXpiq2p" xr:uid="{00000000-0004-0000-0100-00007C010000}"/>
    <hyperlink ref="A284" r:id="rId382" display="https://drive.google.com/open?id=1ZOjMwsW9U1ngyNJNV23na1PXSgZmGkU4" xr:uid="{00000000-0004-0000-0100-00007D010000}"/>
    <hyperlink ref="A278" r:id="rId383" display="https://drive.google.com/open?id=17soEBVqOdTez6DpB63xKBojzw1_FDwl_" xr:uid="{00000000-0004-0000-0100-00007E010000}"/>
    <hyperlink ref="A279" r:id="rId384" display="https://drive.google.com/open?id=1FC7FUXiyRT9MYzHqh-EFJfe5xQNUMDuw" xr:uid="{00000000-0004-0000-0100-00007F010000}"/>
    <hyperlink ref="A281" r:id="rId385" display="https://drive.google.com/open?id=1vdlRypEno094r8LtDdjvnxpdHg7anA2H" xr:uid="{00000000-0004-0000-0100-000080010000}"/>
    <hyperlink ref="A282" r:id="rId386" display="https://drive.google.com/open?id=1mR1HTP5iB_IbMhTQrphPGOUlocQzUBUX" xr:uid="{00000000-0004-0000-0100-000081010000}"/>
    <hyperlink ref="A290" r:id="rId387" display="https://drive.google.com/open?id=143WSNZSGfaD3HHc2rb86c_TwMRif0F40" xr:uid="{00000000-0004-0000-0100-000082010000}"/>
    <hyperlink ref="A293" r:id="rId388" display="https://drive.google.com/open?id=1R3KD0rqCRsM7djXoNAx0BlpSpVjOMnPm" xr:uid="{00000000-0004-0000-0100-000083010000}"/>
    <hyperlink ref="A296" r:id="rId389" display="https://drive.google.com/open?id=1whw3nbhjE3muWu2BL_Z_AYHKVykIjLaS" xr:uid="{00000000-0004-0000-0100-000084010000}"/>
    <hyperlink ref="A292" r:id="rId390" display="https://drive.google.com/open?id=18x3805dI0ipcuavdNfulhHjyL-KZ2ZQc" xr:uid="{00000000-0004-0000-0100-000085010000}"/>
    <hyperlink ref="A291" r:id="rId391" display="https://drive.google.com/open?id=1QgX1gg31PWi__wPL6pCMPi1SeP_cbafG" xr:uid="{00000000-0004-0000-0100-000086010000}"/>
    <hyperlink ref="A285" r:id="rId392" display="https://drive.google.com/open?id=1c0T_IK7_xdChdofKtzqXujwR5fOVTDC5" xr:uid="{00000000-0004-0000-0100-000087010000}"/>
    <hyperlink ref="A288" r:id="rId393" display="https://drive.google.com/open?id=1VTXkMRph9acA5fuZNLaI0Xr7ifR4yQTN" xr:uid="{00000000-0004-0000-0100-000088010000}"/>
    <hyperlink ref="A308" r:id="rId394" display="https://drive.google.com/open?id=1WGAsqwTRaTg-Mw6EnF4QqLSj3X567Sk6" xr:uid="{00000000-0004-0000-0100-000089010000}"/>
    <hyperlink ref="A305" r:id="rId395" display="https://drive.google.com/open?id=11v5FIcKl4w4byJPpjwsZXndujMZ_HE45" xr:uid="{00000000-0004-0000-0100-00008A010000}"/>
    <hyperlink ref="A306" r:id="rId396" display="https://drive.google.com/open?id=16niaXOLSvLuHFM74b1O4jnC8kFeI0cwM" xr:uid="{00000000-0004-0000-0100-00008B010000}"/>
    <hyperlink ref="A302" r:id="rId397" display="https://drive.google.com/open?id=1UFUfRxP0-vwBvnrLi7_KbXBE7fUWptp1" xr:uid="{00000000-0004-0000-0100-00008C010000}"/>
    <hyperlink ref="A303" r:id="rId398" display="https://drive.google.com/open?id=1_SmnCA7yt2ExR-hJRnd2_nbrl0f-Yj_9" xr:uid="{00000000-0004-0000-0100-00008D010000}"/>
    <hyperlink ref="A297" r:id="rId399" display="https://drive.google.com/open?id=1_eXUbSUMVc16r5ie-67SvlXjJY_CmKbK" xr:uid="{00000000-0004-0000-0100-00008E010000}"/>
    <hyperlink ref="A298" r:id="rId400" display="https://drive.google.com/open?id=1-MGvO_cLlytd8g-25aFFgRGdOliN8Rtz" xr:uid="{00000000-0004-0000-0100-00008F010000}"/>
    <hyperlink ref="A299" r:id="rId401" display="https://drive.google.com/open?id=11tHFnkjbiFIEkoSosmzy5bIUMfmWPa8b" xr:uid="{00000000-0004-0000-0100-000090010000}"/>
    <hyperlink ref="A300" r:id="rId402" display="https://drive.google.com/open?id=1wZEDW9RdNIHsttU7GYXHin1pPsVZr9-B" xr:uid="{00000000-0004-0000-0100-000091010000}"/>
    <hyperlink ref="A301" r:id="rId403" display="https://drive.google.com/open?id=1QdCEnQ4SRWacJBADcnsEPegqQHG9mDBZ" xr:uid="{00000000-0004-0000-0100-000092010000}"/>
    <hyperlink ref="A304" r:id="rId404" display="https://drive.google.com/open?id=1vuGz6Jvt9m5ikZ6JT2yEXoiO1IlMJtRO" xr:uid="{00000000-0004-0000-0100-000093010000}"/>
    <hyperlink ref="A307" r:id="rId405" display="https://drive.google.com/open?id=1JJcqDdL3UXMOQA0LJUS5GboQPXB347q0" xr:uid="{00000000-0004-0000-0100-000094010000}"/>
    <hyperlink ref="A309" r:id="rId406" display="https://drive.google.com/open?id=1_XuBGIhAcz5UqFVttxp-hg_jFZs1uz65" xr:uid="{00000000-0004-0000-0100-000095010000}"/>
    <hyperlink ref="A310" r:id="rId407" display="https://drive.google.com/open?id=1tTRmYqUu9sq9UDZ1jF-ZWEPb1VLHILz8" xr:uid="{00000000-0004-0000-0100-000096010000}"/>
    <hyperlink ref="F166" r:id="rId408" display="1/9/2018" xr:uid="{00000000-0004-0000-0100-000097010000}"/>
    <hyperlink ref="F157" r:id="rId409" display="1/25/2018" xr:uid="{00000000-0004-0000-0100-000098010000}"/>
    <hyperlink ref="F156" r:id="rId410" display="1/9/2018" xr:uid="{00000000-0004-0000-0100-000099010000}"/>
    <hyperlink ref="F152" r:id="rId411" display="1/9/2018" xr:uid="{00000000-0004-0000-0100-00009A010000}"/>
    <hyperlink ref="F151" r:id="rId412" display="1/9/2018" xr:uid="{00000000-0004-0000-0100-00009B010000}"/>
    <hyperlink ref="F150" r:id="rId413" display="1/9/2018" xr:uid="{00000000-0004-0000-0100-00009C010000}"/>
    <hyperlink ref="F149" r:id="rId414" display="1/9/2018" xr:uid="{00000000-0004-0000-0100-00009D010000}"/>
    <hyperlink ref="F148" r:id="rId415" display="1/9/2018" xr:uid="{00000000-0004-0000-0100-00009E010000}"/>
    <hyperlink ref="F147" r:id="rId416" display="1/9/2018" xr:uid="{00000000-0004-0000-0100-00009F010000}"/>
    <hyperlink ref="F146" r:id="rId417" display="1/9/2018" xr:uid="{00000000-0004-0000-0100-0000A0010000}"/>
    <hyperlink ref="F145" r:id="rId418" display="1/9/2018" xr:uid="{00000000-0004-0000-0100-0000A1010000}"/>
    <hyperlink ref="F144" r:id="rId419" display="1/9/2018" xr:uid="{00000000-0004-0000-0100-0000A2010000}"/>
    <hyperlink ref="F143" r:id="rId420" display="1/9/2018" xr:uid="{00000000-0004-0000-0100-0000A3010000}"/>
    <hyperlink ref="F142" r:id="rId421" display="1/9/2018" xr:uid="{00000000-0004-0000-0100-0000A4010000}"/>
    <hyperlink ref="F141" r:id="rId422" display="1/9/2018" xr:uid="{00000000-0004-0000-0100-0000A5010000}"/>
    <hyperlink ref="F139" r:id="rId423" display="1/9/2018" xr:uid="{00000000-0004-0000-0100-0000A6010000}"/>
    <hyperlink ref="F138" r:id="rId424" display="1/9/2018" xr:uid="{00000000-0004-0000-0100-0000A7010000}"/>
    <hyperlink ref="F137" r:id="rId425" display="1/9/2018" xr:uid="{00000000-0004-0000-0100-0000A8010000}"/>
    <hyperlink ref="F136" r:id="rId426" display="1/9/2018" xr:uid="{00000000-0004-0000-0100-0000A9010000}"/>
    <hyperlink ref="F135" r:id="rId427" display="8/22/2017" xr:uid="{00000000-0004-0000-0100-0000AA010000}"/>
    <hyperlink ref="F134" r:id="rId428" display="1/9/2018" xr:uid="{00000000-0004-0000-0100-0000AB010000}"/>
    <hyperlink ref="F133" r:id="rId429" display="1/9/2018" xr:uid="{00000000-0004-0000-0100-0000AC010000}"/>
    <hyperlink ref="F132" r:id="rId430" display="1/9/2018" xr:uid="{00000000-0004-0000-0100-0000AD010000}"/>
    <hyperlink ref="F131" r:id="rId431" display="1/9/2018" xr:uid="{00000000-0004-0000-0100-0000AE010000}"/>
    <hyperlink ref="F130" r:id="rId432" display="1/9/2018" xr:uid="{00000000-0004-0000-0100-0000AF010000}"/>
    <hyperlink ref="F129" r:id="rId433" display="1/9/2018" xr:uid="{00000000-0004-0000-0100-0000B0010000}"/>
    <hyperlink ref="F128" r:id="rId434" display="1/9/2018" xr:uid="{00000000-0004-0000-0100-0000B1010000}"/>
    <hyperlink ref="F127" r:id="rId435" display="1/9/2018" xr:uid="{00000000-0004-0000-0100-0000B2010000}"/>
    <hyperlink ref="F126" r:id="rId436" display="1/9/2018" xr:uid="{00000000-0004-0000-0100-0000B3010000}"/>
    <hyperlink ref="F125" r:id="rId437" display="8/28/2017" xr:uid="{00000000-0004-0000-0100-0000B4010000}"/>
    <hyperlink ref="F124" r:id="rId438" display="1/9/2018" xr:uid="{00000000-0004-0000-0100-0000B5010000}"/>
    <hyperlink ref="F123" r:id="rId439" display="1/9/2018" xr:uid="{00000000-0004-0000-0100-0000B6010000}"/>
    <hyperlink ref="F122" r:id="rId440" display="1/9/2018" xr:uid="{00000000-0004-0000-0100-0000B7010000}"/>
    <hyperlink ref="F121" r:id="rId441" display="1/9/2018" xr:uid="{00000000-0004-0000-0100-0000B8010000}"/>
    <hyperlink ref="F120" r:id="rId442" display="1/9/2018" xr:uid="{00000000-0004-0000-0100-0000B9010000}"/>
    <hyperlink ref="F118" r:id="rId443" display="1/9/2018" xr:uid="{00000000-0004-0000-0100-0000BA010000}"/>
    <hyperlink ref="F119" r:id="rId444" display="1/9/2018" xr:uid="{00000000-0004-0000-0100-0000BB010000}"/>
    <hyperlink ref="F91" r:id="rId445" display="5/31/2017" xr:uid="{00000000-0004-0000-0100-0000BC010000}"/>
    <hyperlink ref="F140" r:id="rId446" display="1/9/2018" xr:uid="{00000000-0004-0000-0100-0000BD010000}"/>
    <hyperlink ref="F98" r:id="rId447" display="3/21/2018" xr:uid="{00000000-0004-0000-0100-0000BE010000}"/>
    <hyperlink ref="F86" r:id="rId448" display="3/23/2018" xr:uid="{00000000-0004-0000-0100-0000BF010000}"/>
    <hyperlink ref="F111" r:id="rId449" display="5/24/2018" xr:uid="{00000000-0004-0000-0100-0000C0010000}"/>
    <hyperlink ref="F189" r:id="rId450" display="5/30/2018" xr:uid="{00000000-0004-0000-0100-0000C1010000}"/>
    <hyperlink ref="F169" r:id="rId451" display="5/30/2018" xr:uid="{00000000-0004-0000-0100-0000C2010000}"/>
    <hyperlink ref="F168" r:id="rId452" display="5/30/2018" xr:uid="{00000000-0004-0000-0100-0000C3010000}"/>
    <hyperlink ref="F164" r:id="rId453" display="5/30/2018" xr:uid="{00000000-0004-0000-0100-0000C4010000}"/>
    <hyperlink ref="F163" r:id="rId454" display="5/30/2018" xr:uid="{00000000-0004-0000-0100-0000C5010000}"/>
    <hyperlink ref="F162" r:id="rId455" display="5/30/2018" xr:uid="{00000000-0004-0000-0100-0000C6010000}"/>
    <hyperlink ref="F161" r:id="rId456" display="5/30/2018" xr:uid="{00000000-0004-0000-0100-0000C7010000}"/>
    <hyperlink ref="F160" r:id="rId457" display="5/30/2018" xr:uid="{00000000-0004-0000-0100-0000C8010000}"/>
    <hyperlink ref="F158" r:id="rId458" display="5/30/2018" xr:uid="{00000000-0004-0000-0100-0000C9010000}"/>
    <hyperlink ref="F155" r:id="rId459" display="5/30/2018" xr:uid="{00000000-0004-0000-0100-0000CA010000}"/>
    <hyperlink ref="F153" r:id="rId460" display="5/30/2018" xr:uid="{00000000-0004-0000-0100-0000CB010000}"/>
    <hyperlink ref="F154" r:id="rId461" display="5/30/2018" xr:uid="{00000000-0004-0000-0100-0000CC010000}"/>
    <hyperlink ref="F175" r:id="rId462" display="6/6/2018" xr:uid="{00000000-0004-0000-0100-0000CD010000}"/>
    <hyperlink ref="F167" r:id="rId463" display="6/14/2018" xr:uid="{00000000-0004-0000-0100-0000CE010000}"/>
    <hyperlink ref="F165" r:id="rId464" display="6/14/2018" xr:uid="{00000000-0004-0000-0100-0000CF010000}"/>
    <hyperlink ref="F225" r:id="rId465" display="8/10/2018" xr:uid="{00000000-0004-0000-0100-0000D0010000}"/>
    <hyperlink ref="F228" r:id="rId466" display="8/21/2018" xr:uid="{00000000-0004-0000-0100-0000D1010000}"/>
    <hyperlink ref="F174" r:id="rId467" display="8/21/2018" xr:uid="{00000000-0004-0000-0100-0000D2010000}"/>
    <hyperlink ref="F176" r:id="rId468" display="8/21/2018" xr:uid="{00000000-0004-0000-0100-0000D3010000}"/>
    <hyperlink ref="F212" r:id="rId469" display="8/21/2018" xr:uid="{00000000-0004-0000-0100-0000D4010000}"/>
    <hyperlink ref="F214" r:id="rId470" display="8/21/2018" xr:uid="{00000000-0004-0000-0100-0000D5010000}"/>
    <hyperlink ref="F173" r:id="rId471" display="8/27/2018" xr:uid="{00000000-0004-0000-0100-0000D6010000}"/>
    <hyperlink ref="F210" r:id="rId472" display="8/29/2018" xr:uid="{00000000-0004-0000-0100-0000D7010000}"/>
    <hyperlink ref="F188" r:id="rId473" display="7/18/2018" xr:uid="{00000000-0004-0000-0100-0000D8010000}"/>
    <hyperlink ref="F159" r:id="rId474" display="7/18/2018" xr:uid="{00000000-0004-0000-0100-0000D9010000}"/>
    <hyperlink ref="U66" r:id="rId475" xr:uid="{00000000-0004-0000-0100-0000DA010000}"/>
    <hyperlink ref="U126" r:id="rId476" xr:uid="{00000000-0004-0000-0100-0000DB010000}"/>
    <hyperlink ref="U124" r:id="rId477" xr:uid="{00000000-0004-0000-0100-0000DC010000}"/>
    <hyperlink ref="U59" r:id="rId478" xr:uid="{00000000-0004-0000-0100-0000DD010000}"/>
    <hyperlink ref="U74" r:id="rId479" xr:uid="{00000000-0004-0000-0100-0000DE010000}"/>
    <hyperlink ref="U110" r:id="rId480" xr:uid="{00000000-0004-0000-0100-0000DF010000}"/>
    <hyperlink ref="U106" r:id="rId481" xr:uid="{00000000-0004-0000-0100-0000E0010000}"/>
    <hyperlink ref="U123:U125" r:id="rId482" display="OpenStax Algebra and Trigonometry" xr:uid="{00000000-0004-0000-0100-0000E1010000}"/>
    <hyperlink ref="U113" r:id="rId483" xr:uid="{00000000-0004-0000-0100-0000E2010000}"/>
    <hyperlink ref="U52" r:id="rId484" xr:uid="{00000000-0004-0000-0100-0000E3010000}"/>
    <hyperlink ref="U129" r:id="rId485" xr:uid="{00000000-0004-0000-0100-0000E4010000}"/>
    <hyperlink ref="U139" r:id="rId486" xr:uid="{00000000-0004-0000-0100-0000E5010000}"/>
    <hyperlink ref="U40" r:id="rId487" xr:uid="{00000000-0004-0000-0100-0000E6010000}"/>
    <hyperlink ref="U44" r:id="rId488" xr:uid="{00000000-0004-0000-0100-0000E7010000}"/>
    <hyperlink ref="U144" r:id="rId489" xr:uid="{00000000-0004-0000-0100-0000E8010000}"/>
    <hyperlink ref="U145" r:id="rId490" xr:uid="{00000000-0004-0000-0100-0000E9010000}"/>
    <hyperlink ref="U125" r:id="rId491" xr:uid="{00000000-0004-0000-0100-0000EA010000}"/>
    <hyperlink ref="U109" r:id="rId492" xr:uid="{00000000-0004-0000-0100-0000EB010000}"/>
    <hyperlink ref="U89" r:id="rId493" xr:uid="{00000000-0004-0000-0100-0000EC010000}"/>
    <hyperlink ref="U72" r:id="rId494" xr:uid="{00000000-0004-0000-0100-0000ED010000}"/>
    <hyperlink ref="U62" r:id="rId495" xr:uid="{00000000-0004-0000-0100-0000EE010000}"/>
    <hyperlink ref="U53" r:id="rId496" xr:uid="{00000000-0004-0000-0100-0000EF010000}"/>
    <hyperlink ref="U43" r:id="rId497" xr:uid="{00000000-0004-0000-0100-0000F0010000}"/>
    <hyperlink ref="U39" r:id="rId498" xr:uid="{00000000-0004-0000-0100-0000F1010000}"/>
    <hyperlink ref="U151" r:id="rId499" xr:uid="{00000000-0004-0000-0100-0000F2010000}"/>
    <hyperlink ref="U132" r:id="rId500" xr:uid="{00000000-0004-0000-0100-0000F3010000}"/>
    <hyperlink ref="U86" r:id="rId501" xr:uid="{00000000-0004-0000-0100-0000F4010000}"/>
    <hyperlink ref="U36" r:id="rId502" xr:uid="{00000000-0004-0000-0100-0000F5010000}"/>
    <hyperlink ref="U148" r:id="rId503" xr:uid="{00000000-0004-0000-0100-0000F6010000}"/>
    <hyperlink ref="U128" r:id="rId504" xr:uid="{00000000-0004-0000-0100-0000F7010000}"/>
    <hyperlink ref="U120" r:id="rId505" xr:uid="{00000000-0004-0000-0100-0000F8010000}"/>
    <hyperlink ref="U87" r:id="rId506" xr:uid="{00000000-0004-0000-0100-0000F9010000}"/>
    <hyperlink ref="U63" r:id="rId507" xr:uid="{00000000-0004-0000-0100-0000FA010000}"/>
    <hyperlink ref="U48" r:id="rId508" xr:uid="{00000000-0004-0000-0100-0000FB010000}"/>
    <hyperlink ref="U35" r:id="rId509" xr:uid="{00000000-0004-0000-0100-0000FC010000}"/>
    <hyperlink ref="U97" r:id="rId510" xr:uid="{00000000-0004-0000-0100-0000FD010000}"/>
    <hyperlink ref="U93" r:id="rId511" xr:uid="{00000000-0004-0000-0100-0000FE010000}"/>
    <hyperlink ref="U41" r:id="rId512" xr:uid="{00000000-0004-0000-0100-0000FF010000}"/>
    <hyperlink ref="U22" r:id="rId513" xr:uid="{00000000-0004-0000-0100-000000020000}"/>
    <hyperlink ref="U137" r:id="rId514" xr:uid="{00000000-0004-0000-0100-000001020000}"/>
    <hyperlink ref="U92" r:id="rId515" xr:uid="{00000000-0004-0000-0100-000002020000}"/>
    <hyperlink ref="U55" r:id="rId516" xr:uid="{00000000-0004-0000-0100-000003020000}"/>
    <hyperlink ref="U30" r:id="rId517" xr:uid="{00000000-0004-0000-0100-000004020000}"/>
    <hyperlink ref="U19" r:id="rId518" xr:uid="{00000000-0004-0000-0100-000005020000}"/>
    <hyperlink ref="U108" r:id="rId519" xr:uid="{00000000-0004-0000-0100-000006020000}"/>
    <hyperlink ref="U96" r:id="rId520" xr:uid="{00000000-0004-0000-0100-000007020000}"/>
    <hyperlink ref="U73" r:id="rId521" xr:uid="{00000000-0004-0000-0100-000008020000}"/>
    <hyperlink ref="U75" r:id="rId522" xr:uid="{00000000-0004-0000-0100-000009020000}"/>
    <hyperlink ref="U56" r:id="rId523" xr:uid="{00000000-0004-0000-0100-00000A020000}"/>
    <hyperlink ref="U26" r:id="rId524" xr:uid="{00000000-0004-0000-0100-00000B020000}"/>
    <hyperlink ref="U20" r:id="rId525" xr:uid="{00000000-0004-0000-0100-00000C020000}"/>
    <hyperlink ref="U10" r:id="rId526" xr:uid="{00000000-0004-0000-0100-00000D020000}"/>
    <hyperlink ref="U114" r:id="rId527" xr:uid="{00000000-0004-0000-0100-00000E020000}"/>
    <hyperlink ref="U84" r:id="rId528" xr:uid="{00000000-0004-0000-0100-00000F020000}"/>
    <hyperlink ref="U80" r:id="rId529" xr:uid="{00000000-0004-0000-0100-000010020000}"/>
    <hyperlink ref="U38" r:id="rId530" xr:uid="{00000000-0004-0000-0100-000011020000}"/>
    <hyperlink ref="U3" r:id="rId531" xr:uid="{00000000-0004-0000-0100-000012020000}"/>
    <hyperlink ref="U123" r:id="rId532" xr:uid="{00000000-0004-0000-0100-000013020000}"/>
    <hyperlink ref="U107" r:id="rId533" xr:uid="{00000000-0004-0000-0100-000014020000}"/>
    <hyperlink ref="U2" r:id="rId534" xr:uid="{00000000-0004-0000-0100-000015020000}"/>
    <hyperlink ref="U166" r:id="rId535" xr:uid="{00000000-0004-0000-0100-000016020000}"/>
    <hyperlink ref="U149" r:id="rId536" xr:uid="{00000000-0004-0000-0100-000017020000}"/>
    <hyperlink ref="U143" r:id="rId537" xr:uid="{00000000-0004-0000-0100-000018020000}"/>
    <hyperlink ref="U141" r:id="rId538" xr:uid="{00000000-0004-0000-0100-000019020000}"/>
    <hyperlink ref="U140" r:id="rId539" xr:uid="{00000000-0004-0000-0100-00001A020000}"/>
    <hyperlink ref="U133" r:id="rId540" xr:uid="{00000000-0004-0000-0100-00001B020000}"/>
    <hyperlink ref="U138" r:id="rId541" xr:uid="{00000000-0004-0000-0100-00001C020000}"/>
    <hyperlink ref="U135" r:id="rId542" xr:uid="{00000000-0004-0000-0100-00001D020000}"/>
    <hyperlink ref="U131" r:id="rId543" xr:uid="{00000000-0004-0000-0100-00001E020000}"/>
    <hyperlink ref="U130" r:id="rId544" xr:uid="{00000000-0004-0000-0100-00001F020000}"/>
    <hyperlink ref="U122" r:id="rId545" xr:uid="{00000000-0004-0000-0100-000020020000}"/>
    <hyperlink ref="U118" r:id="rId546" xr:uid="{00000000-0004-0000-0100-000021020000}"/>
    <hyperlink ref="U105" r:id="rId547" xr:uid="{00000000-0004-0000-0100-000022020000}"/>
    <hyperlink ref="U101" r:id="rId548" xr:uid="{00000000-0004-0000-0100-000023020000}"/>
    <hyperlink ref="U100" r:id="rId549" xr:uid="{00000000-0004-0000-0100-000024020000}"/>
    <hyperlink ref="U99" r:id="rId550" xr:uid="{00000000-0004-0000-0100-000025020000}"/>
    <hyperlink ref="U94" r:id="rId551" xr:uid="{00000000-0004-0000-0100-000026020000}"/>
    <hyperlink ref="U88" r:id="rId552" xr:uid="{00000000-0004-0000-0100-000027020000}"/>
    <hyperlink ref="U85" r:id="rId553" xr:uid="{00000000-0004-0000-0100-000028020000}"/>
    <hyperlink ref="U83" r:id="rId554" xr:uid="{00000000-0004-0000-0100-000029020000}"/>
    <hyperlink ref="U79" r:id="rId555" xr:uid="{00000000-0004-0000-0100-00002A020000}"/>
    <hyperlink ref="U78" r:id="rId556" xr:uid="{00000000-0004-0000-0100-00002B020000}"/>
    <hyperlink ref="U77" r:id="rId557" xr:uid="{00000000-0004-0000-0100-00002C020000}"/>
    <hyperlink ref="U65" r:id="rId558" xr:uid="{00000000-0004-0000-0100-00002D020000}"/>
    <hyperlink ref="U64" r:id="rId559" xr:uid="{00000000-0004-0000-0100-00002E020000}"/>
    <hyperlink ref="U49" r:id="rId560" xr:uid="{00000000-0004-0000-0100-00002F020000}"/>
    <hyperlink ref="U45" r:id="rId561" xr:uid="{00000000-0004-0000-0100-000030020000}"/>
    <hyperlink ref="U33" r:id="rId562" xr:uid="{00000000-0004-0000-0100-000031020000}"/>
    <hyperlink ref="U28" r:id="rId563" xr:uid="{00000000-0004-0000-0100-000032020000}"/>
    <hyperlink ref="U27" r:id="rId564" xr:uid="{00000000-0004-0000-0100-000033020000}"/>
    <hyperlink ref="U15" r:id="rId565" xr:uid="{00000000-0004-0000-0100-000034020000}"/>
    <hyperlink ref="U13" r:id="rId566" xr:uid="{00000000-0004-0000-0100-000035020000}"/>
    <hyperlink ref="U12" r:id="rId567" xr:uid="{00000000-0004-0000-0100-000036020000}"/>
    <hyperlink ref="U9" r:id="rId568" xr:uid="{00000000-0004-0000-0100-000037020000}"/>
    <hyperlink ref="U4" r:id="rId569" xr:uid="{00000000-0004-0000-0100-000038020000}"/>
    <hyperlink ref="U169" r:id="rId570" xr:uid="{00000000-0004-0000-0100-000039020000}"/>
    <hyperlink ref="U168" r:id="rId571" xr:uid="{00000000-0004-0000-0100-00003A020000}"/>
    <hyperlink ref="U167" r:id="rId572" xr:uid="{00000000-0004-0000-0100-00003B020000}"/>
    <hyperlink ref="U165" r:id="rId573" xr:uid="{00000000-0004-0000-0100-00003C020000}"/>
    <hyperlink ref="U164" r:id="rId574" xr:uid="{00000000-0004-0000-0100-00003D020000}"/>
    <hyperlink ref="U163" r:id="rId575" xr:uid="{00000000-0004-0000-0100-00003E020000}"/>
    <hyperlink ref="U162" r:id="rId576" xr:uid="{00000000-0004-0000-0100-00003F020000}"/>
    <hyperlink ref="U159" r:id="rId577" xr:uid="{00000000-0004-0000-0100-000040020000}"/>
    <hyperlink ref="U158" r:id="rId578" xr:uid="{00000000-0004-0000-0100-000041020000}"/>
    <hyperlink ref="U155" r:id="rId579" xr:uid="{00000000-0004-0000-0100-000042020000}"/>
    <hyperlink ref="U153" r:id="rId580" xr:uid="{00000000-0004-0000-0100-000043020000}"/>
    <hyperlink ref="U111" r:id="rId581" xr:uid="{00000000-0004-0000-0100-000044020000}"/>
    <hyperlink ref="U185" r:id="rId582" xr:uid="{00000000-0004-0000-0100-000045020000}"/>
    <hyperlink ref="U188" r:id="rId583" xr:uid="{00000000-0004-0000-0100-000046020000}"/>
    <hyperlink ref="U189" r:id="rId584" xr:uid="{00000000-0004-0000-0100-000047020000}"/>
    <hyperlink ref="N21" r:id="rId585" xr:uid="{00000000-0004-0000-0100-000048020000}"/>
    <hyperlink ref="N23" r:id="rId586" xr:uid="{00000000-0004-0000-0100-000049020000}"/>
    <hyperlink ref="N53" r:id="rId587" xr:uid="{00000000-0004-0000-0100-00004A020000}"/>
    <hyperlink ref="S189" r:id="rId588" xr:uid="{00000000-0004-0000-0100-00004B020000}"/>
    <hyperlink ref="S188" r:id="rId589" xr:uid="{00000000-0004-0000-0100-00004C020000}"/>
    <hyperlink ref="S185" r:id="rId590" xr:uid="{00000000-0004-0000-0100-00004D020000}"/>
    <hyperlink ref="S111" r:id="rId591" xr:uid="{00000000-0004-0000-0100-00004E020000}"/>
    <hyperlink ref="S153" r:id="rId592" xr:uid="{00000000-0004-0000-0100-00004F020000}"/>
    <hyperlink ref="S158" r:id="rId593" xr:uid="{00000000-0004-0000-0100-000050020000}"/>
    <hyperlink ref="S159" r:id="rId594" xr:uid="{00000000-0004-0000-0100-000051020000}"/>
    <hyperlink ref="S162" r:id="rId595" xr:uid="{00000000-0004-0000-0100-000052020000}"/>
    <hyperlink ref="S164" r:id="rId596" xr:uid="{00000000-0004-0000-0100-000053020000}"/>
    <hyperlink ref="S165" r:id="rId597" xr:uid="{00000000-0004-0000-0100-000054020000}"/>
    <hyperlink ref="S167" r:id="rId598" xr:uid="{00000000-0004-0000-0100-000055020000}"/>
    <hyperlink ref="S168" r:id="rId599" xr:uid="{00000000-0004-0000-0100-000056020000}"/>
    <hyperlink ref="S169" r:id="rId600" xr:uid="{00000000-0004-0000-0100-000057020000}"/>
    <hyperlink ref="S19" r:id="rId601" display="Yes" xr:uid="{00000000-0004-0000-0100-000058020000}"/>
    <hyperlink ref="S13" r:id="rId602" display="Yes" xr:uid="{00000000-0004-0000-0100-000059020000}"/>
    <hyperlink ref="S18" r:id="rId603" display="Yes" xr:uid="{00000000-0004-0000-0100-00005A020000}"/>
    <hyperlink ref="S7" r:id="rId604" display="Yes" xr:uid="{00000000-0004-0000-0100-00005B020000}"/>
    <hyperlink ref="S15" r:id="rId605" display="Yes" xr:uid="{00000000-0004-0000-0100-00005C020000}"/>
    <hyperlink ref="S28" r:id="rId606" display="Yes" xr:uid="{00000000-0004-0000-0100-00005D020000}"/>
    <hyperlink ref="S29" r:id="rId607" display="Yes" xr:uid="{00000000-0004-0000-0100-00005E020000}"/>
    <hyperlink ref="S23" r:id="rId608" display="Yes" xr:uid="{00000000-0004-0000-0100-00005F020000}"/>
    <hyperlink ref="S14" r:id="rId609" display="Yes" xr:uid="{00000000-0004-0000-0100-000060020000}"/>
    <hyperlink ref="S24" r:id="rId610" display="Yes" xr:uid="{00000000-0004-0000-0100-000061020000}"/>
    <hyperlink ref="S31" r:id="rId611" display="Yes" xr:uid="{00000000-0004-0000-0100-000062020000}"/>
    <hyperlink ref="S3" r:id="rId612" display="Yes" xr:uid="{00000000-0004-0000-0100-000063020000}"/>
    <hyperlink ref="S21" r:id="rId613" display="Yes" xr:uid="{00000000-0004-0000-0100-000064020000}"/>
    <hyperlink ref="S2" r:id="rId614" display="Yes" xr:uid="{00000000-0004-0000-0100-000065020000}"/>
    <hyperlink ref="S20" r:id="rId615" display="Yes" xr:uid="{00000000-0004-0000-0100-000066020000}"/>
    <hyperlink ref="S4" r:id="rId616" display="Yes" xr:uid="{00000000-0004-0000-0100-000067020000}"/>
    <hyperlink ref="S25" r:id="rId617" display="Yes" xr:uid="{00000000-0004-0000-0100-000068020000}"/>
    <hyperlink ref="S22" r:id="rId618" display="Yes" xr:uid="{00000000-0004-0000-0100-000069020000}"/>
    <hyperlink ref="S6" r:id="rId619" display="Yes" xr:uid="{00000000-0004-0000-0100-00006A020000}"/>
    <hyperlink ref="S9" r:id="rId620" display="Yes" xr:uid="{00000000-0004-0000-0100-00006B020000}"/>
    <hyperlink ref="S11" r:id="rId621" display="Yes" xr:uid="{00000000-0004-0000-0100-00006C020000}"/>
    <hyperlink ref="S34" r:id="rId622" xr:uid="{00000000-0004-0000-0100-00006D020000}"/>
    <hyperlink ref="S35" r:id="rId623" xr:uid="{00000000-0004-0000-0100-00006E020000}"/>
    <hyperlink ref="S37" r:id="rId624" xr:uid="{00000000-0004-0000-0100-00006F020000}"/>
    <hyperlink ref="S48" r:id="rId625" xr:uid="{00000000-0004-0000-0100-000070020000}"/>
    <hyperlink ref="S42" r:id="rId626" xr:uid="{00000000-0004-0000-0100-000071020000}"/>
    <hyperlink ref="S45" r:id="rId627" xr:uid="{00000000-0004-0000-0100-000072020000}"/>
    <hyperlink ref="S32" r:id="rId628" xr:uid="{00000000-0004-0000-0100-000073020000}"/>
    <hyperlink ref="S58" r:id="rId629" xr:uid="{00000000-0004-0000-0100-000074020000}"/>
    <hyperlink ref="S49" r:id="rId630" xr:uid="{00000000-0004-0000-0100-000075020000}"/>
    <hyperlink ref="S51" r:id="rId631" xr:uid="{00000000-0004-0000-0100-000076020000}"/>
    <hyperlink ref="S36" r:id="rId632" xr:uid="{00000000-0004-0000-0100-000077020000}"/>
    <hyperlink ref="S56" r:id="rId633" xr:uid="{00000000-0004-0000-0100-000078020000}"/>
    <hyperlink ref="S33" r:id="rId634" xr:uid="{00000000-0004-0000-0100-000079020000}"/>
    <hyperlink ref="S64" r:id="rId635" xr:uid="{00000000-0004-0000-0100-00007A020000}"/>
    <hyperlink ref="S71" r:id="rId636" xr:uid="{00000000-0004-0000-0100-00007B020000}"/>
    <hyperlink ref="S60" r:id="rId637" xr:uid="{00000000-0004-0000-0100-00007C020000}"/>
    <hyperlink ref="S61" r:id="rId638" xr:uid="{00000000-0004-0000-0100-00007D020000}"/>
    <hyperlink ref="S66" r:id="rId639" xr:uid="{00000000-0004-0000-0100-00007E020000}"/>
    <hyperlink ref="S69" r:id="rId640" xr:uid="{00000000-0004-0000-0100-00007F020000}"/>
    <hyperlink ref="S68" r:id="rId641" xr:uid="{00000000-0004-0000-0100-000080020000}"/>
    <hyperlink ref="S90" r:id="rId642" xr:uid="{00000000-0004-0000-0100-000081020000}"/>
    <hyperlink ref="S76" r:id="rId643" xr:uid="{00000000-0004-0000-0100-000082020000}"/>
    <hyperlink ref="S80" r:id="rId644" xr:uid="{00000000-0004-0000-0100-000083020000}"/>
    <hyperlink ref="S88" r:id="rId645" xr:uid="{00000000-0004-0000-0100-000084020000}"/>
    <hyperlink ref="S92" r:id="rId646" xr:uid="{00000000-0004-0000-0100-000085020000}"/>
    <hyperlink ref="S97" r:id="rId647" xr:uid="{00000000-0004-0000-0100-000086020000}"/>
    <hyperlink ref="S98" r:id="rId648" xr:uid="{00000000-0004-0000-0100-000087020000}"/>
    <hyperlink ref="S100" r:id="rId649" xr:uid="{00000000-0004-0000-0100-000088020000}"/>
    <hyperlink ref="S117" r:id="rId650" xr:uid="{00000000-0004-0000-0100-000089020000}"/>
    <hyperlink ref="S115" r:id="rId651" xr:uid="{00000000-0004-0000-0100-00008A020000}"/>
    <hyperlink ref="S119" r:id="rId652" xr:uid="{00000000-0004-0000-0100-00008B020000}"/>
    <hyperlink ref="S120" r:id="rId653" xr:uid="{00000000-0004-0000-0100-00008C020000}"/>
    <hyperlink ref="S121" r:id="rId654" xr:uid="{00000000-0004-0000-0100-00008D020000}"/>
    <hyperlink ref="S122" r:id="rId655" xr:uid="{00000000-0004-0000-0100-00008E020000}"/>
    <hyperlink ref="S124" r:id="rId656" xr:uid="{00000000-0004-0000-0100-00008F020000}"/>
    <hyperlink ref="S126" r:id="rId657" xr:uid="{00000000-0004-0000-0100-000090020000}"/>
    <hyperlink ref="S127" r:id="rId658" xr:uid="{00000000-0004-0000-0100-000091020000}"/>
    <hyperlink ref="S130" r:id="rId659" xr:uid="{00000000-0004-0000-0100-000092020000}"/>
    <hyperlink ref="S134" r:id="rId660" xr:uid="{00000000-0004-0000-0100-000093020000}"/>
    <hyperlink ref="S139" r:id="rId661" xr:uid="{00000000-0004-0000-0100-000094020000}"/>
    <hyperlink ref="S141" r:id="rId662" xr:uid="{00000000-0004-0000-0100-000095020000}"/>
    <hyperlink ref="S144" r:id="rId663" xr:uid="{00000000-0004-0000-0100-000096020000}"/>
    <hyperlink ref="S145" r:id="rId664" xr:uid="{00000000-0004-0000-0100-000097020000}"/>
    <hyperlink ref="S147" r:id="rId665" xr:uid="{00000000-0004-0000-0100-000098020000}"/>
    <hyperlink ref="S148" r:id="rId666" xr:uid="{00000000-0004-0000-0100-000099020000}"/>
    <hyperlink ref="S151" r:id="rId667" xr:uid="{00000000-0004-0000-0100-00009A020000}"/>
    <hyperlink ref="S166" r:id="rId668" xr:uid="{00000000-0004-0000-0100-00009B020000}"/>
    <hyperlink ref="S8" r:id="rId669" xr:uid="{00000000-0004-0000-0100-00009C020000}"/>
    <hyperlink ref="S17" r:id="rId670" xr:uid="{00000000-0004-0000-0100-00009D020000}"/>
    <hyperlink ref="S81" r:id="rId671" xr:uid="{00000000-0004-0000-0100-00009E020000}"/>
    <hyperlink ref="S108" r:id="rId672" xr:uid="{00000000-0004-0000-0100-00009F020000}"/>
    <hyperlink ref="A335" r:id="rId673" xr:uid="{00000000-0004-0000-0100-0000A0020000}"/>
    <hyperlink ref="A336" r:id="rId674" xr:uid="{00000000-0004-0000-0100-0000A1020000}"/>
    <hyperlink ref="A337" r:id="rId675" xr:uid="{00000000-0004-0000-0100-0000A2020000}"/>
    <hyperlink ref="A338" r:id="rId676" xr:uid="{00000000-0004-0000-0100-0000A3020000}"/>
    <hyperlink ref="A339" r:id="rId677" xr:uid="{00000000-0004-0000-0100-0000A4020000}"/>
    <hyperlink ref="A340" r:id="rId678" xr:uid="{00000000-0004-0000-0100-0000A5020000}"/>
    <hyperlink ref="A341" r:id="rId679" xr:uid="{00000000-0004-0000-0100-0000A6020000}"/>
    <hyperlink ref="A342" r:id="rId680" xr:uid="{00000000-0004-0000-0100-0000A7020000}"/>
    <hyperlink ref="A343" r:id="rId681" xr:uid="{00000000-0004-0000-0100-0000A8020000}"/>
    <hyperlink ref="A344" r:id="rId682" xr:uid="{00000000-0004-0000-0100-0000A9020000}"/>
    <hyperlink ref="A345" r:id="rId683" xr:uid="{00000000-0004-0000-0100-0000AA020000}"/>
    <hyperlink ref="A346" r:id="rId684" xr:uid="{00000000-0004-0000-0100-0000AC020000}"/>
    <hyperlink ref="A347" r:id="rId685" xr:uid="{00000000-0004-0000-0100-0000AD020000}"/>
    <hyperlink ref="A348" r:id="rId686" xr:uid="{00000000-0004-0000-0100-0000AE020000}"/>
    <hyperlink ref="A349" r:id="rId687" xr:uid="{00000000-0004-0000-0100-0000AF020000}"/>
    <hyperlink ref="A350" r:id="rId688" xr:uid="{00000000-0004-0000-0100-0000B0020000}"/>
    <hyperlink ref="A311" r:id="rId689" display="438" xr:uid="{00000000-0004-0000-0100-0000B1020000}"/>
    <hyperlink ref="A312" r:id="rId690" display="439" xr:uid="{00000000-0004-0000-0100-0000B2020000}"/>
    <hyperlink ref="A313" r:id="rId691" display="440" xr:uid="{00000000-0004-0000-0100-0000B3020000}"/>
    <hyperlink ref="A314" r:id="rId692" display="442" xr:uid="{00000000-0004-0000-0100-0000B4020000}"/>
    <hyperlink ref="A315" r:id="rId693" display="443" xr:uid="{00000000-0004-0000-0100-0000B5020000}"/>
    <hyperlink ref="A316" r:id="rId694" display="445" xr:uid="{00000000-0004-0000-0100-0000B6020000}"/>
    <hyperlink ref="A317" r:id="rId695" display="447" xr:uid="{00000000-0004-0000-0100-0000B7020000}"/>
    <hyperlink ref="A318" r:id="rId696" display="449" xr:uid="{00000000-0004-0000-0100-0000B8020000}"/>
    <hyperlink ref="A319" r:id="rId697" display="450" xr:uid="{00000000-0004-0000-0100-0000B9020000}"/>
    <hyperlink ref="A320" r:id="rId698" display="451" xr:uid="{00000000-0004-0000-0100-0000BA020000}"/>
    <hyperlink ref="A321" r:id="rId699" display="453" xr:uid="{00000000-0004-0000-0100-0000BB020000}"/>
    <hyperlink ref="A322" r:id="rId700" display="454" xr:uid="{00000000-0004-0000-0100-0000BC020000}"/>
    <hyperlink ref="A323" r:id="rId701" display="455" xr:uid="{00000000-0004-0000-0100-0000BD020000}"/>
    <hyperlink ref="A324" r:id="rId702" display="456" xr:uid="{00000000-0004-0000-0100-0000BE020000}"/>
    <hyperlink ref="A325" r:id="rId703" display="457" xr:uid="{00000000-0004-0000-0100-0000BF020000}"/>
    <hyperlink ref="A326" r:id="rId704" display="458" xr:uid="{00000000-0004-0000-0100-0000C0020000}"/>
    <hyperlink ref="A327" r:id="rId705" display="459" xr:uid="{00000000-0004-0000-0100-0000C1020000}"/>
    <hyperlink ref="A328" r:id="rId706" display="461" xr:uid="{00000000-0004-0000-0100-0000C2020000}"/>
    <hyperlink ref="A329" r:id="rId707" display="462" xr:uid="{00000000-0004-0000-0100-0000C3020000}"/>
    <hyperlink ref="A330" r:id="rId708" display="464" xr:uid="{00000000-0004-0000-0100-0000C4020000}"/>
    <hyperlink ref="A331" r:id="rId709" display="465" xr:uid="{00000000-0004-0000-0100-0000C5020000}"/>
    <hyperlink ref="A332" r:id="rId710" display="468" xr:uid="{00000000-0004-0000-0100-0000C6020000}"/>
    <hyperlink ref="A333" r:id="rId711" display="469" xr:uid="{00000000-0004-0000-0100-0000C7020000}"/>
    <hyperlink ref="A334" r:id="rId712" display="471" xr:uid="{00000000-0004-0000-0100-0000C8020000}"/>
    <hyperlink ref="E226" r:id="rId713" display="6/13/2018" xr:uid="{00000000-0004-0000-0100-0000C9020000}"/>
    <hyperlink ref="E225" r:id="rId714" display="8/10/2018" xr:uid="{00000000-0004-0000-0100-0000CA020000}"/>
    <hyperlink ref="E231" r:id="rId715" display="8/6/2018" xr:uid="{00000000-0004-0000-0100-0000CB020000}"/>
    <hyperlink ref="E229" r:id="rId716" display="7/18/2018" xr:uid="{00000000-0004-0000-0100-0000CC020000}"/>
    <hyperlink ref="E230" r:id="rId717" display="7/18/2018" xr:uid="{00000000-0004-0000-0100-0000CD020000}"/>
    <hyperlink ref="E232" r:id="rId718" display="7/31/2018" xr:uid="{00000000-0004-0000-0100-0000CE020000}"/>
    <hyperlink ref="E203" r:id="rId719" display="7/18/2018" xr:uid="{00000000-0004-0000-0100-0000CF020000}"/>
    <hyperlink ref="E196" r:id="rId720" display="5/24/2018" xr:uid="{00000000-0004-0000-0100-0000D0020000}"/>
    <hyperlink ref="E221" r:id="rId721" display="6/13/2018" xr:uid="{00000000-0004-0000-0100-0000D1020000}"/>
    <hyperlink ref="E211" r:id="rId722" display="5/14/2018" xr:uid="{00000000-0004-0000-0100-0000D2020000}"/>
    <hyperlink ref="E185" r:id="rId723" display="5/14/2018" xr:uid="{00000000-0004-0000-0100-0000D3020000}"/>
    <hyperlink ref="E182" r:id="rId724" display="3/12/2018" xr:uid="{00000000-0004-0000-0100-0000D4020000}"/>
    <hyperlink ref="E183" r:id="rId725" display="3/12/2018" xr:uid="{00000000-0004-0000-0100-0000D5020000}"/>
    <hyperlink ref="E214" r:id="rId726" display="4/3/2018" xr:uid="{00000000-0004-0000-0100-0000D6020000}"/>
    <hyperlink ref="E197" r:id="rId727" display="4/3/2018" xr:uid="{00000000-0004-0000-0100-0000D7020000}"/>
    <hyperlink ref="E216" r:id="rId728" display="4/3/2018" xr:uid="{00000000-0004-0000-0100-0000D8020000}"/>
    <hyperlink ref="E222" r:id="rId729" display="4/3/2018" xr:uid="{00000000-0004-0000-0100-0000D9020000}"/>
    <hyperlink ref="E200" r:id="rId730" display="4/3/2018" xr:uid="{00000000-0004-0000-0100-0000DA020000}"/>
    <hyperlink ref="E206" r:id="rId731" display="4/3/2018" xr:uid="{00000000-0004-0000-0100-0000DB020000}"/>
    <hyperlink ref="E212" r:id="rId732" display="4/3/2018" xr:uid="{00000000-0004-0000-0100-0000DC020000}"/>
    <hyperlink ref="E224" r:id="rId733" display="4/3/2018" xr:uid="{00000000-0004-0000-0100-0000DD020000}"/>
    <hyperlink ref="E227" r:id="rId734" display="4/3/2018" xr:uid="{00000000-0004-0000-0100-0000DE020000}"/>
    <hyperlink ref="E194" r:id="rId735" display="4/3/2018" xr:uid="{00000000-0004-0000-0100-0000DF020000}"/>
    <hyperlink ref="E179" r:id="rId736" display="3/13/2018" xr:uid="{00000000-0004-0000-0100-0000E0020000}"/>
    <hyperlink ref="E218" r:id="rId737" display="4/3/2018" xr:uid="{00000000-0004-0000-0100-0000E1020000}"/>
    <hyperlink ref="E219" r:id="rId738" display="4/3/2018" xr:uid="{00000000-0004-0000-0100-0000E2020000}"/>
    <hyperlink ref="E228" r:id="rId739" display="4/3/2018" xr:uid="{00000000-0004-0000-0100-0000E3020000}"/>
    <hyperlink ref="E202" r:id="rId740" display="4/3/2018" xr:uid="{00000000-0004-0000-0100-0000E4020000}"/>
    <hyperlink ref="E208" r:id="rId741" display="4/3/2018" xr:uid="{00000000-0004-0000-0100-0000E5020000}"/>
    <hyperlink ref="E213" r:id="rId742" display="4/11/2018" xr:uid="{00000000-0004-0000-0100-0000E6020000}"/>
    <hyperlink ref="E204" r:id="rId743" display="4/11/2018" xr:uid="{00000000-0004-0000-0100-0000E7020000}"/>
    <hyperlink ref="E201" r:id="rId744" display="4/11/2018" xr:uid="{00000000-0004-0000-0100-0000E8020000}"/>
    <hyperlink ref="E170" r:id="rId745" display="4/11/2018" xr:uid="{00000000-0004-0000-0100-0000E9020000}"/>
    <hyperlink ref="E223" r:id="rId746" display="4/11/2018" xr:uid="{00000000-0004-0000-0100-0000EA020000}"/>
    <hyperlink ref="E217" r:id="rId747" display="4/11/2018" xr:uid="{00000000-0004-0000-0100-0000EB020000}"/>
    <hyperlink ref="E220" r:id="rId748" display="4/16/2018" xr:uid="{00000000-0004-0000-0100-0000EC020000}"/>
    <hyperlink ref="E174" r:id="rId749" display="4/11/2018" xr:uid="{00000000-0004-0000-0100-0000ED020000}"/>
    <hyperlink ref="E207" r:id="rId750" display="4/16/2018" xr:uid="{00000000-0004-0000-0100-0000EE020000}"/>
    <hyperlink ref="E215" r:id="rId751" display="4/10/2018" xr:uid="{00000000-0004-0000-0100-0000EF020000}"/>
    <hyperlink ref="E199" r:id="rId752" display="4/16/2016" xr:uid="{00000000-0004-0000-0100-0000F0020000}"/>
    <hyperlink ref="E198" r:id="rId753" display="4/16/2018" xr:uid="{00000000-0004-0000-0100-0000F1020000}"/>
    <hyperlink ref="E195" r:id="rId754" display="4/11/2018" xr:uid="{00000000-0004-0000-0100-0000F2020000}"/>
    <hyperlink ref="E209" r:id="rId755" display="4/11/2018" xr:uid="{00000000-0004-0000-0100-0000F3020000}"/>
    <hyperlink ref="E210" r:id="rId756" display="4/11/2018" xr:uid="{00000000-0004-0000-0100-0000F4020000}"/>
    <hyperlink ref="E155" r:id="rId757" display="8/7/2017" xr:uid="{00000000-0004-0000-0100-0000F5020000}"/>
    <hyperlink ref="E156" r:id="rId758" display="8/7/2017" xr:uid="{00000000-0004-0000-0100-0000F6020000}"/>
    <hyperlink ref="E157" r:id="rId759" display="1/25/2018" xr:uid="{00000000-0004-0000-0100-0000F7020000}"/>
    <hyperlink ref="E162" r:id="rId760" display="8/7/2017" xr:uid="{00000000-0004-0000-0100-0000F8020000}"/>
    <hyperlink ref="E165" r:id="rId761" display="7/28/2017" xr:uid="{00000000-0004-0000-0100-0000F9020000}"/>
    <hyperlink ref="E169" r:id="rId762" display="8/4/2017" xr:uid="{00000000-0004-0000-0100-0000FA020000}"/>
    <hyperlink ref="E171" r:id="rId763" display="1/22/2018" xr:uid="{00000000-0004-0000-0100-0000FB020000}"/>
    <hyperlink ref="E172" r:id="rId764" display="12/1/2017" xr:uid="{00000000-0004-0000-0100-0000FC020000}"/>
    <hyperlink ref="E173" r:id="rId765" display="2/14/2018" xr:uid="{00000000-0004-0000-0100-0000FD020000}"/>
    <hyperlink ref="E175" r:id="rId766" display="2/1/2018" xr:uid="{00000000-0004-0000-0100-0000FE020000}"/>
    <hyperlink ref="E176" r:id="rId767" display="1/22/2018" xr:uid="{00000000-0004-0000-0100-0000FF020000}"/>
    <hyperlink ref="E177" r:id="rId768" display="1/10/2018" xr:uid="{00000000-0004-0000-0100-000000030000}"/>
    <hyperlink ref="E178" r:id="rId769" display="12/1/2017" xr:uid="{00000000-0004-0000-0100-000001030000}"/>
    <hyperlink ref="E180" r:id="rId770" display="2/27/2018" xr:uid="{00000000-0004-0000-0100-000002030000}"/>
    <hyperlink ref="E181" r:id="rId771" display="1/9/2018" xr:uid="{00000000-0004-0000-0100-000003030000}"/>
    <hyperlink ref="E184" r:id="rId772" display="2/1/2018" xr:uid="{00000000-0004-0000-0100-000004030000}"/>
    <hyperlink ref="E186" r:id="rId773" display="2/5/2018" xr:uid="{00000000-0004-0000-0100-000005030000}"/>
    <hyperlink ref="E187" r:id="rId774" display="1/22/2018" xr:uid="{00000000-0004-0000-0100-000006030000}"/>
    <hyperlink ref="E188" r:id="rId775" display="2/9/2018" xr:uid="{00000000-0004-0000-0100-000007030000}"/>
    <hyperlink ref="E189" r:id="rId776" display="11/28/2017" xr:uid="{00000000-0004-0000-0100-000008030000}"/>
    <hyperlink ref="E190" r:id="rId777" display="1/22/2018" xr:uid="{00000000-0004-0000-0100-000009030000}"/>
    <hyperlink ref="E191" r:id="rId778" display="1/23/2018" xr:uid="{00000000-0004-0000-0100-00000A030000}"/>
    <hyperlink ref="E193" r:id="rId779" display="1/9/2018" xr:uid="{00000000-0004-0000-0100-00000B030000}"/>
    <hyperlink ref="N101" r:id="rId780" xr:uid="{00000000-0004-0000-0100-00000C030000}"/>
    <hyperlink ref="N134" r:id="rId781" xr:uid="{3750267D-938E-45C6-8AB1-B9C3437A220A}"/>
    <hyperlink ref="N153" r:id="rId782" xr:uid="{1EA5183C-3074-40F6-911A-80DF4174FD58}"/>
    <hyperlink ref="N167" r:id="rId783" xr:uid="{233E9FA0-31AF-4851-8AC0-6238B0B74BD5}"/>
    <hyperlink ref="N117" r:id="rId784" xr:uid="{7C82DCAE-BD73-4466-8672-2905A132474C}"/>
    <hyperlink ref="N48" r:id="rId785" xr:uid="{75447D0B-A8BE-4F06-AD12-176228B861B3}"/>
    <hyperlink ref="N148" r:id="rId786" xr:uid="{D10CE91F-4666-40E4-B00B-E1D8ABC33AF1}"/>
    <hyperlink ref="N282" r:id="rId787" xr:uid="{BE777911-3CF8-44F5-9A85-C8AFD1921E19}"/>
    <hyperlink ref="A352" r:id="rId788" display="Proposals/Textbook Transformation Grant/476_Lai.pdf" xr:uid="{448AC87A-70CA-4FC7-8F0A-6A598A838E9C}"/>
    <hyperlink ref="A353" r:id="rId789" display="Proposals/Textbook Transformation Grant/477_Bates.pdf" xr:uid="{B13219FC-AE78-4463-859B-632F4B6FD1A6}"/>
    <hyperlink ref="A354" r:id="rId790" display="Proposals/Textbook Transformation Grant/478_Jacques.pdf" xr:uid="{81AF6101-2DF9-4171-A522-820412254E80}"/>
    <hyperlink ref="A355" r:id="rId791" display="Proposals/Textbook Transformation Grant/480_Peterson.pdf" xr:uid="{B24DF45D-7E57-49D7-AE00-BC1C35789FB1}"/>
    <hyperlink ref="A356" r:id="rId792" display="Proposals/Textbook Transformation Grant/481_Larson.pdf" xr:uid="{FD3C0822-D41B-4058-8CAC-D408DD1FC266}"/>
    <hyperlink ref="A357" r:id="rId793" display="Proposals/Textbook Transformation Grant/482_Gunay.pdf" xr:uid="{ADF28A6D-0DE0-4816-A51F-AA7C287205FF}"/>
    <hyperlink ref="A358" r:id="rId794" display="Proposals/Textbook Transformation Grant/484_Shahriar.pdf" xr:uid="{F2EB9C0E-7BF0-44EC-95F4-17BB08847422}"/>
    <hyperlink ref="A359" r:id="rId795" display="Proposals/Textbook Transformation Grant/486_Reardon.pdf" xr:uid="{F706432B-7F02-4DD0-9D81-E98F96A5E7B0}"/>
    <hyperlink ref="A361" r:id="rId796" display="Proposals/Textbook Transformation Grant/490_Farmer.pdf" xr:uid="{BBA8E0C2-C8CD-4B08-9652-1EA97260460D}"/>
    <hyperlink ref="A362" r:id="rId797" display="Proposals/Textbook Transformation Grant/492_Dose.pdf" xr:uid="{622DE1F8-2BE1-43DB-9F21-E61DBDF225C3}"/>
    <hyperlink ref="A363" r:id="rId798" display="Proposals/Textbook Transformation Grant/494_Chakraborty.pdf" xr:uid="{E615BDF9-1E40-457F-9ACA-31E413014CE9}"/>
    <hyperlink ref="A364" r:id="rId799" display="Proposals/Textbook Transformation Grant/495_Mubin.pdf" xr:uid="{E0819DEE-08DF-4214-AC4B-E8E251FD3982}"/>
    <hyperlink ref="A365" r:id="rId800" display="Proposals/Textbook Transformation Grant/497_Farr.pdf" xr:uid="{8E23A3F7-4B77-440D-BF4B-8A13A6767D09}"/>
    <hyperlink ref="A366" r:id="rId801" display="Proposals/Textbook Transformation Grant/499_Dolo.pdf" xr:uid="{C6DDB109-24C8-4D80-AFDE-F08CB0489BBF}"/>
    <hyperlink ref="A367" r:id="rId802" display="Proposals/Textbook Transformation Grant/501_Spoletini.pdf" xr:uid="{7A166DE8-F00D-489A-8429-9E99BA208F08}"/>
    <hyperlink ref="A368" r:id="rId803" display="M96" xr:uid="{5A27D612-01FC-428F-BC39-8BE2263BDC9F}"/>
    <hyperlink ref="A369" r:id="rId804" display="M97" xr:uid="{90C7803F-A835-43A4-B5DD-DD98AC8127F9}"/>
    <hyperlink ref="A370" r:id="rId805" display="M98" xr:uid="{4ACD1368-81CF-4DB9-BA13-F10291EB8E7F}"/>
    <hyperlink ref="A371" r:id="rId806" display="M99" xr:uid="{E5707DD3-5850-48C2-978B-94D66056A8F9}"/>
    <hyperlink ref="A372" r:id="rId807" xr:uid="{1122B730-0485-4914-88FC-368ADDBA7F34}"/>
    <hyperlink ref="A373" r:id="rId808" xr:uid="{B8CF8A1E-A1DF-4346-AEB6-5C197ADA8056}"/>
    <hyperlink ref="A374" r:id="rId809" xr:uid="{2EC78ADF-B924-4F4E-8991-8272E75618F8}"/>
    <hyperlink ref="A375" r:id="rId810" xr:uid="{AB9261C8-24F8-4775-8DAF-F8885277DDAA}"/>
    <hyperlink ref="A376" r:id="rId811" xr:uid="{C761E116-305A-459C-B729-04C3B64126A9}"/>
    <hyperlink ref="A377" r:id="rId812" xr:uid="{400D20BC-B472-4A12-9EE3-2BCC6A78CCFF}"/>
    <hyperlink ref="A378" r:id="rId813" xr:uid="{9A50F122-4FB4-4357-A7BA-E98CF591EBD8}"/>
    <hyperlink ref="A402" r:id="rId814" xr:uid="{20545191-3F62-42C7-9DA4-7DDEBDE9ADD7}"/>
    <hyperlink ref="A401" r:id="rId815" xr:uid="{C7242E79-DB88-4F82-9022-4196DE0F32E3}"/>
    <hyperlink ref="A400" r:id="rId816" xr:uid="{A41F7D51-613F-41A1-A57B-BA12AAEA9C75}"/>
    <hyperlink ref="A399" r:id="rId817" xr:uid="{BA152875-82D5-4D3F-80FE-527BCB388863}"/>
    <hyperlink ref="A398" r:id="rId818" xr:uid="{26219E87-8894-4268-A538-94AAEE429B5C}"/>
    <hyperlink ref="A397" r:id="rId819" xr:uid="{0F9835F9-6B09-421F-BDAC-C74B55D0A06D}"/>
    <hyperlink ref="A396" r:id="rId820" xr:uid="{651F11F3-366C-4416-91B5-DEF58AB12392}"/>
    <hyperlink ref="A395" r:id="rId821" xr:uid="{2B8678D4-ABBC-4C6B-9F24-A4F253B17959}"/>
    <hyperlink ref="A394" r:id="rId822" xr:uid="{000CA731-CCDD-4B1F-AEC0-285A6043F9E9}"/>
    <hyperlink ref="A393" r:id="rId823" xr:uid="{F3F3772F-EC16-4556-90D5-76BAF7381D0D}"/>
    <hyperlink ref="A379" r:id="rId824" display="https://borusg.sharepoint.com/team_sites/galileo/Shared Documents/Affordable Learning Georgia (ALG)/Grants/R15-R17/R16/Reviews/Applications/502.pdf" xr:uid="{84C84EB5-C832-4890-AAF7-A77F07A6898C}"/>
    <hyperlink ref="A380" r:id="rId825" display="https://borusg.sharepoint.com/team_sites/galileo/Shared Documents/Affordable Learning Georgia (ALG)/Grants/R15-R17/R16/Reviews/Applications/504.pdf" xr:uid="{337AD7D5-74F6-47B1-9713-60D48BA9DE2C}"/>
    <hyperlink ref="A382" r:id="rId826" display="https://borusg.sharepoint.com/team_sites/galileo/Shared Documents/Affordable Learning Georgia (ALG)/Grants/R15-R17/R16/Reviews/Applications/506.pdf" xr:uid="{8AB11301-63D7-4C75-A0A4-F31E5139A066}"/>
    <hyperlink ref="A383" r:id="rId827" display="https://borusg.sharepoint.com/team_sites/galileo/Shared Documents/Affordable Learning Georgia (ALG)/Grants/R15-R17/R16/Reviews/Applications/507.pdf" xr:uid="{4A4AB58F-C9C0-4DE1-BFBD-B92882D3F3E9}"/>
    <hyperlink ref="A384" r:id="rId828" display="https://borusg.sharepoint.com/team_sites/galileo/Shared Documents/Affordable Learning Georgia (ALG)/Grants/R15-R17/R16/Reviews/Applications/508.pdf" xr:uid="{36502E5D-0FD2-4250-BDCA-4E78ACE8192B}"/>
    <hyperlink ref="A385" r:id="rId829" display="https://borusg.sharepoint.com/team_sites/galileo/Shared Documents/Affordable Learning Georgia (ALG)/Grants/R15-R17/R16/Reviews/Applications/509.pdf" xr:uid="{0FD7F8E8-3599-451B-88ED-BFD5389D1A4A}"/>
    <hyperlink ref="A386" r:id="rId830" display="https://borusg.sharepoint.com/team_sites/galileo/Shared Documents/Affordable Learning Georgia (ALG)/Grants/R15-R17/R16/Reviews/Applications/516.pdf" xr:uid="{898FF4AD-4822-4CA2-A983-C7DAA71FB1BF}"/>
    <hyperlink ref="A387" r:id="rId831" display="https://borusg.sharepoint.com/team_sites/galileo/Shared Documents/Affordable Learning Georgia (ALG)/Grants/R15-R17/R16/Reviews/Applications/517.pdf" xr:uid="{D94393B5-E79D-4C10-8459-93C232E50F53}"/>
    <hyperlink ref="A388" r:id="rId832" display="https://borusg.sharepoint.com/team_sites/galileo/Shared Documents/Affordable Learning Georgia (ALG)/Grants/R15-R17/R16/Reviews/Applications/518.pdf" xr:uid="{4BCEFD1A-6A51-48A5-B32D-EEF290F32DCD}"/>
    <hyperlink ref="A389" r:id="rId833" display="https://borusg.sharepoint.com/team_sites/galileo/Shared Documents/Affordable Learning Georgia (ALG)/Grants/R15-R17/R16/Reviews/Applications/519.pdf" xr:uid="{BF97464F-2E61-4AED-85EB-C92F8D2ECE1F}"/>
    <hyperlink ref="A390" r:id="rId834" display="https://borusg.sharepoint.com/team_sites/galileo/Shared Documents/Affordable Learning Georgia (ALG)/Grants/R15-R17/R16/Reviews/Applications/520.pdf" xr:uid="{B83858C1-4C26-4D37-ADE8-2FA7223D2DFF}"/>
    <hyperlink ref="A391" r:id="rId835" display="https://borusg.sharepoint.com/team_sites/galileo/Shared Documents/Affordable Learning Georgia (ALG)/Grants/R15-R17/R16/Reviews/Applications/521 CSU Quantitative Reasoning/CSU-Application_Form_Departmental_Scaling.docx" xr:uid="{CA3BFD39-EC57-49D6-B12E-85377ACBFA69}"/>
    <hyperlink ref="A392" r:id="rId836" display="https://borusg.sharepoint.com/team_sites/galileo/Shared Documents/Affordable Learning Georgia (ALG)/Grants/R15-R17/R16/Reviews/Applications/522 GSU Sociology/OER (2020) Application_Form_Departmental_Scaling.docx" xr:uid="{C545C79A-CEA9-424E-9147-C54C524E75DD}"/>
    <hyperlink ref="N392" r:id="rId837" xr:uid="{C0802E2A-3588-473C-BFFA-049906E40028}"/>
    <hyperlink ref="N391" r:id="rId838" xr:uid="{31EFFEA4-EA87-4866-9D09-D6E7C372B94B}"/>
    <hyperlink ref="N397" r:id="rId839" xr:uid="{168EBDDE-DF5A-47BD-9C5E-0FB99E301DF7}"/>
    <hyperlink ref="A403" r:id="rId840" display="https://www.affordablelearninggeorgia.org/documents/523_proposal.pdf" xr:uid="{AA4235DC-C3F4-4CCB-BA59-4FA940988ED8}"/>
    <hyperlink ref="A404" r:id="rId841" display="https://www.affordablelearninggeorgia.org/documents/524_proposal.pdf" xr:uid="{0C5D1E87-4F3C-4ABA-A8F1-924791849457}"/>
    <hyperlink ref="A405" r:id="rId842" display="https://www.affordablelearninggeorgia.org/documents/525_proposal.pdf" xr:uid="{D32D3A30-FC84-4386-8708-A146E3A129D2}"/>
    <hyperlink ref="A406" r:id="rId843" display="https://www.affordablelearninggeorgia.org/documents/526_proposal.pdf" xr:uid="{7B3BCFAB-F178-4A10-BBD0-80FF6886CCD7}"/>
    <hyperlink ref="A407" r:id="rId844" display="https://www.affordablelearninggeorgia.org/documents/527_proposal.pdf" xr:uid="{BE899E84-4185-49BB-863A-1808D9D47520}"/>
    <hyperlink ref="A408" r:id="rId845" display="https://www.affordablelearninggeorgia.org/documents/528_proposal.pdf" xr:uid="{40E6F311-538E-4AC9-80B1-E725C785E449}"/>
    <hyperlink ref="A409" r:id="rId846" display="https://www.affordablelearninggeorgia.org/documents/532_proposal.pdf" xr:uid="{36F05555-7C96-44F7-B1D7-F81AE172A01C}"/>
    <hyperlink ref="A410" r:id="rId847" display="https://www.affordablelearninggeorgia.org/documents/534_proposal.pdf" xr:uid="{E8B70F71-F02F-43F0-9AF6-F769B2C9565D}"/>
    <hyperlink ref="A411" r:id="rId848" display="https://www.affordablelearninggeorgia.org/documents/537_proposal.pdf" xr:uid="{8D6B26AF-3136-4FE6-83D8-7267069FEA59}"/>
    <hyperlink ref="A412" r:id="rId849" display="https://www.affordablelearninggeorgia.org/documents/538_proposal.pdf" xr:uid="{71344334-482C-4884-A314-EC4D0AE32A92}"/>
    <hyperlink ref="A413" r:id="rId850" display="https://www.affordablelearninggeorgia.org/documents/540_proposal.pdf" xr:uid="{492F9A6C-D833-411E-BB24-33D5429B9D9E}"/>
    <hyperlink ref="A414" r:id="rId851" display="https://www.affordablelearninggeorgia.org/documents/544_proposal.pdf" xr:uid="{2033BE46-7205-4A18-9B44-CDF5B11869CF}"/>
    <hyperlink ref="A415" r:id="rId852" display="https://www.affordablelearninggeorgia.org/documents/546_proposal.pdf" xr:uid="{8A63B8E1-7075-4EE0-9E06-7958A820D793}"/>
    <hyperlink ref="A416" r:id="rId853" xr:uid="{F77E3C32-C62D-49F7-8DFB-43AF153DD447}"/>
    <hyperlink ref="A417" r:id="rId854" xr:uid="{562239CD-4B64-4FAE-BBF8-4D610A7E963C}"/>
    <hyperlink ref="A418" r:id="rId855" xr:uid="{A445410C-D7CD-491A-B680-907E2CBF5973}"/>
    <hyperlink ref="A419" r:id="rId856" xr:uid="{E1C500A6-5831-4742-BDEE-72522B32E6F6}"/>
    <hyperlink ref="A420" r:id="rId857" xr:uid="{40DD415F-3106-4D97-A318-8E1AE3A7CA1E}"/>
    <hyperlink ref="A421" r:id="rId858" xr:uid="{BC70DF4B-0B1C-4945-9560-C27FF5B5AED3}"/>
    <hyperlink ref="A422" r:id="rId859" xr:uid="{B49452BD-6182-45BE-89D4-5CC511AB0020}"/>
    <hyperlink ref="A423" r:id="rId860" xr:uid="{636A5BF6-8CA2-4599-84EF-8BF207CED627}"/>
    <hyperlink ref="A424" r:id="rId861" xr:uid="{4BD221B1-D9A4-45D4-8F51-49AB721A578B}"/>
  </hyperlinks>
  <pageMargins left="0.7" right="0.7" top="0.75" bottom="0.75" header="0.3" footer="0.3"/>
  <pageSetup orientation="portrait" horizontalDpi="1200" verticalDpi="1200" r:id="rId862"/>
  <ignoredErrors>
    <ignoredError sqref="CE344" calculatedColumn="1"/>
  </ignoredErrors>
  <legacyDrawing r:id="rId863"/>
  <tableParts count="1">
    <tablePart r:id="rId864"/>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'Data Types'!$A$5:$A$7</xm:f>
          </x14:formula1>
          <xm:sqref>DS287:DS319 DT272:DT277 ED352:ED379 EB380:EB403 DZ404:DZ425 DT320:DT351 DY426:DY454 DX455:DX1048576</xm:sqref>
        </x14:dataValidation>
        <x14:dataValidation type="list" allowBlank="1" showInputMessage="1" showErrorMessage="1" xr:uid="{00000000-0002-0000-0100-000001000000}">
          <x14:formula1>
            <xm:f>'Data Types'!$B$1:$B$3</xm:f>
          </x14:formula1>
          <xm:sqref>I2:I453</xm:sqref>
        </x14:dataValidation>
        <x14:dataValidation type="list" allowBlank="1" showInputMessage="1" showErrorMessage="1" xr:uid="{00000000-0002-0000-0100-000002000000}">
          <x14:formula1>
            <xm:f>'Data Types'!$A$5:$A$8</xm:f>
          </x14:formula1>
          <xm:sqref>AI2:AI453 BL2:BL453 CA425:CA453</xm:sqref>
        </x14:dataValidation>
        <x14:dataValidation type="list" allowBlank="1" showInputMessage="1" showErrorMessage="1" xr:uid="{17EE712D-E119-4E55-A3BB-2F3E846B6B48}">
          <x14:formula1>
            <xm:f>'Data Types'!$A$5:$A$9</xm:f>
          </x14:formula1>
          <xm:sqref>CA2:CA424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D2008-DF38-4DC6-AEB0-781AEDE0D279}">
  <dimension ref="A1:L2"/>
  <sheetViews>
    <sheetView workbookViewId="0">
      <selection activeCell="A2" sqref="A2"/>
    </sheetView>
  </sheetViews>
  <sheetFormatPr defaultRowHeight="15" x14ac:dyDescent="0.25"/>
  <cols>
    <col min="1" max="12" width="15.7109375" customWidth="1"/>
  </cols>
  <sheetData>
    <row r="1" spans="1:12" x14ac:dyDescent="0.25">
      <c r="A1" t="s">
        <v>2106</v>
      </c>
      <c r="B1" t="s">
        <v>2107</v>
      </c>
      <c r="C1" t="s">
        <v>2104</v>
      </c>
      <c r="D1" t="s">
        <v>2105</v>
      </c>
      <c r="E1" t="s">
        <v>2102</v>
      </c>
      <c r="F1" t="s">
        <v>2103</v>
      </c>
      <c r="G1" t="s">
        <v>2100</v>
      </c>
      <c r="H1" t="s">
        <v>2101</v>
      </c>
      <c r="I1" t="s">
        <v>2099</v>
      </c>
      <c r="J1" t="s">
        <v>2098</v>
      </c>
      <c r="K1" t="s">
        <v>2096</v>
      </c>
      <c r="L1" t="s">
        <v>2097</v>
      </c>
    </row>
    <row r="2" spans="1:12" x14ac:dyDescent="0.25">
      <c r="A2" s="9">
        <f>SUM(Table1[Total AY 2014-2015 Savings])</f>
        <v>1133941.49</v>
      </c>
      <c r="B2" s="10">
        <f>SUM(Table1[Total AY 2014-2015 Students])</f>
        <v>6808.666666666667</v>
      </c>
      <c r="C2" s="9">
        <f>SUM(Table1[Total AY 2015-2016 Savings])</f>
        <v>5594935.2033333341</v>
      </c>
      <c r="D2" s="10">
        <f>SUM(Table1[Total AY 2015-2016 Students])</f>
        <v>30809.333333333328</v>
      </c>
      <c r="E2" s="9">
        <f>SUM(Table1[Total AY 2016-2017 Savings])</f>
        <v>11743420.196666671</v>
      </c>
      <c r="F2" s="30">
        <f>SUM(Table1[Total AY 2016-2017 Students])</f>
        <v>60835.666666666664</v>
      </c>
      <c r="G2" s="9">
        <f>SUM(Table1[Total AY 2017-2018 Savings])</f>
        <v>17175172.866666667</v>
      </c>
      <c r="H2" s="30">
        <f>SUM(Table1[Total AY 2017-2018 Students])</f>
        <v>91099.000000000015</v>
      </c>
      <c r="I2" s="9">
        <f>SUM(Table1[Total AY 2018-2019 Savings])</f>
        <v>16894142.360000003</v>
      </c>
      <c r="J2" s="30">
        <f>SUM(Table1[Total AY 2018-2019 Students])</f>
        <v>109701</v>
      </c>
      <c r="K2" s="9">
        <f>SUM(Table1[Total AY 2019-2020 Savings])</f>
        <v>16722450.969999997</v>
      </c>
      <c r="L2" s="213">
        <f>SUM(Table1[Total AY 2019-2020 Students])</f>
        <v>118365</v>
      </c>
    </row>
  </sheetData>
  <pageMargins left="0.7" right="0.7" top="0.75" bottom="0.75" header="0.3" footer="0.3"/>
  <pageSetup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CE8E2-78AB-425D-B403-D3A1CA0A6886}">
  <dimension ref="A1:B1123"/>
  <sheetViews>
    <sheetView topLeftCell="A436" workbookViewId="0">
      <selection activeCell="A454" sqref="A454"/>
    </sheetView>
  </sheetViews>
  <sheetFormatPr defaultRowHeight="15" x14ac:dyDescent="0.25"/>
  <cols>
    <col min="1" max="1" width="46.140625" bestFit="1" customWidth="1"/>
    <col min="2" max="2" width="20.140625" bestFit="1" customWidth="1"/>
    <col min="3" max="3" width="21.85546875" bestFit="1" customWidth="1"/>
    <col min="4" max="4" width="25.28515625" bestFit="1" customWidth="1"/>
    <col min="5" max="5" width="31.85546875" bestFit="1" customWidth="1"/>
    <col min="6" max="6" width="21.85546875" bestFit="1" customWidth="1"/>
    <col min="7" max="7" width="15.7109375" bestFit="1" customWidth="1"/>
    <col min="8" max="8" width="21.85546875" bestFit="1" customWidth="1"/>
    <col min="9" max="9" width="24.140625" bestFit="1" customWidth="1"/>
    <col min="10" max="10" width="21.42578125" bestFit="1" customWidth="1"/>
    <col min="11" max="11" width="22.42578125" bestFit="1" customWidth="1"/>
    <col min="12" max="12" width="24.28515625" bestFit="1" customWidth="1"/>
    <col min="13" max="13" width="32.5703125" bestFit="1" customWidth="1"/>
    <col min="14" max="14" width="24.42578125" bestFit="1" customWidth="1"/>
    <col min="15" max="15" width="28.7109375" bestFit="1" customWidth="1"/>
    <col min="16" max="16" width="28.5703125" bestFit="1" customWidth="1"/>
    <col min="17" max="17" width="17.42578125" bestFit="1" customWidth="1"/>
    <col min="18" max="18" width="22.85546875" bestFit="1" customWidth="1"/>
    <col min="19" max="19" width="23.140625" bestFit="1" customWidth="1"/>
    <col min="20" max="20" width="24" bestFit="1" customWidth="1"/>
    <col min="21" max="21" width="31" bestFit="1" customWidth="1"/>
    <col min="22" max="22" width="18.140625" bestFit="1" customWidth="1"/>
    <col min="23" max="23" width="23.85546875" bestFit="1" customWidth="1"/>
    <col min="24" max="24" width="21.85546875" bestFit="1" customWidth="1"/>
    <col min="25" max="25" width="15.85546875" bestFit="1" customWidth="1"/>
    <col min="26" max="26" width="16.42578125" bestFit="1" customWidth="1"/>
    <col min="27" max="27" width="16.7109375" bestFit="1" customWidth="1"/>
    <col min="28" max="28" width="18.28515625" bestFit="1" customWidth="1"/>
    <col min="29" max="29" width="29.7109375" bestFit="1" customWidth="1"/>
    <col min="30" max="30" width="37.7109375" bestFit="1" customWidth="1"/>
    <col min="31" max="31" width="16.42578125" bestFit="1" customWidth="1"/>
    <col min="32" max="32" width="14.85546875" bestFit="1" customWidth="1"/>
    <col min="33" max="33" width="22.5703125" bestFit="1" customWidth="1"/>
    <col min="34" max="34" width="35.5703125" bestFit="1" customWidth="1"/>
    <col min="35" max="35" width="23.7109375" bestFit="1" customWidth="1"/>
    <col min="36" max="36" width="24.140625" bestFit="1" customWidth="1"/>
    <col min="37" max="37" width="32.85546875" bestFit="1" customWidth="1"/>
    <col min="38" max="38" width="17.85546875" bestFit="1" customWidth="1"/>
    <col min="39" max="39" width="20.7109375" bestFit="1" customWidth="1"/>
    <col min="40" max="40" width="23.140625" bestFit="1" customWidth="1"/>
    <col min="41" max="41" width="20.42578125" bestFit="1" customWidth="1"/>
    <col min="42" max="42" width="17" bestFit="1" customWidth="1"/>
    <col min="43" max="43" width="14.7109375" bestFit="1" customWidth="1"/>
    <col min="44" max="44" width="16" bestFit="1" customWidth="1"/>
    <col min="45" max="45" width="15.85546875" bestFit="1" customWidth="1"/>
    <col min="46" max="46" width="26.28515625" bestFit="1" customWidth="1"/>
    <col min="47" max="47" width="25.140625" bestFit="1" customWidth="1"/>
    <col min="48" max="48" width="24.85546875" bestFit="1" customWidth="1"/>
    <col min="49" max="49" width="33" bestFit="1" customWidth="1"/>
    <col min="50" max="50" width="24" bestFit="1" customWidth="1"/>
    <col min="51" max="51" width="22" bestFit="1" customWidth="1"/>
    <col min="52" max="52" width="22.28515625" bestFit="1" customWidth="1"/>
    <col min="53" max="53" width="34.28515625" bestFit="1" customWidth="1"/>
    <col min="54" max="54" width="25" bestFit="1" customWidth="1"/>
    <col min="55" max="55" width="34.42578125" bestFit="1" customWidth="1"/>
    <col min="56" max="56" width="28.42578125" bestFit="1" customWidth="1"/>
    <col min="57" max="57" width="19.140625" bestFit="1" customWidth="1"/>
    <col min="58" max="58" width="17.28515625" bestFit="1" customWidth="1"/>
    <col min="59" max="59" width="29" bestFit="1" customWidth="1"/>
    <col min="60" max="60" width="20.7109375" bestFit="1" customWidth="1"/>
    <col min="61" max="61" width="25.140625" bestFit="1" customWidth="1"/>
    <col min="62" max="62" width="22.140625" bestFit="1" customWidth="1"/>
    <col min="63" max="63" width="30.5703125" bestFit="1" customWidth="1"/>
    <col min="64" max="64" width="21.85546875" bestFit="1" customWidth="1"/>
    <col min="65" max="65" width="23.28515625" bestFit="1" customWidth="1"/>
    <col min="66" max="66" width="19" bestFit="1" customWidth="1"/>
    <col min="67" max="67" width="36.7109375" bestFit="1" customWidth="1"/>
    <col min="68" max="68" width="24.85546875" bestFit="1" customWidth="1"/>
    <col min="69" max="69" width="26.28515625" bestFit="1" customWidth="1"/>
    <col min="70" max="70" width="18.140625" bestFit="1" customWidth="1"/>
    <col min="71" max="71" width="17" bestFit="1" customWidth="1"/>
    <col min="72" max="72" width="29.28515625" bestFit="1" customWidth="1"/>
    <col min="73" max="73" width="33.5703125" bestFit="1" customWidth="1"/>
    <col min="74" max="74" width="21.5703125" bestFit="1" customWidth="1"/>
    <col min="75" max="75" width="21.42578125" bestFit="1" customWidth="1"/>
    <col min="76" max="76" width="14.140625" bestFit="1" customWidth="1"/>
    <col min="77" max="77" width="20" bestFit="1" customWidth="1"/>
    <col min="78" max="78" width="19.140625" bestFit="1" customWidth="1"/>
    <col min="79" max="79" width="24.85546875" bestFit="1" customWidth="1"/>
    <col min="80" max="80" width="24.7109375" bestFit="1" customWidth="1"/>
    <col min="81" max="81" width="28" bestFit="1" customWidth="1"/>
    <col min="82" max="82" width="17.85546875" bestFit="1" customWidth="1"/>
    <col min="83" max="83" width="21.140625" bestFit="1" customWidth="1"/>
    <col min="84" max="84" width="25.5703125" bestFit="1" customWidth="1"/>
    <col min="85" max="85" width="17" bestFit="1" customWidth="1"/>
    <col min="86" max="86" width="21" bestFit="1" customWidth="1"/>
    <col min="87" max="87" width="23.140625" bestFit="1" customWidth="1"/>
    <col min="88" max="88" width="28.140625" bestFit="1" customWidth="1"/>
    <col min="89" max="89" width="31.7109375" bestFit="1" customWidth="1"/>
    <col min="90" max="90" width="23.7109375" bestFit="1" customWidth="1"/>
    <col min="91" max="91" width="17.42578125" bestFit="1" customWidth="1"/>
    <col min="92" max="92" width="21.7109375" bestFit="1" customWidth="1"/>
    <col min="93" max="93" width="28.5703125" bestFit="1" customWidth="1"/>
    <col min="94" max="94" width="18" bestFit="1" customWidth="1"/>
    <col min="95" max="95" width="15.7109375" bestFit="1" customWidth="1"/>
    <col min="96" max="96" width="41.42578125" bestFit="1" customWidth="1"/>
    <col min="97" max="97" width="18" bestFit="1" customWidth="1"/>
    <col min="98" max="98" width="19.5703125" bestFit="1" customWidth="1"/>
    <col min="99" max="99" width="17.42578125" bestFit="1" customWidth="1"/>
    <col min="100" max="100" width="21.42578125" bestFit="1" customWidth="1"/>
    <col min="101" max="101" width="22.5703125" bestFit="1" customWidth="1"/>
    <col min="102" max="102" width="22.42578125" bestFit="1" customWidth="1"/>
    <col min="103" max="103" width="25.28515625" bestFit="1" customWidth="1"/>
    <col min="104" max="104" width="26.140625" bestFit="1" customWidth="1"/>
    <col min="105" max="105" width="15.28515625" bestFit="1" customWidth="1"/>
    <col min="106" max="106" width="28.42578125" bestFit="1" customWidth="1"/>
    <col min="107" max="107" width="15.85546875" bestFit="1" customWidth="1"/>
    <col min="108" max="108" width="31.42578125" bestFit="1" customWidth="1"/>
    <col min="109" max="109" width="23.85546875" bestFit="1" customWidth="1"/>
    <col min="110" max="110" width="22.28515625" bestFit="1" customWidth="1"/>
    <col min="111" max="111" width="24.85546875" bestFit="1" customWidth="1"/>
    <col min="112" max="112" width="29.85546875" bestFit="1" customWidth="1"/>
    <col min="113" max="113" width="23" bestFit="1" customWidth="1"/>
    <col min="114" max="114" width="24.28515625" bestFit="1" customWidth="1"/>
    <col min="115" max="115" width="15.5703125" bestFit="1" customWidth="1"/>
    <col min="116" max="116" width="15.85546875" bestFit="1" customWidth="1"/>
    <col min="117" max="117" width="22.140625" bestFit="1" customWidth="1"/>
    <col min="118" max="118" width="18.28515625" bestFit="1" customWidth="1"/>
    <col min="119" max="119" width="22" bestFit="1" customWidth="1"/>
    <col min="120" max="120" width="20" bestFit="1" customWidth="1"/>
    <col min="121" max="121" width="22" bestFit="1" customWidth="1"/>
    <col min="122" max="122" width="15" bestFit="1" customWidth="1"/>
    <col min="123" max="123" width="15.85546875" bestFit="1" customWidth="1"/>
    <col min="124" max="124" width="23.7109375" bestFit="1" customWidth="1"/>
    <col min="125" max="125" width="16.5703125" bestFit="1" customWidth="1"/>
    <col min="126" max="126" width="16.7109375" bestFit="1" customWidth="1"/>
    <col min="127" max="127" width="22" bestFit="1" customWidth="1"/>
    <col min="128" max="128" width="27.42578125" bestFit="1" customWidth="1"/>
    <col min="129" max="129" width="25.7109375" bestFit="1" customWidth="1"/>
    <col min="130" max="130" width="26" bestFit="1" customWidth="1"/>
    <col min="131" max="131" width="27" bestFit="1" customWidth="1"/>
    <col min="132" max="132" width="24.28515625" bestFit="1" customWidth="1"/>
    <col min="133" max="133" width="27" bestFit="1" customWidth="1"/>
    <col min="134" max="134" width="23.42578125" bestFit="1" customWidth="1"/>
    <col min="135" max="135" width="17.5703125" bestFit="1" customWidth="1"/>
    <col min="136" max="136" width="21.7109375" bestFit="1" customWidth="1"/>
    <col min="137" max="137" width="20.5703125" bestFit="1" customWidth="1"/>
    <col min="138" max="138" width="22.28515625" bestFit="1" customWidth="1"/>
    <col min="139" max="139" width="21.7109375" bestFit="1" customWidth="1"/>
    <col min="140" max="140" width="21.42578125" bestFit="1" customWidth="1"/>
    <col min="141" max="141" width="20.5703125" bestFit="1" customWidth="1"/>
    <col min="142" max="142" width="23.42578125" bestFit="1" customWidth="1"/>
    <col min="143" max="143" width="17" bestFit="1" customWidth="1"/>
    <col min="144" max="144" width="24.140625" bestFit="1" customWidth="1"/>
    <col min="145" max="145" width="16" bestFit="1" customWidth="1"/>
    <col min="146" max="146" width="25.28515625" bestFit="1" customWidth="1"/>
    <col min="147" max="147" width="20.85546875" bestFit="1" customWidth="1"/>
    <col min="148" max="148" width="19.140625" bestFit="1" customWidth="1"/>
    <col min="149" max="149" width="22.7109375" bestFit="1" customWidth="1"/>
    <col min="150" max="150" width="22.42578125" bestFit="1" customWidth="1"/>
    <col min="151" max="151" width="23.5703125" bestFit="1" customWidth="1"/>
    <col min="152" max="152" width="20.85546875" bestFit="1" customWidth="1"/>
    <col min="153" max="153" width="19.85546875" bestFit="1" customWidth="1"/>
    <col min="154" max="154" width="20.5703125" bestFit="1" customWidth="1"/>
    <col min="155" max="155" width="22.28515625" bestFit="1" customWidth="1"/>
    <col min="156" max="156" width="24.42578125" bestFit="1" customWidth="1"/>
    <col min="157" max="157" width="22.140625" bestFit="1" customWidth="1"/>
    <col min="158" max="158" width="22" bestFit="1" customWidth="1"/>
    <col min="159" max="159" width="18.7109375" bestFit="1" customWidth="1"/>
    <col min="160" max="160" width="23.5703125" bestFit="1" customWidth="1"/>
    <col min="161" max="161" width="17.85546875" bestFit="1" customWidth="1"/>
    <col min="162" max="163" width="19.85546875" bestFit="1" customWidth="1"/>
    <col min="164" max="164" width="21.7109375" bestFit="1" customWidth="1"/>
    <col min="165" max="165" width="29.42578125" bestFit="1" customWidth="1"/>
    <col min="166" max="166" width="23.28515625" bestFit="1" customWidth="1"/>
    <col min="167" max="167" width="21.42578125" bestFit="1" customWidth="1"/>
    <col min="168" max="168" width="31.28515625" bestFit="1" customWidth="1"/>
    <col min="169" max="169" width="27.28515625" bestFit="1" customWidth="1"/>
    <col min="170" max="170" width="23.5703125" bestFit="1" customWidth="1"/>
    <col min="171" max="172" width="23.28515625" bestFit="1" customWidth="1"/>
    <col min="173" max="173" width="22.85546875" bestFit="1" customWidth="1"/>
    <col min="174" max="174" width="27" bestFit="1" customWidth="1"/>
    <col min="175" max="175" width="17.7109375" bestFit="1" customWidth="1"/>
    <col min="176" max="176" width="22.28515625" bestFit="1" customWidth="1"/>
    <col min="177" max="177" width="25.7109375" bestFit="1" customWidth="1"/>
    <col min="178" max="178" width="25.85546875" bestFit="1" customWidth="1"/>
    <col min="179" max="179" width="26.28515625" bestFit="1" customWidth="1"/>
    <col min="180" max="180" width="19.85546875" bestFit="1" customWidth="1"/>
    <col min="181" max="181" width="18.85546875" bestFit="1" customWidth="1"/>
    <col min="182" max="182" width="24.85546875" bestFit="1" customWidth="1"/>
    <col min="183" max="183" width="23.5703125" bestFit="1" customWidth="1"/>
    <col min="184" max="184" width="21.140625" bestFit="1" customWidth="1"/>
    <col min="185" max="185" width="22.5703125" bestFit="1" customWidth="1"/>
    <col min="186" max="186" width="19.7109375" bestFit="1" customWidth="1"/>
    <col min="187" max="187" width="17" bestFit="1" customWidth="1"/>
    <col min="188" max="188" width="21.42578125" bestFit="1" customWidth="1"/>
    <col min="189" max="189" width="25.140625" bestFit="1" customWidth="1"/>
    <col min="190" max="190" width="15.85546875" bestFit="1" customWidth="1"/>
    <col min="191" max="191" width="30.140625" bestFit="1" customWidth="1"/>
    <col min="192" max="192" width="33" bestFit="1" customWidth="1"/>
    <col min="193" max="193" width="15.85546875" bestFit="1" customWidth="1"/>
    <col min="194" max="194" width="23.42578125" bestFit="1" customWidth="1"/>
    <col min="195" max="195" width="28.28515625" bestFit="1" customWidth="1"/>
    <col min="196" max="196" width="17" bestFit="1" customWidth="1"/>
    <col min="197" max="197" width="22.28515625" bestFit="1" customWidth="1"/>
    <col min="198" max="198" width="18.5703125" bestFit="1" customWidth="1"/>
    <col min="199" max="199" width="22.28515625" bestFit="1" customWidth="1"/>
    <col min="200" max="200" width="22.42578125" bestFit="1" customWidth="1"/>
    <col min="201" max="201" width="29.140625" bestFit="1" customWidth="1"/>
    <col min="202" max="202" width="30.42578125" bestFit="1" customWidth="1"/>
    <col min="203" max="203" width="25.5703125" bestFit="1" customWidth="1"/>
    <col min="204" max="204" width="32.7109375" bestFit="1" customWidth="1"/>
    <col min="205" max="205" width="23.5703125" bestFit="1" customWidth="1"/>
    <col min="206" max="206" width="18.140625" bestFit="1" customWidth="1"/>
    <col min="207" max="207" width="23.85546875" bestFit="1" customWidth="1"/>
    <col min="208" max="208" width="28.42578125" bestFit="1" customWidth="1"/>
    <col min="209" max="209" width="32.42578125" bestFit="1" customWidth="1"/>
    <col min="210" max="210" width="20.7109375" bestFit="1" customWidth="1"/>
    <col min="211" max="211" width="24.42578125" bestFit="1" customWidth="1"/>
    <col min="212" max="212" width="22.85546875" bestFit="1" customWidth="1"/>
    <col min="213" max="213" width="26.85546875" bestFit="1" customWidth="1"/>
    <col min="214" max="214" width="17.85546875" bestFit="1" customWidth="1"/>
    <col min="215" max="215" width="26" bestFit="1" customWidth="1"/>
    <col min="216" max="216" width="17.42578125" bestFit="1" customWidth="1"/>
    <col min="217" max="217" width="19.5703125" bestFit="1" customWidth="1"/>
    <col min="218" max="218" width="23.5703125" bestFit="1" customWidth="1"/>
    <col min="219" max="219" width="30.42578125" bestFit="1" customWidth="1"/>
    <col min="220" max="220" width="24.140625" bestFit="1" customWidth="1"/>
    <col min="221" max="221" width="22.85546875" bestFit="1" customWidth="1"/>
    <col min="222" max="222" width="20.7109375" bestFit="1" customWidth="1"/>
    <col min="223" max="223" width="23.42578125" bestFit="1" customWidth="1"/>
    <col min="224" max="224" width="21" bestFit="1" customWidth="1"/>
    <col min="225" max="225" width="16.5703125" bestFit="1" customWidth="1"/>
    <col min="226" max="226" width="29" bestFit="1" customWidth="1"/>
    <col min="227" max="227" width="17.28515625" bestFit="1" customWidth="1"/>
    <col min="228" max="228" width="28.28515625" bestFit="1" customWidth="1"/>
    <col min="229" max="229" width="34.140625" bestFit="1" customWidth="1"/>
    <col min="230" max="230" width="28.28515625" bestFit="1" customWidth="1"/>
    <col min="231" max="231" width="27.28515625" bestFit="1" customWidth="1"/>
    <col min="232" max="232" width="20.28515625" bestFit="1" customWidth="1"/>
    <col min="233" max="233" width="24" bestFit="1" customWidth="1"/>
    <col min="234" max="234" width="17.85546875" bestFit="1" customWidth="1"/>
    <col min="235" max="235" width="29.140625" bestFit="1" customWidth="1"/>
    <col min="236" max="236" width="23" bestFit="1" customWidth="1"/>
    <col min="237" max="237" width="18.7109375" bestFit="1" customWidth="1"/>
    <col min="238" max="238" width="18.28515625" bestFit="1" customWidth="1"/>
    <col min="239" max="239" width="28.7109375" bestFit="1" customWidth="1"/>
    <col min="240" max="240" width="12.7109375" bestFit="1" customWidth="1"/>
    <col min="241" max="241" width="28.85546875" bestFit="1" customWidth="1"/>
    <col min="242" max="242" width="20.42578125" bestFit="1" customWidth="1"/>
    <col min="243" max="243" width="21.140625" bestFit="1" customWidth="1"/>
    <col min="244" max="244" width="28.7109375" bestFit="1" customWidth="1"/>
    <col min="245" max="245" width="32" bestFit="1" customWidth="1"/>
    <col min="246" max="246" width="22" bestFit="1" customWidth="1"/>
    <col min="247" max="247" width="14.28515625" bestFit="1" customWidth="1"/>
    <col min="248" max="248" width="24.140625" bestFit="1" customWidth="1"/>
    <col min="249" max="249" width="24" bestFit="1" customWidth="1"/>
    <col min="250" max="250" width="26.28515625" bestFit="1" customWidth="1"/>
    <col min="251" max="251" width="37" bestFit="1" customWidth="1"/>
    <col min="252" max="252" width="21" bestFit="1" customWidth="1"/>
    <col min="253" max="253" width="35" bestFit="1" customWidth="1"/>
    <col min="254" max="254" width="28.85546875" bestFit="1" customWidth="1"/>
    <col min="255" max="255" width="24.140625" bestFit="1" customWidth="1"/>
    <col min="256" max="256" width="19.85546875" bestFit="1" customWidth="1"/>
    <col min="257" max="257" width="12.7109375" bestFit="1" customWidth="1"/>
    <col min="258" max="258" width="18.5703125" bestFit="1" customWidth="1"/>
    <col min="259" max="259" width="23.7109375" bestFit="1" customWidth="1"/>
    <col min="260" max="260" width="21.140625" bestFit="1" customWidth="1"/>
    <col min="261" max="261" width="24.42578125" bestFit="1" customWidth="1"/>
    <col min="262" max="262" width="29.85546875" bestFit="1" customWidth="1"/>
    <col min="263" max="263" width="21" bestFit="1" customWidth="1"/>
    <col min="264" max="264" width="26" bestFit="1" customWidth="1"/>
    <col min="265" max="265" width="24" bestFit="1" customWidth="1"/>
    <col min="266" max="266" width="20.85546875" bestFit="1" customWidth="1"/>
    <col min="267" max="267" width="16.7109375" bestFit="1" customWidth="1"/>
    <col min="268" max="268" width="17.85546875" bestFit="1" customWidth="1"/>
    <col min="269" max="269" width="30.28515625" bestFit="1" customWidth="1"/>
    <col min="270" max="270" width="23.42578125" bestFit="1" customWidth="1"/>
    <col min="271" max="271" width="17.7109375" bestFit="1" customWidth="1"/>
    <col min="272" max="272" width="22.7109375" bestFit="1" customWidth="1"/>
    <col min="273" max="274" width="24.5703125" bestFit="1" customWidth="1"/>
    <col min="275" max="275" width="23.85546875" bestFit="1" customWidth="1"/>
    <col min="276" max="276" width="22.5703125" bestFit="1" customWidth="1"/>
    <col min="277" max="277" width="23.5703125" bestFit="1" customWidth="1"/>
    <col min="278" max="278" width="21.7109375" bestFit="1" customWidth="1"/>
    <col min="279" max="279" width="19.42578125" bestFit="1" customWidth="1"/>
    <col min="280" max="280" width="24" bestFit="1" customWidth="1"/>
    <col min="281" max="281" width="28.140625" bestFit="1" customWidth="1"/>
    <col min="282" max="282" width="18" bestFit="1" customWidth="1"/>
    <col min="283" max="283" width="15.42578125" bestFit="1" customWidth="1"/>
    <col min="284" max="284" width="28.140625" bestFit="1" customWidth="1"/>
    <col min="285" max="285" width="24.5703125" bestFit="1" customWidth="1"/>
    <col min="286" max="286" width="32.7109375" bestFit="1" customWidth="1"/>
    <col min="287" max="287" width="24.85546875" bestFit="1" customWidth="1"/>
    <col min="288" max="288" width="15.7109375" bestFit="1" customWidth="1"/>
    <col min="289" max="289" width="16.85546875" bestFit="1" customWidth="1"/>
    <col min="290" max="290" width="25.85546875" bestFit="1" customWidth="1"/>
    <col min="291" max="291" width="20.7109375" bestFit="1" customWidth="1"/>
    <col min="292" max="292" width="18.5703125" bestFit="1" customWidth="1"/>
    <col min="293" max="293" width="33.85546875" bestFit="1" customWidth="1"/>
    <col min="294" max="294" width="11.28515625" bestFit="1" customWidth="1"/>
    <col min="295" max="295" width="20" bestFit="1" customWidth="1"/>
    <col min="296" max="296" width="16.7109375" bestFit="1" customWidth="1"/>
    <col min="297" max="297" width="20.5703125" bestFit="1" customWidth="1"/>
    <col min="298" max="298" width="16" bestFit="1" customWidth="1"/>
    <col min="299" max="299" width="15" bestFit="1" customWidth="1"/>
    <col min="300" max="300" width="17" bestFit="1" customWidth="1"/>
    <col min="301" max="301" width="21.7109375" bestFit="1" customWidth="1"/>
    <col min="302" max="302" width="16.7109375" bestFit="1" customWidth="1"/>
    <col min="303" max="303" width="20.5703125" bestFit="1" customWidth="1"/>
    <col min="304" max="304" width="20.7109375" bestFit="1" customWidth="1"/>
    <col min="305" max="305" width="21.42578125" bestFit="1" customWidth="1"/>
    <col min="306" max="306" width="23.28515625" bestFit="1" customWidth="1"/>
    <col min="307" max="307" width="23.42578125" bestFit="1" customWidth="1"/>
    <col min="308" max="308" width="17.7109375" bestFit="1" customWidth="1"/>
    <col min="309" max="310" width="19.140625" bestFit="1" customWidth="1"/>
    <col min="311" max="311" width="25.28515625" bestFit="1" customWidth="1"/>
    <col min="312" max="312" width="16.5703125" bestFit="1" customWidth="1"/>
    <col min="313" max="313" width="22.42578125" bestFit="1" customWidth="1"/>
    <col min="314" max="314" width="19" bestFit="1" customWidth="1"/>
    <col min="315" max="315" width="20.85546875" bestFit="1" customWidth="1"/>
    <col min="316" max="316" width="16.28515625" bestFit="1" customWidth="1"/>
    <col min="317" max="317" width="24.140625" bestFit="1" customWidth="1"/>
    <col min="318" max="318" width="15.85546875" bestFit="1" customWidth="1"/>
    <col min="319" max="319" width="34.140625" bestFit="1" customWidth="1"/>
    <col min="320" max="320" width="19.28515625" bestFit="1" customWidth="1"/>
    <col min="321" max="321" width="22.7109375" bestFit="1" customWidth="1"/>
    <col min="322" max="322" width="20.5703125" bestFit="1" customWidth="1"/>
    <col min="323" max="323" width="23.5703125" bestFit="1" customWidth="1"/>
    <col min="324" max="324" width="16.7109375" bestFit="1" customWidth="1"/>
    <col min="325" max="325" width="21.42578125" bestFit="1" customWidth="1"/>
    <col min="326" max="326" width="15.42578125" bestFit="1" customWidth="1"/>
    <col min="327" max="327" width="20.85546875" bestFit="1" customWidth="1"/>
    <col min="328" max="328" width="17" bestFit="1" customWidth="1"/>
    <col min="329" max="329" width="29.42578125" bestFit="1" customWidth="1"/>
    <col min="330" max="330" width="16.28515625" bestFit="1" customWidth="1"/>
    <col min="331" max="331" width="17.85546875" bestFit="1" customWidth="1"/>
    <col min="332" max="332" width="19.85546875" bestFit="1" customWidth="1"/>
    <col min="333" max="333" width="10.28515625" bestFit="1" customWidth="1"/>
    <col min="334" max="334" width="19.85546875" bestFit="1" customWidth="1"/>
    <col min="335" max="335" width="17.28515625" bestFit="1" customWidth="1"/>
    <col min="336" max="336" width="24.42578125" bestFit="1" customWidth="1"/>
    <col min="337" max="337" width="14.85546875" bestFit="1" customWidth="1"/>
    <col min="338" max="338" width="19.85546875" bestFit="1" customWidth="1"/>
    <col min="339" max="339" width="10.28515625" bestFit="1" customWidth="1"/>
    <col min="340" max="340" width="22.28515625" bestFit="1" customWidth="1"/>
    <col min="341" max="341" width="17.85546875" bestFit="1" customWidth="1"/>
    <col min="342" max="342" width="20.5703125" bestFit="1" customWidth="1"/>
    <col min="343" max="343" width="16.5703125" bestFit="1" customWidth="1"/>
    <col min="344" max="344" width="22.140625" bestFit="1" customWidth="1"/>
    <col min="345" max="345" width="15.5703125" bestFit="1" customWidth="1"/>
    <col min="346" max="346" width="25.85546875" bestFit="1" customWidth="1"/>
    <col min="347" max="347" width="15" bestFit="1" customWidth="1"/>
    <col min="348" max="348" width="23.5703125" bestFit="1" customWidth="1"/>
    <col min="349" max="349" width="11.85546875" bestFit="1" customWidth="1"/>
    <col min="350" max="350" width="21.7109375" bestFit="1" customWidth="1"/>
    <col min="351" max="351" width="17" bestFit="1" customWidth="1"/>
    <col min="352" max="352" width="22" bestFit="1" customWidth="1"/>
    <col min="353" max="353" width="12.5703125" bestFit="1" customWidth="1"/>
    <col min="354" max="354" width="28.42578125" bestFit="1" customWidth="1"/>
    <col min="355" max="355" width="14.140625" bestFit="1" customWidth="1"/>
    <col min="356" max="356" width="27.28515625" bestFit="1" customWidth="1"/>
    <col min="357" max="357" width="22.5703125" bestFit="1" customWidth="1"/>
    <col min="358" max="358" width="23.5703125" bestFit="1" customWidth="1"/>
    <col min="359" max="359" width="19" bestFit="1" customWidth="1"/>
    <col min="360" max="360" width="30.140625" bestFit="1" customWidth="1"/>
    <col min="361" max="361" width="23.85546875" bestFit="1" customWidth="1"/>
    <col min="362" max="362" width="23.5703125" bestFit="1" customWidth="1"/>
    <col min="363" max="363" width="19.28515625" bestFit="1" customWidth="1"/>
    <col min="364" max="364" width="23.7109375" bestFit="1" customWidth="1"/>
    <col min="365" max="365" width="21.140625" bestFit="1" customWidth="1"/>
    <col min="366" max="366" width="17.28515625" bestFit="1" customWidth="1"/>
    <col min="367" max="367" width="23.28515625" bestFit="1" customWidth="1"/>
    <col min="368" max="368" width="18.5703125" bestFit="1" customWidth="1"/>
    <col min="369" max="369" width="25.140625" bestFit="1" customWidth="1"/>
    <col min="370" max="370" width="18.7109375" bestFit="1" customWidth="1"/>
    <col min="371" max="371" width="17" bestFit="1" customWidth="1"/>
    <col min="372" max="372" width="16.5703125" bestFit="1" customWidth="1"/>
    <col min="373" max="373" width="15.85546875" bestFit="1" customWidth="1"/>
    <col min="374" max="374" width="18.7109375" bestFit="1" customWidth="1"/>
    <col min="375" max="375" width="23.28515625" bestFit="1" customWidth="1"/>
    <col min="376" max="376" width="22.7109375" bestFit="1" customWidth="1"/>
    <col min="377" max="377" width="27" bestFit="1" customWidth="1"/>
    <col min="378" max="378" width="22.85546875" bestFit="1" customWidth="1"/>
    <col min="379" max="379" width="22.5703125" bestFit="1" customWidth="1"/>
    <col min="380" max="380" width="19.28515625" bestFit="1" customWidth="1"/>
    <col min="381" max="381" width="22.28515625" bestFit="1" customWidth="1"/>
    <col min="382" max="382" width="15" bestFit="1" customWidth="1"/>
    <col min="383" max="383" width="18.42578125" bestFit="1" customWidth="1"/>
    <col min="384" max="384" width="21.7109375" bestFit="1" customWidth="1"/>
    <col min="385" max="385" width="26.28515625" bestFit="1" customWidth="1"/>
    <col min="386" max="386" width="18.7109375" bestFit="1" customWidth="1"/>
    <col min="387" max="387" width="25.7109375" bestFit="1" customWidth="1"/>
    <col min="388" max="388" width="21.7109375" bestFit="1" customWidth="1"/>
    <col min="389" max="389" width="25.85546875" bestFit="1" customWidth="1"/>
    <col min="390" max="390" width="20.5703125" bestFit="1" customWidth="1"/>
    <col min="391" max="391" width="20.28515625" bestFit="1" customWidth="1"/>
    <col min="392" max="392" width="23.42578125" bestFit="1" customWidth="1"/>
    <col min="393" max="393" width="24.85546875" bestFit="1" customWidth="1"/>
    <col min="394" max="394" width="18.140625" bestFit="1" customWidth="1"/>
    <col min="395" max="395" width="19.85546875" bestFit="1" customWidth="1"/>
    <col min="396" max="396" width="15.42578125" bestFit="1" customWidth="1"/>
    <col min="397" max="397" width="24.7109375" bestFit="1" customWidth="1"/>
    <col min="398" max="398" width="27.85546875" bestFit="1" customWidth="1"/>
    <col min="399" max="399" width="21.42578125" bestFit="1" customWidth="1"/>
    <col min="400" max="400" width="16.7109375" bestFit="1" customWidth="1"/>
    <col min="401" max="401" width="23.42578125" bestFit="1" customWidth="1"/>
    <col min="402" max="402" width="16" bestFit="1" customWidth="1"/>
    <col min="403" max="403" width="19.5703125" bestFit="1" customWidth="1"/>
    <col min="404" max="404" width="22.7109375" bestFit="1" customWidth="1"/>
    <col min="405" max="405" width="18.5703125" bestFit="1" customWidth="1"/>
    <col min="406" max="406" width="20.42578125" bestFit="1" customWidth="1"/>
    <col min="407" max="407" width="22.28515625" bestFit="1" customWidth="1"/>
    <col min="408" max="408" width="15.7109375" bestFit="1" customWidth="1"/>
    <col min="409" max="409" width="28.28515625" bestFit="1" customWidth="1"/>
    <col min="410" max="410" width="19.28515625" bestFit="1" customWidth="1"/>
    <col min="411" max="411" width="17" bestFit="1" customWidth="1"/>
    <col min="412" max="412" width="19.28515625" bestFit="1" customWidth="1"/>
    <col min="413" max="413" width="23.5703125" bestFit="1" customWidth="1"/>
    <col min="414" max="414" width="19.42578125" bestFit="1" customWidth="1"/>
    <col min="415" max="415" width="24.5703125" bestFit="1" customWidth="1"/>
    <col min="416" max="416" width="21.42578125" bestFit="1" customWidth="1"/>
    <col min="417" max="417" width="31.85546875" bestFit="1" customWidth="1"/>
    <col min="418" max="418" width="35" bestFit="1" customWidth="1"/>
    <col min="419" max="419" width="22.28515625" bestFit="1" customWidth="1"/>
    <col min="420" max="420" width="18.140625" bestFit="1" customWidth="1"/>
    <col min="421" max="421" width="30.42578125" bestFit="1" customWidth="1"/>
    <col min="422" max="422" width="17.7109375" bestFit="1" customWidth="1"/>
    <col min="423" max="423" width="22.42578125" bestFit="1" customWidth="1"/>
    <col min="424" max="424" width="17" bestFit="1" customWidth="1"/>
    <col min="425" max="425" width="25.5703125" bestFit="1" customWidth="1"/>
    <col min="426" max="426" width="17.85546875" bestFit="1" customWidth="1"/>
    <col min="427" max="427" width="29.140625" bestFit="1" customWidth="1"/>
    <col min="428" max="428" width="17.42578125" bestFit="1" customWidth="1"/>
    <col min="429" max="429" width="18.140625" bestFit="1" customWidth="1"/>
    <col min="430" max="430" width="20.5703125" bestFit="1" customWidth="1"/>
    <col min="431" max="431" width="17.85546875" bestFit="1" customWidth="1"/>
    <col min="432" max="432" width="18.7109375" bestFit="1" customWidth="1"/>
    <col min="433" max="433" width="23.85546875" bestFit="1" customWidth="1"/>
    <col min="434" max="434" width="19" bestFit="1" customWidth="1"/>
    <col min="435" max="435" width="26.85546875" bestFit="1" customWidth="1"/>
    <col min="436" max="436" width="19.85546875" bestFit="1" customWidth="1"/>
    <col min="437" max="437" width="41.42578125" bestFit="1" customWidth="1"/>
    <col min="438" max="438" width="29.28515625" bestFit="1" customWidth="1"/>
    <col min="439" max="439" width="23.7109375" bestFit="1" customWidth="1"/>
    <col min="440" max="440" width="24.85546875" bestFit="1" customWidth="1"/>
    <col min="441" max="441" width="17.7109375" bestFit="1" customWidth="1"/>
    <col min="442" max="442" width="20.85546875" bestFit="1" customWidth="1"/>
    <col min="443" max="443" width="22.85546875" bestFit="1" customWidth="1"/>
    <col min="444" max="444" width="15.42578125" bestFit="1" customWidth="1"/>
    <col min="445" max="445" width="37" bestFit="1" customWidth="1"/>
    <col min="446" max="446" width="21.5703125" bestFit="1" customWidth="1"/>
    <col min="447" max="447" width="32" bestFit="1" customWidth="1"/>
    <col min="448" max="448" width="17.5703125" bestFit="1" customWidth="1"/>
    <col min="449" max="449" width="24.42578125" bestFit="1" customWidth="1"/>
    <col min="450" max="450" width="17.7109375" bestFit="1" customWidth="1"/>
    <col min="451" max="451" width="32.7109375" bestFit="1" customWidth="1"/>
    <col min="452" max="452" width="18.5703125" bestFit="1" customWidth="1"/>
    <col min="453" max="453" width="26" bestFit="1" customWidth="1"/>
    <col min="454" max="454" width="21.7109375" bestFit="1" customWidth="1"/>
    <col min="455" max="455" width="26" bestFit="1" customWidth="1"/>
    <col min="456" max="456" width="22" bestFit="1" customWidth="1"/>
    <col min="457" max="457" width="19.42578125" bestFit="1" customWidth="1"/>
    <col min="458" max="458" width="20.7109375" bestFit="1" customWidth="1"/>
    <col min="459" max="459" width="22.5703125" bestFit="1" customWidth="1"/>
    <col min="460" max="460" width="24.85546875" bestFit="1" customWidth="1"/>
    <col min="461" max="461" width="17.28515625" bestFit="1" customWidth="1"/>
    <col min="462" max="462" width="23.5703125" bestFit="1" customWidth="1"/>
    <col min="463" max="463" width="18.7109375" bestFit="1" customWidth="1"/>
    <col min="464" max="464" width="21" bestFit="1" customWidth="1"/>
    <col min="465" max="465" width="15.5703125" bestFit="1" customWidth="1"/>
    <col min="466" max="466" width="17.85546875" bestFit="1" customWidth="1"/>
    <col min="467" max="467" width="17.42578125" bestFit="1" customWidth="1"/>
    <col min="468" max="468" width="22" bestFit="1" customWidth="1"/>
    <col min="469" max="469" width="16.42578125" bestFit="1" customWidth="1"/>
    <col min="470" max="470" width="21" bestFit="1" customWidth="1"/>
    <col min="471" max="471" width="16" bestFit="1" customWidth="1"/>
    <col min="472" max="472" width="18.7109375" bestFit="1" customWidth="1"/>
    <col min="473" max="473" width="17.85546875" bestFit="1" customWidth="1"/>
    <col min="474" max="474" width="28.7109375" bestFit="1" customWidth="1"/>
    <col min="475" max="475" width="16.85546875" bestFit="1" customWidth="1"/>
    <col min="476" max="476" width="20.28515625" bestFit="1" customWidth="1"/>
    <col min="477" max="477" width="14.85546875" bestFit="1" customWidth="1"/>
    <col min="478" max="478" width="24.140625" bestFit="1" customWidth="1"/>
    <col min="479" max="479" width="19.140625" bestFit="1" customWidth="1"/>
    <col min="480" max="480" width="21.140625" bestFit="1" customWidth="1"/>
    <col min="481" max="481" width="18" bestFit="1" customWidth="1"/>
    <col min="482" max="482" width="28.85546875" bestFit="1" customWidth="1"/>
    <col min="483" max="483" width="19.5703125" bestFit="1" customWidth="1"/>
    <col min="484" max="484" width="28.28515625" bestFit="1" customWidth="1"/>
    <col min="485" max="485" width="15.42578125" bestFit="1" customWidth="1"/>
    <col min="486" max="486" width="24" bestFit="1" customWidth="1"/>
    <col min="487" max="487" width="20" bestFit="1" customWidth="1"/>
    <col min="488" max="488" width="27.28515625" bestFit="1" customWidth="1"/>
    <col min="489" max="489" width="25.85546875" bestFit="1" customWidth="1"/>
    <col min="490" max="490" width="24.140625" bestFit="1" customWidth="1"/>
    <col min="491" max="491" width="19.7109375" bestFit="1" customWidth="1"/>
    <col min="492" max="493" width="24" bestFit="1" customWidth="1"/>
    <col min="494" max="494" width="19.85546875" bestFit="1" customWidth="1"/>
    <col min="495" max="495" width="15.5703125" bestFit="1" customWidth="1"/>
    <col min="496" max="496" width="28.28515625" bestFit="1" customWidth="1"/>
    <col min="497" max="497" width="20.140625" bestFit="1" customWidth="1"/>
    <col min="498" max="498" width="33.5703125" bestFit="1" customWidth="1"/>
    <col min="499" max="499" width="18.85546875" bestFit="1" customWidth="1"/>
    <col min="500" max="500" width="19.5703125" bestFit="1" customWidth="1"/>
    <col min="501" max="501" width="20.140625" bestFit="1" customWidth="1"/>
    <col min="502" max="502" width="23" bestFit="1" customWidth="1"/>
    <col min="503" max="503" width="17.85546875" bestFit="1" customWidth="1"/>
    <col min="504" max="504" width="29" bestFit="1" customWidth="1"/>
    <col min="505" max="505" width="20.42578125" bestFit="1" customWidth="1"/>
    <col min="506" max="506" width="29.140625" bestFit="1" customWidth="1"/>
    <col min="507" max="507" width="22" bestFit="1" customWidth="1"/>
    <col min="508" max="508" width="19.5703125" bestFit="1" customWidth="1"/>
    <col min="509" max="509" width="22.7109375" bestFit="1" customWidth="1"/>
    <col min="510" max="510" width="16.5703125" bestFit="1" customWidth="1"/>
    <col min="511" max="511" width="18.28515625" bestFit="1" customWidth="1"/>
    <col min="512" max="512" width="12.7109375" bestFit="1" customWidth="1"/>
    <col min="513" max="513" width="15.42578125" bestFit="1" customWidth="1"/>
    <col min="514" max="514" width="12.7109375" bestFit="1" customWidth="1"/>
    <col min="515" max="515" width="15.42578125" bestFit="1" customWidth="1"/>
    <col min="516" max="516" width="15.85546875" bestFit="1" customWidth="1"/>
    <col min="517" max="517" width="17.85546875" bestFit="1" customWidth="1"/>
    <col min="518" max="518" width="28.7109375" bestFit="1" customWidth="1"/>
    <col min="519" max="519" width="25.28515625" bestFit="1" customWidth="1"/>
    <col min="520" max="520" width="25" bestFit="1" customWidth="1"/>
    <col min="521" max="521" width="28.140625" bestFit="1" customWidth="1"/>
    <col min="522" max="522" width="36.7109375" bestFit="1" customWidth="1"/>
    <col min="523" max="523" width="22.42578125" bestFit="1" customWidth="1"/>
    <col min="524" max="524" width="26.28515625" bestFit="1" customWidth="1"/>
    <col min="525" max="525" width="21.85546875" bestFit="1" customWidth="1"/>
    <col min="526" max="526" width="20.42578125" bestFit="1" customWidth="1"/>
    <col min="527" max="527" width="18.42578125" bestFit="1" customWidth="1"/>
    <col min="528" max="528" width="24.140625" bestFit="1" customWidth="1"/>
    <col min="529" max="529" width="17.5703125" bestFit="1" customWidth="1"/>
    <col min="530" max="530" width="17.28515625" bestFit="1" customWidth="1"/>
    <col min="531" max="531" width="18.28515625" bestFit="1" customWidth="1"/>
    <col min="532" max="532" width="31.42578125" bestFit="1" customWidth="1"/>
    <col min="533" max="533" width="16.5703125" bestFit="1" customWidth="1"/>
    <col min="534" max="534" width="35" bestFit="1" customWidth="1"/>
    <col min="535" max="535" width="28.5703125" bestFit="1" customWidth="1"/>
    <col min="536" max="536" width="15.42578125" bestFit="1" customWidth="1"/>
    <col min="537" max="537" width="17.5703125" bestFit="1" customWidth="1"/>
    <col min="538" max="538" width="28.85546875" bestFit="1" customWidth="1"/>
    <col min="539" max="539" width="24.42578125" bestFit="1" customWidth="1"/>
    <col min="540" max="540" width="24.5703125" bestFit="1" customWidth="1"/>
    <col min="541" max="541" width="19.140625" bestFit="1" customWidth="1"/>
    <col min="542" max="542" width="22.5703125" bestFit="1" customWidth="1"/>
    <col min="543" max="543" width="16.28515625" bestFit="1" customWidth="1"/>
    <col min="544" max="544" width="24.42578125" bestFit="1" customWidth="1"/>
    <col min="545" max="545" width="20.42578125" bestFit="1" customWidth="1"/>
    <col min="546" max="546" width="29.85546875" bestFit="1" customWidth="1"/>
    <col min="547" max="547" width="23" bestFit="1" customWidth="1"/>
    <col min="548" max="548" width="18.5703125" bestFit="1" customWidth="1"/>
    <col min="549" max="549" width="18.42578125" bestFit="1" customWidth="1"/>
    <col min="550" max="550" width="20.85546875" bestFit="1" customWidth="1"/>
    <col min="551" max="551" width="19" bestFit="1" customWidth="1"/>
    <col min="552" max="552" width="21.140625" bestFit="1" customWidth="1"/>
    <col min="553" max="553" width="22.140625" bestFit="1" customWidth="1"/>
    <col min="554" max="554" width="21" bestFit="1" customWidth="1"/>
    <col min="555" max="555" width="20" bestFit="1" customWidth="1"/>
    <col min="556" max="556" width="26" bestFit="1" customWidth="1"/>
    <col min="557" max="557" width="21.7109375" bestFit="1" customWidth="1"/>
    <col min="558" max="558" width="24" bestFit="1" customWidth="1"/>
    <col min="559" max="559" width="21" bestFit="1" customWidth="1"/>
    <col min="560" max="560" width="23.85546875" bestFit="1" customWidth="1"/>
    <col min="561" max="561" width="19.7109375" bestFit="1" customWidth="1"/>
    <col min="562" max="562" width="22.7109375" bestFit="1" customWidth="1"/>
    <col min="563" max="563" width="20.140625" bestFit="1" customWidth="1"/>
    <col min="564" max="564" width="17.85546875" bestFit="1" customWidth="1"/>
    <col min="565" max="565" width="17.42578125" bestFit="1" customWidth="1"/>
    <col min="566" max="566" width="17.7109375" bestFit="1" customWidth="1"/>
    <col min="567" max="567" width="18.140625" bestFit="1" customWidth="1"/>
    <col min="568" max="568" width="23.7109375" bestFit="1" customWidth="1"/>
    <col min="569" max="569" width="15.5703125" bestFit="1" customWidth="1"/>
    <col min="570" max="570" width="16.7109375" bestFit="1" customWidth="1"/>
    <col min="571" max="571" width="15.85546875" bestFit="1" customWidth="1"/>
    <col min="572" max="572" width="23.42578125" bestFit="1" customWidth="1"/>
    <col min="573" max="573" width="25.140625" bestFit="1" customWidth="1"/>
    <col min="574" max="574" width="30.28515625" bestFit="1" customWidth="1"/>
    <col min="575" max="575" width="16.85546875" bestFit="1" customWidth="1"/>
    <col min="576" max="576" width="23.5703125" bestFit="1" customWidth="1"/>
    <col min="577" max="577" width="18.140625" bestFit="1" customWidth="1"/>
    <col min="578" max="578" width="21.7109375" bestFit="1" customWidth="1"/>
    <col min="579" max="579" width="16.42578125" bestFit="1" customWidth="1"/>
    <col min="580" max="580" width="19.42578125" bestFit="1" customWidth="1"/>
    <col min="581" max="581" width="20.42578125" bestFit="1" customWidth="1"/>
    <col min="582" max="582" width="24" bestFit="1" customWidth="1"/>
    <col min="583" max="583" width="15.85546875" bestFit="1" customWidth="1"/>
    <col min="584" max="584" width="24.85546875" bestFit="1" customWidth="1"/>
    <col min="585" max="585" width="18.85546875" bestFit="1" customWidth="1"/>
    <col min="586" max="587" width="28.140625" bestFit="1" customWidth="1"/>
    <col min="588" max="588" width="18.140625" bestFit="1" customWidth="1"/>
    <col min="589" max="589" width="18" bestFit="1" customWidth="1"/>
    <col min="590" max="590" width="19.85546875" bestFit="1" customWidth="1"/>
    <col min="591" max="591" width="24.5703125" bestFit="1" customWidth="1"/>
    <col min="592" max="592" width="20.85546875" bestFit="1" customWidth="1"/>
    <col min="593" max="593" width="33" bestFit="1" customWidth="1"/>
    <col min="594" max="595" width="18.5703125" bestFit="1" customWidth="1"/>
    <col min="596" max="596" width="14" bestFit="1" customWidth="1"/>
    <col min="597" max="597" width="17.28515625" bestFit="1" customWidth="1"/>
    <col min="598" max="598" width="20.42578125" bestFit="1" customWidth="1"/>
    <col min="599" max="599" width="15.7109375" bestFit="1" customWidth="1"/>
    <col min="600" max="600" width="12" bestFit="1" customWidth="1"/>
    <col min="601" max="601" width="20.7109375" bestFit="1" customWidth="1"/>
    <col min="602" max="602" width="13.5703125" bestFit="1" customWidth="1"/>
    <col min="603" max="603" width="25" bestFit="1" customWidth="1"/>
    <col min="604" max="604" width="16" bestFit="1" customWidth="1"/>
    <col min="605" max="605" width="32.5703125" bestFit="1" customWidth="1"/>
    <col min="606" max="606" width="33.85546875" bestFit="1" customWidth="1"/>
    <col min="607" max="607" width="25" bestFit="1" customWidth="1"/>
    <col min="608" max="608" width="11.28515625" bestFit="1" customWidth="1"/>
  </cols>
  <sheetData>
    <row r="1" spans="1:2" x14ac:dyDescent="0.25">
      <c r="A1" s="46" t="s">
        <v>1761</v>
      </c>
      <c r="B1" t="s">
        <v>2181</v>
      </c>
    </row>
    <row r="2" spans="1:2" x14ac:dyDescent="0.25">
      <c r="A2" s="1" t="s">
        <v>1244</v>
      </c>
      <c r="B2" s="50">
        <v>1</v>
      </c>
    </row>
    <row r="3" spans="1:2" x14ac:dyDescent="0.25">
      <c r="A3" s="224" t="s">
        <v>1245</v>
      </c>
      <c r="B3" s="50">
        <v>1</v>
      </c>
    </row>
    <row r="4" spans="1:2" x14ac:dyDescent="0.25">
      <c r="A4" s="225" t="s">
        <v>1243</v>
      </c>
      <c r="B4" s="50">
        <v>1</v>
      </c>
    </row>
    <row r="5" spans="1:2" x14ac:dyDescent="0.25">
      <c r="A5" s="1" t="s">
        <v>583</v>
      </c>
      <c r="B5" s="50">
        <v>1</v>
      </c>
    </row>
    <row r="6" spans="1:2" x14ac:dyDescent="0.25">
      <c r="A6" s="224" t="s">
        <v>584</v>
      </c>
      <c r="B6" s="50">
        <v>1</v>
      </c>
    </row>
    <row r="7" spans="1:2" x14ac:dyDescent="0.25">
      <c r="A7" s="225">
        <v>168</v>
      </c>
      <c r="B7" s="50">
        <v>1</v>
      </c>
    </row>
    <row r="8" spans="1:2" x14ac:dyDescent="0.25">
      <c r="A8" s="1" t="s">
        <v>277</v>
      </c>
      <c r="B8" s="50">
        <v>1</v>
      </c>
    </row>
    <row r="9" spans="1:2" x14ac:dyDescent="0.25">
      <c r="A9" s="224" t="s">
        <v>278</v>
      </c>
      <c r="B9" s="50">
        <v>1</v>
      </c>
    </row>
    <row r="10" spans="1:2" x14ac:dyDescent="0.25">
      <c r="A10" s="225" t="s">
        <v>275</v>
      </c>
      <c r="B10" s="50">
        <v>1</v>
      </c>
    </row>
    <row r="11" spans="1:2" x14ac:dyDescent="0.25">
      <c r="A11" s="1" t="s">
        <v>1059</v>
      </c>
      <c r="B11" s="50">
        <v>2</v>
      </c>
    </row>
    <row r="12" spans="1:2" x14ac:dyDescent="0.25">
      <c r="A12" s="224" t="s">
        <v>1060</v>
      </c>
      <c r="B12" s="50">
        <v>2</v>
      </c>
    </row>
    <row r="13" spans="1:2" x14ac:dyDescent="0.25">
      <c r="A13" s="225" t="s">
        <v>1058</v>
      </c>
      <c r="B13" s="50">
        <v>1</v>
      </c>
    </row>
    <row r="14" spans="1:2" x14ac:dyDescent="0.25">
      <c r="A14" s="225" t="s">
        <v>1546</v>
      </c>
      <c r="B14" s="50">
        <v>1</v>
      </c>
    </row>
    <row r="15" spans="1:2" x14ac:dyDescent="0.25">
      <c r="A15" s="1" t="s">
        <v>688</v>
      </c>
      <c r="B15" s="50">
        <v>1</v>
      </c>
    </row>
    <row r="16" spans="1:2" x14ac:dyDescent="0.25">
      <c r="A16" s="224" t="s">
        <v>689</v>
      </c>
      <c r="B16" s="50">
        <v>1</v>
      </c>
    </row>
    <row r="17" spans="1:2" x14ac:dyDescent="0.25">
      <c r="A17" s="225" t="s">
        <v>687</v>
      </c>
      <c r="B17" s="50">
        <v>1</v>
      </c>
    </row>
    <row r="18" spans="1:2" x14ac:dyDescent="0.25">
      <c r="A18" s="1" t="s">
        <v>804</v>
      </c>
      <c r="B18" s="50">
        <v>1</v>
      </c>
    </row>
    <row r="19" spans="1:2" x14ac:dyDescent="0.25">
      <c r="A19" s="224" t="s">
        <v>805</v>
      </c>
      <c r="B19" s="50">
        <v>1</v>
      </c>
    </row>
    <row r="20" spans="1:2" x14ac:dyDescent="0.25">
      <c r="A20" s="225">
        <v>283</v>
      </c>
      <c r="B20" s="50">
        <v>1</v>
      </c>
    </row>
    <row r="21" spans="1:2" x14ac:dyDescent="0.25">
      <c r="A21" s="1" t="s">
        <v>1047</v>
      </c>
      <c r="B21" s="50">
        <v>1</v>
      </c>
    </row>
    <row r="22" spans="1:2" x14ac:dyDescent="0.25">
      <c r="A22" s="224" t="s">
        <v>1048</v>
      </c>
      <c r="B22" s="50">
        <v>1</v>
      </c>
    </row>
    <row r="23" spans="1:2" x14ac:dyDescent="0.25">
      <c r="A23" s="225" t="s">
        <v>1046</v>
      </c>
      <c r="B23" s="50">
        <v>1</v>
      </c>
    </row>
    <row r="24" spans="1:2" x14ac:dyDescent="0.25">
      <c r="A24" s="1" t="s">
        <v>294</v>
      </c>
      <c r="B24" s="50">
        <v>1</v>
      </c>
    </row>
    <row r="25" spans="1:2" x14ac:dyDescent="0.25">
      <c r="A25" s="224" t="s">
        <v>295</v>
      </c>
      <c r="B25" s="50">
        <v>1</v>
      </c>
    </row>
    <row r="26" spans="1:2" x14ac:dyDescent="0.25">
      <c r="A26" s="225" t="s">
        <v>293</v>
      </c>
      <c r="B26" s="50">
        <v>1</v>
      </c>
    </row>
    <row r="27" spans="1:2" x14ac:dyDescent="0.25">
      <c r="A27" s="1" t="s">
        <v>539</v>
      </c>
      <c r="B27" s="50">
        <v>1</v>
      </c>
    </row>
    <row r="28" spans="1:2" x14ac:dyDescent="0.25">
      <c r="A28" s="224" t="s">
        <v>540</v>
      </c>
      <c r="B28" s="50">
        <v>1</v>
      </c>
    </row>
    <row r="29" spans="1:2" x14ac:dyDescent="0.25">
      <c r="A29" s="225" t="s">
        <v>538</v>
      </c>
      <c r="B29" s="50">
        <v>1</v>
      </c>
    </row>
    <row r="30" spans="1:2" x14ac:dyDescent="0.25">
      <c r="A30" s="1" t="s">
        <v>1163</v>
      </c>
      <c r="B30" s="50">
        <v>1</v>
      </c>
    </row>
    <row r="31" spans="1:2" x14ac:dyDescent="0.25">
      <c r="A31" s="224" t="s">
        <v>1164</v>
      </c>
      <c r="B31" s="50">
        <v>1</v>
      </c>
    </row>
    <row r="32" spans="1:2" x14ac:dyDescent="0.25">
      <c r="A32" s="225">
        <v>396</v>
      </c>
      <c r="B32" s="50">
        <v>1</v>
      </c>
    </row>
    <row r="33" spans="1:2" x14ac:dyDescent="0.25">
      <c r="A33" s="1" t="s">
        <v>1266</v>
      </c>
      <c r="B33" s="50">
        <v>1</v>
      </c>
    </row>
    <row r="34" spans="1:2" x14ac:dyDescent="0.25">
      <c r="A34" s="224" t="s">
        <v>1267</v>
      </c>
      <c r="B34" s="50">
        <v>1</v>
      </c>
    </row>
    <row r="35" spans="1:2" x14ac:dyDescent="0.25">
      <c r="A35" s="225" t="s">
        <v>1265</v>
      </c>
      <c r="B35" s="50">
        <v>1</v>
      </c>
    </row>
    <row r="36" spans="1:2" x14ac:dyDescent="0.25">
      <c r="A36" s="1" t="s">
        <v>875</v>
      </c>
      <c r="B36" s="50">
        <v>1</v>
      </c>
    </row>
    <row r="37" spans="1:2" x14ac:dyDescent="0.25">
      <c r="A37" s="224" t="s">
        <v>876</v>
      </c>
      <c r="B37" s="50">
        <v>1</v>
      </c>
    </row>
    <row r="38" spans="1:2" x14ac:dyDescent="0.25">
      <c r="A38" s="225">
        <v>318</v>
      </c>
      <c r="B38" s="50">
        <v>1</v>
      </c>
    </row>
    <row r="39" spans="1:2" x14ac:dyDescent="0.25">
      <c r="A39" s="1" t="s">
        <v>1122</v>
      </c>
      <c r="B39" s="50">
        <v>3</v>
      </c>
    </row>
    <row r="40" spans="1:2" x14ac:dyDescent="0.25">
      <c r="A40" s="224" t="s">
        <v>1123</v>
      </c>
      <c r="B40" s="50">
        <v>3</v>
      </c>
    </row>
    <row r="41" spans="1:2" x14ac:dyDescent="0.25">
      <c r="A41" s="225">
        <v>379</v>
      </c>
      <c r="B41" s="50">
        <v>1</v>
      </c>
    </row>
    <row r="42" spans="1:2" x14ac:dyDescent="0.25">
      <c r="A42" s="225" t="s">
        <v>2020</v>
      </c>
      <c r="B42" s="50">
        <v>1</v>
      </c>
    </row>
    <row r="43" spans="1:2" x14ac:dyDescent="0.25">
      <c r="A43" s="225" t="s">
        <v>2123</v>
      </c>
      <c r="B43" s="50">
        <v>1</v>
      </c>
    </row>
    <row r="44" spans="1:2" x14ac:dyDescent="0.25">
      <c r="A44" s="1" t="s">
        <v>1137</v>
      </c>
      <c r="B44" s="50">
        <v>2</v>
      </c>
    </row>
    <row r="45" spans="1:2" x14ac:dyDescent="0.25">
      <c r="A45" s="224" t="s">
        <v>1138</v>
      </c>
      <c r="B45" s="50">
        <v>2</v>
      </c>
    </row>
    <row r="46" spans="1:2" x14ac:dyDescent="0.25">
      <c r="A46" s="225">
        <v>383</v>
      </c>
      <c r="B46" s="50">
        <v>1</v>
      </c>
    </row>
    <row r="47" spans="1:2" x14ac:dyDescent="0.25">
      <c r="A47" s="225">
        <v>526</v>
      </c>
      <c r="B47" s="50">
        <v>1</v>
      </c>
    </row>
    <row r="48" spans="1:2" x14ac:dyDescent="0.25">
      <c r="A48" s="1" t="s">
        <v>251</v>
      </c>
      <c r="B48" s="50">
        <v>2</v>
      </c>
    </row>
    <row r="49" spans="1:2" x14ac:dyDescent="0.25">
      <c r="A49" s="224" t="s">
        <v>252</v>
      </c>
      <c r="B49" s="50">
        <v>2</v>
      </c>
    </row>
    <row r="50" spans="1:2" x14ac:dyDescent="0.25">
      <c r="A50" s="225">
        <v>120</v>
      </c>
      <c r="B50" s="50">
        <v>1</v>
      </c>
    </row>
    <row r="51" spans="1:2" x14ac:dyDescent="0.25">
      <c r="A51" s="225" t="s">
        <v>249</v>
      </c>
      <c r="B51" s="50">
        <v>1</v>
      </c>
    </row>
    <row r="52" spans="1:2" x14ac:dyDescent="0.25">
      <c r="A52" s="1" t="s">
        <v>196</v>
      </c>
      <c r="B52" s="50">
        <v>1</v>
      </c>
    </row>
    <row r="53" spans="1:2" x14ac:dyDescent="0.25">
      <c r="A53" s="224" t="s">
        <v>197</v>
      </c>
      <c r="B53" s="50">
        <v>1</v>
      </c>
    </row>
    <row r="54" spans="1:2" x14ac:dyDescent="0.25">
      <c r="A54" s="225" t="s">
        <v>195</v>
      </c>
      <c r="B54" s="50">
        <v>1</v>
      </c>
    </row>
    <row r="55" spans="1:2" x14ac:dyDescent="0.25">
      <c r="A55" s="1" t="s">
        <v>469</v>
      </c>
      <c r="B55" s="50">
        <v>1</v>
      </c>
    </row>
    <row r="56" spans="1:2" x14ac:dyDescent="0.25">
      <c r="A56" s="224" t="s">
        <v>470</v>
      </c>
      <c r="B56" s="50">
        <v>1</v>
      </c>
    </row>
    <row r="57" spans="1:2" x14ac:dyDescent="0.25">
      <c r="A57" s="225">
        <v>130</v>
      </c>
      <c r="B57" s="50">
        <v>1</v>
      </c>
    </row>
    <row r="58" spans="1:2" x14ac:dyDescent="0.25">
      <c r="A58" s="1" t="s">
        <v>672</v>
      </c>
      <c r="B58" s="50">
        <v>3</v>
      </c>
    </row>
    <row r="59" spans="1:2" x14ac:dyDescent="0.25">
      <c r="A59" s="224" t="s">
        <v>673</v>
      </c>
      <c r="B59" s="50">
        <v>3</v>
      </c>
    </row>
    <row r="60" spans="1:2" x14ac:dyDescent="0.25">
      <c r="A60" s="225">
        <v>344</v>
      </c>
      <c r="B60" s="50">
        <v>1</v>
      </c>
    </row>
    <row r="61" spans="1:2" x14ac:dyDescent="0.25">
      <c r="A61" s="225">
        <v>458</v>
      </c>
      <c r="B61" s="50">
        <v>1</v>
      </c>
    </row>
    <row r="62" spans="1:2" x14ac:dyDescent="0.25">
      <c r="A62" s="225" t="s">
        <v>670</v>
      </c>
      <c r="B62" s="50">
        <v>1</v>
      </c>
    </row>
    <row r="63" spans="1:2" x14ac:dyDescent="0.25">
      <c r="A63" s="1" t="s">
        <v>885</v>
      </c>
      <c r="B63" s="50">
        <v>1</v>
      </c>
    </row>
    <row r="64" spans="1:2" x14ac:dyDescent="0.25">
      <c r="A64" s="224" t="s">
        <v>886</v>
      </c>
      <c r="B64" s="50">
        <v>1</v>
      </c>
    </row>
    <row r="65" spans="1:2" x14ac:dyDescent="0.25">
      <c r="A65" s="225">
        <v>320</v>
      </c>
      <c r="B65" s="50">
        <v>1</v>
      </c>
    </row>
    <row r="66" spans="1:2" x14ac:dyDescent="0.25">
      <c r="A66" s="1" t="s">
        <v>268</v>
      </c>
      <c r="B66" s="50">
        <v>1</v>
      </c>
    </row>
    <row r="67" spans="1:2" x14ac:dyDescent="0.25">
      <c r="A67" s="224" t="s">
        <v>269</v>
      </c>
      <c r="B67" s="50">
        <v>1</v>
      </c>
    </row>
    <row r="68" spans="1:2" x14ac:dyDescent="0.25">
      <c r="A68" s="225" t="s">
        <v>267</v>
      </c>
      <c r="B68" s="50">
        <v>1</v>
      </c>
    </row>
    <row r="69" spans="1:2" x14ac:dyDescent="0.25">
      <c r="A69" s="1" t="s">
        <v>1334</v>
      </c>
      <c r="B69" s="50">
        <v>2</v>
      </c>
    </row>
    <row r="70" spans="1:2" x14ac:dyDescent="0.25">
      <c r="A70" s="224" t="s">
        <v>1335</v>
      </c>
      <c r="B70" s="50">
        <v>1</v>
      </c>
    </row>
    <row r="71" spans="1:2" x14ac:dyDescent="0.25">
      <c r="A71" s="225">
        <v>415</v>
      </c>
      <c r="B71" s="50">
        <v>1</v>
      </c>
    </row>
    <row r="72" spans="1:2" x14ac:dyDescent="0.25">
      <c r="A72" s="224" t="s">
        <v>1818</v>
      </c>
      <c r="B72" s="50">
        <v>1</v>
      </c>
    </row>
    <row r="73" spans="1:2" x14ac:dyDescent="0.25">
      <c r="A73" s="225" t="s">
        <v>1787</v>
      </c>
      <c r="B73" s="50">
        <v>1</v>
      </c>
    </row>
    <row r="74" spans="1:2" x14ac:dyDescent="0.25">
      <c r="A74" s="1" t="s">
        <v>1456</v>
      </c>
      <c r="B74" s="50">
        <v>1</v>
      </c>
    </row>
    <row r="75" spans="1:2" x14ac:dyDescent="0.25">
      <c r="A75" s="224" t="s">
        <v>1457</v>
      </c>
      <c r="B75" s="50">
        <v>1</v>
      </c>
    </row>
    <row r="76" spans="1:2" x14ac:dyDescent="0.25">
      <c r="A76" s="225">
        <v>445</v>
      </c>
      <c r="B76" s="50">
        <v>1</v>
      </c>
    </row>
    <row r="77" spans="1:2" x14ac:dyDescent="0.25">
      <c r="A77" s="1" t="s">
        <v>1078</v>
      </c>
      <c r="B77" s="50">
        <v>1</v>
      </c>
    </row>
    <row r="78" spans="1:2" x14ac:dyDescent="0.25">
      <c r="A78" s="224" t="s">
        <v>1079</v>
      </c>
      <c r="B78" s="50">
        <v>1</v>
      </c>
    </row>
    <row r="79" spans="1:2" x14ac:dyDescent="0.25">
      <c r="A79" s="225" t="s">
        <v>1077</v>
      </c>
      <c r="B79" s="50">
        <v>1</v>
      </c>
    </row>
    <row r="80" spans="1:2" x14ac:dyDescent="0.25">
      <c r="A80" s="1" t="s">
        <v>1035</v>
      </c>
      <c r="B80" s="50">
        <v>2</v>
      </c>
    </row>
    <row r="81" spans="1:2" x14ac:dyDescent="0.25">
      <c r="A81" s="224" t="s">
        <v>464</v>
      </c>
      <c r="B81" s="50">
        <v>2</v>
      </c>
    </row>
    <row r="82" spans="1:2" x14ac:dyDescent="0.25">
      <c r="A82" s="225" t="s">
        <v>1034</v>
      </c>
      <c r="B82" s="50">
        <v>1</v>
      </c>
    </row>
    <row r="83" spans="1:2" x14ac:dyDescent="0.25">
      <c r="A83" s="225" t="s">
        <v>1533</v>
      </c>
      <c r="B83" s="50">
        <v>1</v>
      </c>
    </row>
    <row r="84" spans="1:2" x14ac:dyDescent="0.25">
      <c r="A84" s="1" t="s">
        <v>746</v>
      </c>
      <c r="B84" s="50">
        <v>1</v>
      </c>
    </row>
    <row r="85" spans="1:2" x14ac:dyDescent="0.25">
      <c r="A85" s="224" t="s">
        <v>747</v>
      </c>
      <c r="B85" s="50">
        <v>1</v>
      </c>
    </row>
    <row r="86" spans="1:2" x14ac:dyDescent="0.25">
      <c r="A86" s="225">
        <v>255</v>
      </c>
      <c r="B86" s="50">
        <v>1</v>
      </c>
    </row>
    <row r="87" spans="1:2" x14ac:dyDescent="0.25">
      <c r="A87" s="1" t="s">
        <v>463</v>
      </c>
      <c r="B87" s="50">
        <v>1</v>
      </c>
    </row>
    <row r="88" spans="1:2" x14ac:dyDescent="0.25">
      <c r="A88" s="224" t="s">
        <v>464</v>
      </c>
      <c r="B88" s="50">
        <v>1</v>
      </c>
    </row>
    <row r="89" spans="1:2" x14ac:dyDescent="0.25">
      <c r="A89" s="225">
        <v>129</v>
      </c>
      <c r="B89" s="50">
        <v>1</v>
      </c>
    </row>
    <row r="90" spans="1:2" x14ac:dyDescent="0.25">
      <c r="A90" s="1" t="s">
        <v>1819</v>
      </c>
      <c r="B90" s="50">
        <v>1</v>
      </c>
    </row>
    <row r="91" spans="1:2" x14ac:dyDescent="0.25">
      <c r="A91" s="224" t="s">
        <v>1820</v>
      </c>
      <c r="B91" s="50">
        <v>1</v>
      </c>
    </row>
    <row r="92" spans="1:2" x14ac:dyDescent="0.25">
      <c r="A92" s="225" t="s">
        <v>1788</v>
      </c>
      <c r="B92" s="50">
        <v>1</v>
      </c>
    </row>
    <row r="93" spans="1:2" x14ac:dyDescent="0.25">
      <c r="A93" s="1" t="s">
        <v>1520</v>
      </c>
      <c r="B93" s="50">
        <v>1</v>
      </c>
    </row>
    <row r="94" spans="1:2" x14ac:dyDescent="0.25">
      <c r="A94" s="224" t="s">
        <v>1521</v>
      </c>
      <c r="B94" s="50">
        <v>1</v>
      </c>
    </row>
    <row r="95" spans="1:2" x14ac:dyDescent="0.25">
      <c r="A95" s="225">
        <v>468</v>
      </c>
      <c r="B95" s="50">
        <v>1</v>
      </c>
    </row>
    <row r="96" spans="1:2" x14ac:dyDescent="0.25">
      <c r="A96" s="1" t="s">
        <v>1193</v>
      </c>
      <c r="B96" s="50">
        <v>1</v>
      </c>
    </row>
    <row r="97" spans="1:2" x14ac:dyDescent="0.25">
      <c r="A97" s="224" t="s">
        <v>1194</v>
      </c>
      <c r="B97" s="50">
        <v>1</v>
      </c>
    </row>
    <row r="98" spans="1:2" x14ac:dyDescent="0.25">
      <c r="A98" s="225" t="s">
        <v>1192</v>
      </c>
      <c r="B98" s="50">
        <v>1</v>
      </c>
    </row>
    <row r="99" spans="1:2" x14ac:dyDescent="0.25">
      <c r="A99" s="1" t="s">
        <v>1131</v>
      </c>
      <c r="B99" s="50">
        <v>1</v>
      </c>
    </row>
    <row r="100" spans="1:2" x14ac:dyDescent="0.25">
      <c r="A100" s="224" t="s">
        <v>1132</v>
      </c>
      <c r="B100" s="50">
        <v>1</v>
      </c>
    </row>
    <row r="101" spans="1:2" x14ac:dyDescent="0.25">
      <c r="A101" s="225">
        <v>381</v>
      </c>
      <c r="B101" s="50">
        <v>1</v>
      </c>
    </row>
    <row r="102" spans="1:2" x14ac:dyDescent="0.25">
      <c r="A102" s="1" t="s">
        <v>475</v>
      </c>
      <c r="B102" s="50">
        <v>1</v>
      </c>
    </row>
    <row r="103" spans="1:2" x14ac:dyDescent="0.25">
      <c r="A103" s="224" t="s">
        <v>476</v>
      </c>
      <c r="B103" s="50">
        <v>1</v>
      </c>
    </row>
    <row r="104" spans="1:2" x14ac:dyDescent="0.25">
      <c r="A104" s="225">
        <v>133</v>
      </c>
      <c r="B104" s="50">
        <v>1</v>
      </c>
    </row>
    <row r="105" spans="1:2" x14ac:dyDescent="0.25">
      <c r="A105" s="1" t="s">
        <v>160</v>
      </c>
      <c r="B105" s="50">
        <v>2</v>
      </c>
    </row>
    <row r="106" spans="1:2" x14ac:dyDescent="0.25">
      <c r="A106" s="224" t="s">
        <v>161</v>
      </c>
      <c r="B106" s="50">
        <v>2</v>
      </c>
    </row>
    <row r="107" spans="1:2" x14ac:dyDescent="0.25">
      <c r="A107" s="225">
        <v>114</v>
      </c>
      <c r="B107" s="50">
        <v>1</v>
      </c>
    </row>
    <row r="108" spans="1:2" x14ac:dyDescent="0.25">
      <c r="A108" s="225" t="s">
        <v>158</v>
      </c>
      <c r="B108" s="50">
        <v>1</v>
      </c>
    </row>
    <row r="109" spans="1:2" x14ac:dyDescent="0.25">
      <c r="A109" s="1" t="s">
        <v>726</v>
      </c>
      <c r="B109" s="50">
        <v>1</v>
      </c>
    </row>
    <row r="110" spans="1:2" x14ac:dyDescent="0.25">
      <c r="A110" s="224" t="s">
        <v>727</v>
      </c>
      <c r="B110" s="50">
        <v>1</v>
      </c>
    </row>
    <row r="111" spans="1:2" x14ac:dyDescent="0.25">
      <c r="A111" s="225">
        <v>242</v>
      </c>
      <c r="B111" s="50">
        <v>1</v>
      </c>
    </row>
    <row r="112" spans="1:2" x14ac:dyDescent="0.25">
      <c r="A112" s="1" t="s">
        <v>1490</v>
      </c>
      <c r="B112" s="50">
        <v>1</v>
      </c>
    </row>
    <row r="113" spans="1:2" x14ac:dyDescent="0.25">
      <c r="A113" s="224" t="s">
        <v>1491</v>
      </c>
      <c r="B113" s="50">
        <v>1</v>
      </c>
    </row>
    <row r="114" spans="1:2" x14ac:dyDescent="0.25">
      <c r="A114" s="225">
        <v>456</v>
      </c>
      <c r="B114" s="50">
        <v>1</v>
      </c>
    </row>
    <row r="115" spans="1:2" x14ac:dyDescent="0.25">
      <c r="A115" s="1" t="s">
        <v>637</v>
      </c>
      <c r="B115" s="50">
        <v>1</v>
      </c>
    </row>
    <row r="116" spans="1:2" x14ac:dyDescent="0.25">
      <c r="A116" s="224" t="s">
        <v>638</v>
      </c>
      <c r="B116" s="50">
        <v>1</v>
      </c>
    </row>
    <row r="117" spans="1:2" x14ac:dyDescent="0.25">
      <c r="A117" s="225">
        <v>206</v>
      </c>
      <c r="B117" s="50">
        <v>1</v>
      </c>
    </row>
    <row r="118" spans="1:2" x14ac:dyDescent="0.25">
      <c r="A118" s="1" t="s">
        <v>996</v>
      </c>
      <c r="B118" s="50">
        <v>2</v>
      </c>
    </row>
    <row r="119" spans="1:2" x14ac:dyDescent="0.25">
      <c r="A119" s="224" t="s">
        <v>997</v>
      </c>
      <c r="B119" s="50">
        <v>2</v>
      </c>
    </row>
    <row r="120" spans="1:2" x14ac:dyDescent="0.25">
      <c r="A120" s="225">
        <v>356</v>
      </c>
      <c r="B120" s="50">
        <v>1</v>
      </c>
    </row>
    <row r="121" spans="1:2" x14ac:dyDescent="0.25">
      <c r="A121" s="225" t="s">
        <v>1687</v>
      </c>
      <c r="B121" s="50">
        <v>1</v>
      </c>
    </row>
    <row r="122" spans="1:2" x14ac:dyDescent="0.25">
      <c r="A122" s="1" t="s">
        <v>133</v>
      </c>
      <c r="B122" s="50">
        <v>1</v>
      </c>
    </row>
    <row r="123" spans="1:2" x14ac:dyDescent="0.25">
      <c r="A123" s="224" t="s">
        <v>134</v>
      </c>
      <c r="B123" s="50">
        <v>1</v>
      </c>
    </row>
    <row r="124" spans="1:2" x14ac:dyDescent="0.25">
      <c r="A124" s="225" t="s">
        <v>131</v>
      </c>
      <c r="B124" s="50">
        <v>1</v>
      </c>
    </row>
    <row r="125" spans="1:2" x14ac:dyDescent="0.25">
      <c r="A125" s="1" t="s">
        <v>1154</v>
      </c>
      <c r="B125" s="50">
        <v>1</v>
      </c>
    </row>
    <row r="126" spans="1:2" x14ac:dyDescent="0.25">
      <c r="A126" s="224" t="s">
        <v>1155</v>
      </c>
      <c r="B126" s="50">
        <v>1</v>
      </c>
    </row>
    <row r="127" spans="1:2" x14ac:dyDescent="0.25">
      <c r="A127" s="225">
        <v>391</v>
      </c>
      <c r="B127" s="50">
        <v>1</v>
      </c>
    </row>
    <row r="128" spans="1:2" x14ac:dyDescent="0.25">
      <c r="A128" s="1" t="s">
        <v>504</v>
      </c>
      <c r="B128" s="50">
        <v>1</v>
      </c>
    </row>
    <row r="129" spans="1:2" x14ac:dyDescent="0.25">
      <c r="A129" s="224" t="s">
        <v>505</v>
      </c>
      <c r="B129" s="50">
        <v>1</v>
      </c>
    </row>
    <row r="130" spans="1:2" x14ac:dyDescent="0.25">
      <c r="A130" s="225">
        <v>139</v>
      </c>
      <c r="B130" s="50">
        <v>1</v>
      </c>
    </row>
    <row r="131" spans="1:2" x14ac:dyDescent="0.25">
      <c r="A131" s="1" t="s">
        <v>575</v>
      </c>
      <c r="B131" s="50">
        <v>1</v>
      </c>
    </row>
    <row r="132" spans="1:2" x14ac:dyDescent="0.25">
      <c r="A132" s="224" t="s">
        <v>576</v>
      </c>
      <c r="B132" s="50">
        <v>1</v>
      </c>
    </row>
    <row r="133" spans="1:2" x14ac:dyDescent="0.25">
      <c r="A133" s="225">
        <v>162</v>
      </c>
      <c r="B133" s="50">
        <v>1</v>
      </c>
    </row>
    <row r="134" spans="1:2" x14ac:dyDescent="0.25">
      <c r="A134" s="1" t="s">
        <v>1609</v>
      </c>
      <c r="B134" s="50">
        <v>1</v>
      </c>
    </row>
    <row r="135" spans="1:2" x14ac:dyDescent="0.25">
      <c r="A135" s="224" t="s">
        <v>1610</v>
      </c>
      <c r="B135" s="50">
        <v>1</v>
      </c>
    </row>
    <row r="136" spans="1:2" x14ac:dyDescent="0.25">
      <c r="A136" s="225">
        <v>482</v>
      </c>
      <c r="B136" s="50">
        <v>1</v>
      </c>
    </row>
    <row r="137" spans="1:2" x14ac:dyDescent="0.25">
      <c r="A137" s="1" t="s">
        <v>648</v>
      </c>
      <c r="B137" s="50">
        <v>1</v>
      </c>
    </row>
    <row r="138" spans="1:2" x14ac:dyDescent="0.25">
      <c r="A138" s="224" t="s">
        <v>649</v>
      </c>
      <c r="B138" s="50">
        <v>1</v>
      </c>
    </row>
    <row r="139" spans="1:2" x14ac:dyDescent="0.25">
      <c r="A139" s="225">
        <v>213</v>
      </c>
      <c r="B139" s="50">
        <v>1</v>
      </c>
    </row>
    <row r="140" spans="1:2" x14ac:dyDescent="0.25">
      <c r="A140" s="1" t="s">
        <v>1005</v>
      </c>
      <c r="B140" s="50">
        <v>1</v>
      </c>
    </row>
    <row r="141" spans="1:2" x14ac:dyDescent="0.25">
      <c r="A141" s="224" t="s">
        <v>1006</v>
      </c>
      <c r="B141" s="50">
        <v>1</v>
      </c>
    </row>
    <row r="142" spans="1:2" x14ac:dyDescent="0.25">
      <c r="A142" s="225">
        <v>360</v>
      </c>
      <c r="B142" s="50">
        <v>1</v>
      </c>
    </row>
    <row r="143" spans="1:2" x14ac:dyDescent="0.25">
      <c r="A143" s="1" t="s">
        <v>385</v>
      </c>
      <c r="B143" s="50">
        <v>2</v>
      </c>
    </row>
    <row r="144" spans="1:2" x14ac:dyDescent="0.25">
      <c r="A144" s="224" t="s">
        <v>386</v>
      </c>
      <c r="B144" s="50">
        <v>2</v>
      </c>
    </row>
    <row r="145" spans="1:2" x14ac:dyDescent="0.25">
      <c r="A145" s="225">
        <v>102</v>
      </c>
      <c r="B145" s="50">
        <v>1</v>
      </c>
    </row>
    <row r="146" spans="1:2" x14ac:dyDescent="0.25">
      <c r="A146" s="225">
        <v>326</v>
      </c>
      <c r="B146" s="50">
        <v>1</v>
      </c>
    </row>
    <row r="147" spans="1:2" x14ac:dyDescent="0.25">
      <c r="A147" s="1" t="s">
        <v>283</v>
      </c>
      <c r="B147" s="50">
        <v>1</v>
      </c>
    </row>
    <row r="148" spans="1:2" x14ac:dyDescent="0.25">
      <c r="A148" s="224" t="s">
        <v>284</v>
      </c>
      <c r="B148" s="50">
        <v>1</v>
      </c>
    </row>
    <row r="149" spans="1:2" x14ac:dyDescent="0.25">
      <c r="A149" s="225" t="s">
        <v>281</v>
      </c>
      <c r="B149" s="50">
        <v>1</v>
      </c>
    </row>
    <row r="150" spans="1:2" x14ac:dyDescent="0.25">
      <c r="A150" s="1" t="s">
        <v>622</v>
      </c>
      <c r="B150" s="50">
        <v>1</v>
      </c>
    </row>
    <row r="151" spans="1:2" x14ac:dyDescent="0.25">
      <c r="A151" s="224" t="s">
        <v>623</v>
      </c>
      <c r="B151" s="50">
        <v>1</v>
      </c>
    </row>
    <row r="152" spans="1:2" x14ac:dyDescent="0.25">
      <c r="A152" s="225">
        <v>193</v>
      </c>
      <c r="B152" s="50">
        <v>1</v>
      </c>
    </row>
    <row r="153" spans="1:2" x14ac:dyDescent="0.25">
      <c r="A153" s="1" t="s">
        <v>552</v>
      </c>
      <c r="B153" s="50">
        <v>1</v>
      </c>
    </row>
    <row r="154" spans="1:2" x14ac:dyDescent="0.25">
      <c r="A154" s="224" t="s">
        <v>553</v>
      </c>
      <c r="B154" s="50">
        <v>1</v>
      </c>
    </row>
    <row r="155" spans="1:2" x14ac:dyDescent="0.25">
      <c r="A155" s="225">
        <v>155</v>
      </c>
      <c r="B155" s="50">
        <v>1</v>
      </c>
    </row>
    <row r="156" spans="1:2" x14ac:dyDescent="0.25">
      <c r="A156" s="1" t="s">
        <v>664</v>
      </c>
      <c r="B156" s="50">
        <v>2</v>
      </c>
    </row>
    <row r="157" spans="1:2" x14ac:dyDescent="0.25">
      <c r="A157" s="224" t="s">
        <v>665</v>
      </c>
      <c r="B157" s="50">
        <v>2</v>
      </c>
    </row>
    <row r="158" spans="1:2" x14ac:dyDescent="0.25">
      <c r="A158" s="225">
        <v>229</v>
      </c>
      <c r="B158" s="50">
        <v>1</v>
      </c>
    </row>
    <row r="159" spans="1:2" x14ac:dyDescent="0.25">
      <c r="A159" s="225" t="s">
        <v>2108</v>
      </c>
      <c r="B159" s="50">
        <v>1</v>
      </c>
    </row>
    <row r="160" spans="1:2" x14ac:dyDescent="0.25">
      <c r="A160" s="1" t="s">
        <v>471</v>
      </c>
      <c r="B160" s="50">
        <v>1</v>
      </c>
    </row>
    <row r="161" spans="1:2" x14ac:dyDescent="0.25">
      <c r="A161" s="224" t="s">
        <v>472</v>
      </c>
      <c r="B161" s="50">
        <v>1</v>
      </c>
    </row>
    <row r="162" spans="1:2" x14ac:dyDescent="0.25">
      <c r="A162" s="225">
        <v>132</v>
      </c>
      <c r="B162" s="50">
        <v>1</v>
      </c>
    </row>
    <row r="163" spans="1:2" x14ac:dyDescent="0.25">
      <c r="A163" s="1" t="s">
        <v>662</v>
      </c>
      <c r="B163" s="50">
        <v>1</v>
      </c>
    </row>
    <row r="164" spans="1:2" x14ac:dyDescent="0.25">
      <c r="A164" s="224" t="s">
        <v>663</v>
      </c>
      <c r="B164" s="50">
        <v>1</v>
      </c>
    </row>
    <row r="165" spans="1:2" x14ac:dyDescent="0.25">
      <c r="A165" s="225">
        <v>225</v>
      </c>
      <c r="B165" s="50">
        <v>1</v>
      </c>
    </row>
    <row r="166" spans="1:2" x14ac:dyDescent="0.25">
      <c r="A166" s="1" t="s">
        <v>180</v>
      </c>
      <c r="B166" s="50">
        <v>1</v>
      </c>
    </row>
    <row r="167" spans="1:2" x14ac:dyDescent="0.25">
      <c r="A167" s="224" t="s">
        <v>181</v>
      </c>
      <c r="B167" s="50">
        <v>1</v>
      </c>
    </row>
    <row r="168" spans="1:2" x14ac:dyDescent="0.25">
      <c r="A168" s="225" t="s">
        <v>178</v>
      </c>
      <c r="B168" s="50">
        <v>1</v>
      </c>
    </row>
    <row r="169" spans="1:2" x14ac:dyDescent="0.25">
      <c r="A169" s="1" t="s">
        <v>1809</v>
      </c>
      <c r="B169" s="50">
        <v>1</v>
      </c>
    </row>
    <row r="170" spans="1:2" x14ac:dyDescent="0.25">
      <c r="A170" s="224" t="s">
        <v>1810</v>
      </c>
      <c r="B170" s="50">
        <v>1</v>
      </c>
    </row>
    <row r="171" spans="1:2" x14ac:dyDescent="0.25">
      <c r="A171" s="225">
        <v>517</v>
      </c>
      <c r="B171" s="50">
        <v>1</v>
      </c>
    </row>
    <row r="172" spans="1:2" x14ac:dyDescent="0.25">
      <c r="A172" s="1" t="s">
        <v>1340</v>
      </c>
      <c r="B172" s="50">
        <v>1</v>
      </c>
    </row>
    <row r="173" spans="1:2" x14ac:dyDescent="0.25">
      <c r="A173" s="224" t="s">
        <v>1341</v>
      </c>
      <c r="B173" s="50">
        <v>1</v>
      </c>
    </row>
    <row r="174" spans="1:2" x14ac:dyDescent="0.25">
      <c r="A174" s="225">
        <v>418</v>
      </c>
      <c r="B174" s="50">
        <v>1</v>
      </c>
    </row>
    <row r="175" spans="1:2" x14ac:dyDescent="0.25">
      <c r="A175" s="1" t="s">
        <v>782</v>
      </c>
      <c r="B175" s="50">
        <v>1</v>
      </c>
    </row>
    <row r="176" spans="1:2" x14ac:dyDescent="0.25">
      <c r="A176" s="224" t="s">
        <v>783</v>
      </c>
      <c r="B176" s="50">
        <v>1</v>
      </c>
    </row>
    <row r="177" spans="1:2" x14ac:dyDescent="0.25">
      <c r="A177" s="225">
        <v>276</v>
      </c>
      <c r="B177" s="50">
        <v>1</v>
      </c>
    </row>
    <row r="178" spans="1:2" x14ac:dyDescent="0.25">
      <c r="A178" s="1" t="s">
        <v>1426</v>
      </c>
      <c r="B178" s="50">
        <v>1</v>
      </c>
    </row>
    <row r="179" spans="1:2" x14ac:dyDescent="0.25">
      <c r="A179" s="224" t="s">
        <v>1427</v>
      </c>
      <c r="B179" s="50">
        <v>1</v>
      </c>
    </row>
    <row r="180" spans="1:2" x14ac:dyDescent="0.25">
      <c r="A180" s="225" t="s">
        <v>1425</v>
      </c>
      <c r="B180" s="50">
        <v>1</v>
      </c>
    </row>
    <row r="181" spans="1:2" x14ac:dyDescent="0.25">
      <c r="A181" s="1" t="s">
        <v>751</v>
      </c>
      <c r="B181" s="50">
        <v>1</v>
      </c>
    </row>
    <row r="182" spans="1:2" x14ac:dyDescent="0.25">
      <c r="A182" s="224" t="s">
        <v>752</v>
      </c>
      <c r="B182" s="50">
        <v>1</v>
      </c>
    </row>
    <row r="183" spans="1:2" x14ac:dyDescent="0.25">
      <c r="A183" s="225">
        <v>259</v>
      </c>
      <c r="B183" s="50">
        <v>1</v>
      </c>
    </row>
    <row r="184" spans="1:2" x14ac:dyDescent="0.25">
      <c r="A184" s="1" t="s">
        <v>807</v>
      </c>
      <c r="B184" s="50">
        <v>1</v>
      </c>
    </row>
    <row r="185" spans="1:2" x14ac:dyDescent="0.25">
      <c r="A185" s="224" t="s">
        <v>808</v>
      </c>
      <c r="B185" s="50">
        <v>1</v>
      </c>
    </row>
    <row r="186" spans="1:2" x14ac:dyDescent="0.25">
      <c r="A186" s="225">
        <v>285</v>
      </c>
      <c r="B186" s="50">
        <v>1</v>
      </c>
    </row>
    <row r="187" spans="1:2" x14ac:dyDescent="0.25">
      <c r="A187" s="1" t="s">
        <v>1139</v>
      </c>
      <c r="B187" s="50">
        <v>1</v>
      </c>
    </row>
    <row r="188" spans="1:2" x14ac:dyDescent="0.25">
      <c r="A188" s="224" t="s">
        <v>1140</v>
      </c>
      <c r="B188" s="50">
        <v>1</v>
      </c>
    </row>
    <row r="189" spans="1:2" x14ac:dyDescent="0.25">
      <c r="A189" s="225">
        <v>385</v>
      </c>
      <c r="B189" s="50">
        <v>1</v>
      </c>
    </row>
    <row r="190" spans="1:2" x14ac:dyDescent="0.25">
      <c r="A190" s="1" t="s">
        <v>1473</v>
      </c>
      <c r="B190" s="50">
        <v>2</v>
      </c>
    </row>
    <row r="191" spans="1:2" x14ac:dyDescent="0.25">
      <c r="A191" s="224" t="s">
        <v>1474</v>
      </c>
      <c r="B191" s="50">
        <v>2</v>
      </c>
    </row>
    <row r="192" spans="1:2" x14ac:dyDescent="0.25">
      <c r="A192" s="225">
        <v>450</v>
      </c>
      <c r="B192" s="50">
        <v>1</v>
      </c>
    </row>
    <row r="193" spans="1:2" x14ac:dyDescent="0.25">
      <c r="A193" s="225">
        <v>532</v>
      </c>
      <c r="B193" s="50">
        <v>1</v>
      </c>
    </row>
    <row r="194" spans="1:2" x14ac:dyDescent="0.25">
      <c r="A194" s="1" t="s">
        <v>1249</v>
      </c>
      <c r="B194" s="50">
        <v>1</v>
      </c>
    </row>
    <row r="195" spans="1:2" x14ac:dyDescent="0.25">
      <c r="A195" s="224" t="s">
        <v>1250</v>
      </c>
      <c r="B195" s="50">
        <v>1</v>
      </c>
    </row>
    <row r="196" spans="1:2" x14ac:dyDescent="0.25">
      <c r="A196" s="225" t="s">
        <v>1246</v>
      </c>
      <c r="B196" s="50">
        <v>1</v>
      </c>
    </row>
    <row r="197" spans="1:2" x14ac:dyDescent="0.25">
      <c r="A197" s="1" t="s">
        <v>767</v>
      </c>
      <c r="B197" s="50">
        <v>1</v>
      </c>
    </row>
    <row r="198" spans="1:2" x14ac:dyDescent="0.25">
      <c r="A198" s="224" t="s">
        <v>768</v>
      </c>
      <c r="B198" s="50">
        <v>1</v>
      </c>
    </row>
    <row r="199" spans="1:2" x14ac:dyDescent="0.25">
      <c r="A199" s="225">
        <v>270</v>
      </c>
      <c r="B199" s="50">
        <v>1</v>
      </c>
    </row>
    <row r="200" spans="1:2" x14ac:dyDescent="0.25">
      <c r="A200" s="1" t="s">
        <v>519</v>
      </c>
      <c r="B200" s="50">
        <v>5</v>
      </c>
    </row>
    <row r="201" spans="1:2" x14ac:dyDescent="0.25">
      <c r="A201" s="224" t="s">
        <v>520</v>
      </c>
      <c r="B201" s="50">
        <v>5</v>
      </c>
    </row>
    <row r="202" spans="1:2" x14ac:dyDescent="0.25">
      <c r="A202" s="225">
        <v>143</v>
      </c>
      <c r="B202" s="50">
        <v>1</v>
      </c>
    </row>
    <row r="203" spans="1:2" x14ac:dyDescent="0.25">
      <c r="A203" s="225">
        <v>340</v>
      </c>
      <c r="B203" s="50">
        <v>1</v>
      </c>
    </row>
    <row r="204" spans="1:2" x14ac:dyDescent="0.25">
      <c r="A204" s="225">
        <v>431</v>
      </c>
      <c r="B204" s="50">
        <v>1</v>
      </c>
    </row>
    <row r="205" spans="1:2" x14ac:dyDescent="0.25">
      <c r="A205" s="225">
        <v>497</v>
      </c>
      <c r="B205" s="50">
        <v>1</v>
      </c>
    </row>
    <row r="206" spans="1:2" x14ac:dyDescent="0.25">
      <c r="A206" s="225">
        <v>520</v>
      </c>
      <c r="B206" s="50">
        <v>1</v>
      </c>
    </row>
    <row r="207" spans="1:2" x14ac:dyDescent="0.25">
      <c r="A207" s="1" t="s">
        <v>1509</v>
      </c>
      <c r="B207" s="50">
        <v>1</v>
      </c>
    </row>
    <row r="208" spans="1:2" x14ac:dyDescent="0.25">
      <c r="A208" s="224" t="s">
        <v>1510</v>
      </c>
      <c r="B208" s="50">
        <v>1</v>
      </c>
    </row>
    <row r="209" spans="1:2" x14ac:dyDescent="0.25">
      <c r="A209" s="225">
        <v>462</v>
      </c>
      <c r="B209" s="50">
        <v>1</v>
      </c>
    </row>
    <row r="210" spans="1:2" x14ac:dyDescent="0.25">
      <c r="A210" s="1" t="s">
        <v>791</v>
      </c>
      <c r="B210" s="50">
        <v>2</v>
      </c>
    </row>
    <row r="211" spans="1:2" x14ac:dyDescent="0.25">
      <c r="A211" s="224" t="s">
        <v>792</v>
      </c>
      <c r="B211" s="50">
        <v>2</v>
      </c>
    </row>
    <row r="212" spans="1:2" x14ac:dyDescent="0.25">
      <c r="A212" s="225">
        <v>279</v>
      </c>
      <c r="B212" s="50">
        <v>1</v>
      </c>
    </row>
    <row r="213" spans="1:2" x14ac:dyDescent="0.25">
      <c r="A213" s="225" t="s">
        <v>1045</v>
      </c>
      <c r="B213" s="50">
        <v>1</v>
      </c>
    </row>
    <row r="214" spans="1:2" x14ac:dyDescent="0.25">
      <c r="A214" s="1" t="s">
        <v>1114</v>
      </c>
      <c r="B214" s="50">
        <v>1</v>
      </c>
    </row>
    <row r="215" spans="1:2" x14ac:dyDescent="0.25">
      <c r="A215" s="224" t="s">
        <v>1115</v>
      </c>
      <c r="B215" s="50">
        <v>1</v>
      </c>
    </row>
    <row r="216" spans="1:2" x14ac:dyDescent="0.25">
      <c r="A216" s="225">
        <v>377</v>
      </c>
      <c r="B216" s="50">
        <v>1</v>
      </c>
    </row>
    <row r="217" spans="1:2" x14ac:dyDescent="0.25">
      <c r="A217" s="1" t="s">
        <v>1400</v>
      </c>
      <c r="B217" s="50">
        <v>1</v>
      </c>
    </row>
    <row r="218" spans="1:2" x14ac:dyDescent="0.25">
      <c r="A218" s="224" t="s">
        <v>1401</v>
      </c>
      <c r="B218" s="50">
        <v>1</v>
      </c>
    </row>
    <row r="219" spans="1:2" x14ac:dyDescent="0.25">
      <c r="A219" s="225" t="s">
        <v>1399</v>
      </c>
      <c r="B219" s="50">
        <v>1</v>
      </c>
    </row>
    <row r="220" spans="1:2" x14ac:dyDescent="0.25">
      <c r="A220" s="1" t="s">
        <v>484</v>
      </c>
      <c r="B220" s="50">
        <v>1</v>
      </c>
    </row>
    <row r="221" spans="1:2" x14ac:dyDescent="0.25">
      <c r="A221" s="224" t="s">
        <v>485</v>
      </c>
      <c r="B221" s="50">
        <v>1</v>
      </c>
    </row>
    <row r="222" spans="1:2" x14ac:dyDescent="0.25">
      <c r="A222" s="225">
        <v>135</v>
      </c>
      <c r="B222" s="50">
        <v>1</v>
      </c>
    </row>
    <row r="223" spans="1:2" x14ac:dyDescent="0.25">
      <c r="A223" s="1" t="s">
        <v>710</v>
      </c>
      <c r="B223" s="50">
        <v>1</v>
      </c>
    </row>
    <row r="224" spans="1:2" x14ac:dyDescent="0.25">
      <c r="A224" s="224" t="s">
        <v>711</v>
      </c>
      <c r="B224" s="50">
        <v>1</v>
      </c>
    </row>
    <row r="225" spans="1:2" x14ac:dyDescent="0.25">
      <c r="A225" s="225">
        <v>237</v>
      </c>
      <c r="B225" s="50">
        <v>1</v>
      </c>
    </row>
    <row r="226" spans="1:2" x14ac:dyDescent="0.25">
      <c r="A226" s="1" t="s">
        <v>591</v>
      </c>
      <c r="B226" s="50">
        <v>3</v>
      </c>
    </row>
    <row r="227" spans="1:2" x14ac:dyDescent="0.25">
      <c r="A227" s="224" t="s">
        <v>592</v>
      </c>
      <c r="B227" s="50">
        <v>3</v>
      </c>
    </row>
    <row r="228" spans="1:2" x14ac:dyDescent="0.25">
      <c r="A228" s="225">
        <v>174</v>
      </c>
      <c r="B228" s="50">
        <v>1</v>
      </c>
    </row>
    <row r="229" spans="1:2" x14ac:dyDescent="0.25">
      <c r="A229" s="225" t="s">
        <v>594</v>
      </c>
      <c r="B229" s="50">
        <v>1</v>
      </c>
    </row>
    <row r="230" spans="1:2" x14ac:dyDescent="0.25">
      <c r="A230" s="225" t="s">
        <v>965</v>
      </c>
      <c r="B230" s="50">
        <v>1</v>
      </c>
    </row>
    <row r="231" spans="1:2" x14ac:dyDescent="0.25">
      <c r="A231" s="1" t="s">
        <v>1370</v>
      </c>
      <c r="B231" s="50">
        <v>1</v>
      </c>
    </row>
    <row r="232" spans="1:2" x14ac:dyDescent="0.25">
      <c r="A232" s="224" t="s">
        <v>1371</v>
      </c>
      <c r="B232" s="50">
        <v>1</v>
      </c>
    </row>
    <row r="233" spans="1:2" x14ac:dyDescent="0.25">
      <c r="A233" s="225">
        <v>428</v>
      </c>
      <c r="B233" s="50">
        <v>1</v>
      </c>
    </row>
    <row r="234" spans="1:2" x14ac:dyDescent="0.25">
      <c r="A234" s="1" t="s">
        <v>611</v>
      </c>
      <c r="B234" s="50">
        <v>1</v>
      </c>
    </row>
    <row r="235" spans="1:2" x14ac:dyDescent="0.25">
      <c r="A235" s="224" t="s">
        <v>612</v>
      </c>
      <c r="B235" s="50">
        <v>1</v>
      </c>
    </row>
    <row r="236" spans="1:2" x14ac:dyDescent="0.25">
      <c r="A236" s="225">
        <v>181</v>
      </c>
      <c r="B236" s="50">
        <v>1</v>
      </c>
    </row>
    <row r="237" spans="1:2" x14ac:dyDescent="0.25">
      <c r="A237" s="1" t="s">
        <v>1566</v>
      </c>
      <c r="B237" s="50">
        <v>2</v>
      </c>
    </row>
    <row r="238" spans="1:2" x14ac:dyDescent="0.25">
      <c r="A238" s="224" t="s">
        <v>1567</v>
      </c>
      <c r="B238" s="50">
        <v>2</v>
      </c>
    </row>
    <row r="239" spans="1:2" x14ac:dyDescent="0.25">
      <c r="A239" s="225" t="s">
        <v>1565</v>
      </c>
      <c r="B239" s="50">
        <v>1</v>
      </c>
    </row>
    <row r="240" spans="1:2" x14ac:dyDescent="0.25">
      <c r="A240" s="225" t="s">
        <v>1570</v>
      </c>
      <c r="B240" s="50">
        <v>1</v>
      </c>
    </row>
    <row r="241" spans="1:2" x14ac:dyDescent="0.25">
      <c r="A241" s="1" t="s">
        <v>871</v>
      </c>
      <c r="B241" s="50">
        <v>1</v>
      </c>
    </row>
    <row r="242" spans="1:2" x14ac:dyDescent="0.25">
      <c r="A242" s="224" t="s">
        <v>872</v>
      </c>
      <c r="B242" s="50">
        <v>1</v>
      </c>
    </row>
    <row r="243" spans="1:2" x14ac:dyDescent="0.25">
      <c r="A243" s="225">
        <v>317</v>
      </c>
      <c r="B243" s="50">
        <v>1</v>
      </c>
    </row>
    <row r="244" spans="1:2" x14ac:dyDescent="0.25">
      <c r="A244" s="1" t="s">
        <v>721</v>
      </c>
      <c r="B244" s="50">
        <v>1</v>
      </c>
    </row>
    <row r="245" spans="1:2" x14ac:dyDescent="0.25">
      <c r="A245" s="224" t="s">
        <v>722</v>
      </c>
      <c r="B245" s="50">
        <v>1</v>
      </c>
    </row>
    <row r="246" spans="1:2" x14ac:dyDescent="0.25">
      <c r="A246" s="225">
        <v>240</v>
      </c>
      <c r="B246" s="50">
        <v>1</v>
      </c>
    </row>
    <row r="247" spans="1:2" x14ac:dyDescent="0.25">
      <c r="A247" s="1" t="s">
        <v>1070</v>
      </c>
      <c r="B247" s="50">
        <v>1</v>
      </c>
    </row>
    <row r="248" spans="1:2" x14ac:dyDescent="0.25">
      <c r="A248" s="224" t="s">
        <v>1071</v>
      </c>
      <c r="B248" s="50">
        <v>1</v>
      </c>
    </row>
    <row r="249" spans="1:2" x14ac:dyDescent="0.25">
      <c r="A249" s="225" t="s">
        <v>1069</v>
      </c>
      <c r="B249" s="50">
        <v>1</v>
      </c>
    </row>
    <row r="250" spans="1:2" x14ac:dyDescent="0.25">
      <c r="A250" s="1" t="s">
        <v>1212</v>
      </c>
      <c r="B250" s="50">
        <v>1</v>
      </c>
    </row>
    <row r="251" spans="1:2" x14ac:dyDescent="0.25">
      <c r="A251" s="224" t="s">
        <v>1213</v>
      </c>
      <c r="B251" s="50">
        <v>1</v>
      </c>
    </row>
    <row r="252" spans="1:2" x14ac:dyDescent="0.25">
      <c r="A252" s="225" t="s">
        <v>1211</v>
      </c>
      <c r="B252" s="50">
        <v>1</v>
      </c>
    </row>
    <row r="253" spans="1:2" x14ac:dyDescent="0.25">
      <c r="A253" s="1" t="s">
        <v>998</v>
      </c>
      <c r="B253" s="50">
        <v>1</v>
      </c>
    </row>
    <row r="254" spans="1:2" x14ac:dyDescent="0.25">
      <c r="A254" s="224" t="s">
        <v>711</v>
      </c>
      <c r="B254" s="50">
        <v>1</v>
      </c>
    </row>
    <row r="255" spans="1:2" x14ac:dyDescent="0.25">
      <c r="A255" s="225">
        <v>357</v>
      </c>
      <c r="B255" s="50">
        <v>1</v>
      </c>
    </row>
    <row r="256" spans="1:2" x14ac:dyDescent="0.25">
      <c r="A256" s="1" t="s">
        <v>1396</v>
      </c>
      <c r="B256" s="50">
        <v>1</v>
      </c>
    </row>
    <row r="257" spans="1:2" x14ac:dyDescent="0.25">
      <c r="A257" s="224" t="s">
        <v>290</v>
      </c>
      <c r="B257" s="50">
        <v>1</v>
      </c>
    </row>
    <row r="258" spans="1:2" x14ac:dyDescent="0.25">
      <c r="A258" s="225" t="s">
        <v>1395</v>
      </c>
      <c r="B258" s="50">
        <v>1</v>
      </c>
    </row>
    <row r="259" spans="1:2" x14ac:dyDescent="0.25">
      <c r="A259" s="1" t="s">
        <v>458</v>
      </c>
      <c r="B259" s="50">
        <v>1</v>
      </c>
    </row>
    <row r="260" spans="1:2" x14ac:dyDescent="0.25">
      <c r="A260" s="224" t="s">
        <v>459</v>
      </c>
      <c r="B260" s="50">
        <v>1</v>
      </c>
    </row>
    <row r="261" spans="1:2" x14ac:dyDescent="0.25">
      <c r="A261" s="225">
        <v>128</v>
      </c>
      <c r="B261" s="50">
        <v>1</v>
      </c>
    </row>
    <row r="262" spans="1:2" x14ac:dyDescent="0.25">
      <c r="A262" s="1" t="s">
        <v>1043</v>
      </c>
      <c r="B262" s="50">
        <v>1</v>
      </c>
    </row>
    <row r="263" spans="1:2" x14ac:dyDescent="0.25">
      <c r="A263" s="224" t="s">
        <v>1044</v>
      </c>
      <c r="B263" s="50">
        <v>1</v>
      </c>
    </row>
    <row r="264" spans="1:2" x14ac:dyDescent="0.25">
      <c r="A264" s="225" t="s">
        <v>1042</v>
      </c>
      <c r="B264" s="50">
        <v>1</v>
      </c>
    </row>
    <row r="265" spans="1:2" x14ac:dyDescent="0.25">
      <c r="A265" s="1" t="s">
        <v>1403</v>
      </c>
      <c r="B265" s="50">
        <v>1</v>
      </c>
    </row>
    <row r="266" spans="1:2" x14ac:dyDescent="0.25">
      <c r="A266" s="224" t="s">
        <v>1404</v>
      </c>
      <c r="B266" s="50">
        <v>1</v>
      </c>
    </row>
    <row r="267" spans="1:2" x14ac:dyDescent="0.25">
      <c r="A267" s="225" t="s">
        <v>1402</v>
      </c>
      <c r="B267" s="50">
        <v>1</v>
      </c>
    </row>
    <row r="268" spans="1:2" x14ac:dyDescent="0.25">
      <c r="A268" s="1" t="s">
        <v>1543</v>
      </c>
      <c r="B268" s="50">
        <v>1</v>
      </c>
    </row>
    <row r="269" spans="1:2" x14ac:dyDescent="0.25">
      <c r="A269" s="224" t="s">
        <v>1159</v>
      </c>
      <c r="B269" s="50">
        <v>1</v>
      </c>
    </row>
    <row r="270" spans="1:2" x14ac:dyDescent="0.25">
      <c r="A270" s="225" t="s">
        <v>1542</v>
      </c>
      <c r="B270" s="50">
        <v>1</v>
      </c>
    </row>
    <row r="271" spans="1:2" x14ac:dyDescent="0.25">
      <c r="A271" s="1" t="s">
        <v>1081</v>
      </c>
      <c r="B271" s="50">
        <v>1</v>
      </c>
    </row>
    <row r="272" spans="1:2" x14ac:dyDescent="0.25">
      <c r="A272" s="224" t="s">
        <v>836</v>
      </c>
      <c r="B272" s="50">
        <v>1</v>
      </c>
    </row>
    <row r="273" spans="1:2" x14ac:dyDescent="0.25">
      <c r="A273" s="225" t="s">
        <v>1080</v>
      </c>
      <c r="B273" s="50">
        <v>1</v>
      </c>
    </row>
    <row r="274" spans="1:2" x14ac:dyDescent="0.25">
      <c r="A274" s="1" t="s">
        <v>1038</v>
      </c>
      <c r="B274" s="50">
        <v>1</v>
      </c>
    </row>
    <row r="275" spans="1:2" x14ac:dyDescent="0.25">
      <c r="A275" s="224" t="s">
        <v>1039</v>
      </c>
      <c r="B275" s="50">
        <v>1</v>
      </c>
    </row>
    <row r="276" spans="1:2" x14ac:dyDescent="0.25">
      <c r="A276" s="225" t="s">
        <v>1037</v>
      </c>
      <c r="B276" s="50">
        <v>1</v>
      </c>
    </row>
    <row r="277" spans="1:2" x14ac:dyDescent="0.25">
      <c r="A277" s="1" t="s">
        <v>596</v>
      </c>
      <c r="B277" s="50">
        <v>1</v>
      </c>
    </row>
    <row r="278" spans="1:2" x14ac:dyDescent="0.25">
      <c r="A278" s="224" t="s">
        <v>597</v>
      </c>
      <c r="B278" s="50">
        <v>1</v>
      </c>
    </row>
    <row r="279" spans="1:2" x14ac:dyDescent="0.25">
      <c r="A279" s="225">
        <v>175</v>
      </c>
      <c r="B279" s="50">
        <v>1</v>
      </c>
    </row>
    <row r="280" spans="1:2" x14ac:dyDescent="0.25">
      <c r="A280" s="1" t="s">
        <v>889</v>
      </c>
      <c r="B280" s="50">
        <v>2</v>
      </c>
    </row>
    <row r="281" spans="1:2" x14ac:dyDescent="0.25">
      <c r="A281" s="224" t="s">
        <v>890</v>
      </c>
      <c r="B281" s="50">
        <v>2</v>
      </c>
    </row>
    <row r="282" spans="1:2" x14ac:dyDescent="0.25">
      <c r="A282" s="225">
        <v>323</v>
      </c>
      <c r="B282" s="50">
        <v>1</v>
      </c>
    </row>
    <row r="283" spans="1:2" x14ac:dyDescent="0.25">
      <c r="A283" s="225">
        <v>492</v>
      </c>
      <c r="B283" s="50">
        <v>1</v>
      </c>
    </row>
    <row r="284" spans="1:2" x14ac:dyDescent="0.25">
      <c r="A284" s="1" t="s">
        <v>568</v>
      </c>
      <c r="B284" s="50">
        <v>2</v>
      </c>
    </row>
    <row r="285" spans="1:2" x14ac:dyDescent="0.25">
      <c r="A285" s="224" t="s">
        <v>569</v>
      </c>
      <c r="B285" s="50">
        <v>2</v>
      </c>
    </row>
    <row r="286" spans="1:2" x14ac:dyDescent="0.25">
      <c r="A286" s="225">
        <v>160</v>
      </c>
      <c r="B286" s="50">
        <v>1</v>
      </c>
    </row>
    <row r="287" spans="1:2" x14ac:dyDescent="0.25">
      <c r="A287" s="225" t="s">
        <v>1054</v>
      </c>
      <c r="B287" s="50">
        <v>1</v>
      </c>
    </row>
    <row r="288" spans="1:2" x14ac:dyDescent="0.25">
      <c r="A288" s="1" t="s">
        <v>1352</v>
      </c>
      <c r="B288" s="50">
        <v>1</v>
      </c>
    </row>
    <row r="289" spans="1:2" x14ac:dyDescent="0.25">
      <c r="A289" s="224" t="s">
        <v>1353</v>
      </c>
      <c r="B289" s="50">
        <v>1</v>
      </c>
    </row>
    <row r="290" spans="1:2" x14ac:dyDescent="0.25">
      <c r="A290" s="225">
        <v>420</v>
      </c>
      <c r="B290" s="50">
        <v>1</v>
      </c>
    </row>
    <row r="291" spans="1:2" x14ac:dyDescent="0.25">
      <c r="A291" s="1" t="s">
        <v>851</v>
      </c>
      <c r="B291" s="50">
        <v>1</v>
      </c>
    </row>
    <row r="292" spans="1:2" x14ac:dyDescent="0.25">
      <c r="A292" s="224" t="s">
        <v>852</v>
      </c>
      <c r="B292" s="50">
        <v>1</v>
      </c>
    </row>
    <row r="293" spans="1:2" x14ac:dyDescent="0.25">
      <c r="A293" s="225">
        <v>313</v>
      </c>
      <c r="B293" s="50">
        <v>1</v>
      </c>
    </row>
    <row r="294" spans="1:2" x14ac:dyDescent="0.25">
      <c r="A294" s="1" t="s">
        <v>799</v>
      </c>
      <c r="B294" s="50">
        <v>2</v>
      </c>
    </row>
    <row r="295" spans="1:2" x14ac:dyDescent="0.25">
      <c r="A295" s="224" t="s">
        <v>800</v>
      </c>
      <c r="B295" s="50">
        <v>2</v>
      </c>
    </row>
    <row r="296" spans="1:2" x14ac:dyDescent="0.25">
      <c r="A296" s="225">
        <v>281</v>
      </c>
      <c r="B296" s="50">
        <v>1</v>
      </c>
    </row>
    <row r="297" spans="1:2" x14ac:dyDescent="0.25">
      <c r="A297" s="225">
        <v>352</v>
      </c>
      <c r="B297" s="50">
        <v>1</v>
      </c>
    </row>
    <row r="298" spans="1:2" x14ac:dyDescent="0.25">
      <c r="A298" s="1" t="s">
        <v>729</v>
      </c>
      <c r="B298" s="50">
        <v>1</v>
      </c>
    </row>
    <row r="299" spans="1:2" x14ac:dyDescent="0.25">
      <c r="A299" s="224" t="s">
        <v>730</v>
      </c>
      <c r="B299" s="50">
        <v>1</v>
      </c>
    </row>
    <row r="300" spans="1:2" x14ac:dyDescent="0.25">
      <c r="A300" s="225">
        <v>243</v>
      </c>
      <c r="B300" s="50">
        <v>1</v>
      </c>
    </row>
    <row r="301" spans="1:2" x14ac:dyDescent="0.25">
      <c r="A301" s="1" t="s">
        <v>1050</v>
      </c>
      <c r="B301" s="50">
        <v>1</v>
      </c>
    </row>
    <row r="302" spans="1:2" x14ac:dyDescent="0.25">
      <c r="A302" s="224" t="s">
        <v>1051</v>
      </c>
      <c r="B302" s="50">
        <v>1</v>
      </c>
    </row>
    <row r="303" spans="1:2" x14ac:dyDescent="0.25">
      <c r="A303" s="225" t="s">
        <v>1049</v>
      </c>
      <c r="B303" s="50">
        <v>1</v>
      </c>
    </row>
    <row r="304" spans="1:2" x14ac:dyDescent="0.25">
      <c r="A304" s="1" t="s">
        <v>1805</v>
      </c>
      <c r="B304" s="50">
        <v>1</v>
      </c>
    </row>
    <row r="305" spans="1:2" x14ac:dyDescent="0.25">
      <c r="A305" s="224" t="s">
        <v>1806</v>
      </c>
      <c r="B305" s="50">
        <v>1</v>
      </c>
    </row>
    <row r="306" spans="1:2" x14ac:dyDescent="0.25">
      <c r="A306" s="225">
        <v>509</v>
      </c>
      <c r="B306" s="50">
        <v>1</v>
      </c>
    </row>
    <row r="307" spans="1:2" x14ac:dyDescent="0.25">
      <c r="A307" s="1" t="s">
        <v>660</v>
      </c>
      <c r="B307" s="50">
        <v>1</v>
      </c>
    </row>
    <row r="308" spans="1:2" x14ac:dyDescent="0.25">
      <c r="A308" s="224" t="s">
        <v>661</v>
      </c>
      <c r="B308" s="50">
        <v>1</v>
      </c>
    </row>
    <row r="309" spans="1:2" x14ac:dyDescent="0.25">
      <c r="A309" s="225">
        <v>221</v>
      </c>
      <c r="B309" s="50">
        <v>1</v>
      </c>
    </row>
    <row r="310" spans="1:2" x14ac:dyDescent="0.25">
      <c r="A310" s="1" t="s">
        <v>427</v>
      </c>
      <c r="B310" s="50">
        <v>2</v>
      </c>
    </row>
    <row r="311" spans="1:2" x14ac:dyDescent="0.25">
      <c r="A311" s="224" t="s">
        <v>428</v>
      </c>
      <c r="B311" s="50">
        <v>2</v>
      </c>
    </row>
    <row r="312" spans="1:2" x14ac:dyDescent="0.25">
      <c r="A312" s="225">
        <v>116</v>
      </c>
      <c r="B312" s="50">
        <v>1</v>
      </c>
    </row>
    <row r="313" spans="1:2" x14ac:dyDescent="0.25">
      <c r="A313" s="225" t="s">
        <v>668</v>
      </c>
      <c r="B313" s="50">
        <v>1</v>
      </c>
    </row>
    <row r="314" spans="1:2" x14ac:dyDescent="0.25">
      <c r="A314" s="1" t="s">
        <v>490</v>
      </c>
      <c r="B314" s="50">
        <v>2</v>
      </c>
    </row>
    <row r="315" spans="1:2" x14ac:dyDescent="0.25">
      <c r="A315" s="224" t="s">
        <v>491</v>
      </c>
      <c r="B315" s="50">
        <v>2</v>
      </c>
    </row>
    <row r="316" spans="1:2" x14ac:dyDescent="0.25">
      <c r="A316" s="225">
        <v>136</v>
      </c>
      <c r="B316" s="50">
        <v>1</v>
      </c>
    </row>
    <row r="317" spans="1:2" x14ac:dyDescent="0.25">
      <c r="A317" s="225">
        <v>469</v>
      </c>
      <c r="B317" s="50">
        <v>1</v>
      </c>
    </row>
    <row r="318" spans="1:2" x14ac:dyDescent="0.25">
      <c r="A318" s="1" t="s">
        <v>1294</v>
      </c>
      <c r="B318" s="50">
        <v>1</v>
      </c>
    </row>
    <row r="319" spans="1:2" x14ac:dyDescent="0.25">
      <c r="A319" s="224" t="s">
        <v>1295</v>
      </c>
      <c r="B319" s="50">
        <v>1</v>
      </c>
    </row>
    <row r="320" spans="1:2" x14ac:dyDescent="0.25">
      <c r="A320" s="225">
        <v>405</v>
      </c>
      <c r="B320" s="50">
        <v>1</v>
      </c>
    </row>
    <row r="321" spans="1:2" x14ac:dyDescent="0.25">
      <c r="A321" s="1" t="s">
        <v>289</v>
      </c>
      <c r="B321" s="50">
        <v>2</v>
      </c>
    </row>
    <row r="322" spans="1:2" x14ac:dyDescent="0.25">
      <c r="A322" s="224" t="s">
        <v>290</v>
      </c>
      <c r="B322" s="50">
        <v>2</v>
      </c>
    </row>
    <row r="323" spans="1:2" x14ac:dyDescent="0.25">
      <c r="A323" s="225" t="s">
        <v>288</v>
      </c>
      <c r="B323" s="50">
        <v>1</v>
      </c>
    </row>
    <row r="324" spans="1:2" x14ac:dyDescent="0.25">
      <c r="A324" s="225" t="s">
        <v>975</v>
      </c>
      <c r="B324" s="50">
        <v>1</v>
      </c>
    </row>
    <row r="325" spans="1:2" x14ac:dyDescent="0.25">
      <c r="A325" s="1" t="s">
        <v>1347</v>
      </c>
      <c r="B325" s="50">
        <v>1</v>
      </c>
    </row>
    <row r="326" spans="1:2" x14ac:dyDescent="0.25">
      <c r="A326" s="224" t="s">
        <v>1169</v>
      </c>
      <c r="B326" s="50">
        <v>1</v>
      </c>
    </row>
    <row r="327" spans="1:2" x14ac:dyDescent="0.25">
      <c r="A327" s="225">
        <v>419</v>
      </c>
      <c r="B327" s="50">
        <v>1</v>
      </c>
    </row>
    <row r="328" spans="1:2" x14ac:dyDescent="0.25">
      <c r="A328" s="1" t="s">
        <v>1168</v>
      </c>
      <c r="B328" s="50">
        <v>1</v>
      </c>
    </row>
    <row r="329" spans="1:2" x14ac:dyDescent="0.25">
      <c r="A329" s="224" t="s">
        <v>1169</v>
      </c>
      <c r="B329" s="50">
        <v>1</v>
      </c>
    </row>
    <row r="330" spans="1:2" x14ac:dyDescent="0.25">
      <c r="A330" s="225">
        <v>397</v>
      </c>
      <c r="B330" s="50">
        <v>1</v>
      </c>
    </row>
    <row r="331" spans="1:2" x14ac:dyDescent="0.25">
      <c r="A331" s="1" t="s">
        <v>678</v>
      </c>
      <c r="B331" s="50">
        <v>1</v>
      </c>
    </row>
    <row r="332" spans="1:2" x14ac:dyDescent="0.25">
      <c r="A332" s="224" t="s">
        <v>679</v>
      </c>
      <c r="B332" s="50">
        <v>1</v>
      </c>
    </row>
    <row r="333" spans="1:2" x14ac:dyDescent="0.25">
      <c r="A333" s="225" t="s">
        <v>676</v>
      </c>
      <c r="B333" s="50">
        <v>1</v>
      </c>
    </row>
    <row r="334" spans="1:2" x14ac:dyDescent="0.25">
      <c r="A334" s="1" t="s">
        <v>1255</v>
      </c>
      <c r="B334" s="50">
        <v>1</v>
      </c>
    </row>
    <row r="335" spans="1:2" x14ac:dyDescent="0.25">
      <c r="A335" s="224" t="s">
        <v>1256</v>
      </c>
      <c r="B335" s="50">
        <v>1</v>
      </c>
    </row>
    <row r="336" spans="1:2" x14ac:dyDescent="0.25">
      <c r="A336" s="225" t="s">
        <v>1254</v>
      </c>
      <c r="B336" s="50">
        <v>1</v>
      </c>
    </row>
    <row r="337" spans="1:2" x14ac:dyDescent="0.25">
      <c r="A337" s="1" t="s">
        <v>1073</v>
      </c>
      <c r="B337" s="50">
        <v>1</v>
      </c>
    </row>
    <row r="338" spans="1:2" x14ac:dyDescent="0.25">
      <c r="A338" s="224" t="s">
        <v>759</v>
      </c>
      <c r="B338" s="50">
        <v>1</v>
      </c>
    </row>
    <row r="339" spans="1:2" x14ac:dyDescent="0.25">
      <c r="A339" s="225" t="s">
        <v>1072</v>
      </c>
      <c r="B339" s="50">
        <v>1</v>
      </c>
    </row>
    <row r="340" spans="1:2" x14ac:dyDescent="0.25">
      <c r="A340" s="1" t="s">
        <v>758</v>
      </c>
      <c r="B340" s="50">
        <v>2</v>
      </c>
    </row>
    <row r="341" spans="1:2" x14ac:dyDescent="0.25">
      <c r="A341" s="224" t="s">
        <v>759</v>
      </c>
      <c r="B341" s="50">
        <v>2</v>
      </c>
    </row>
    <row r="342" spans="1:2" x14ac:dyDescent="0.25">
      <c r="A342" s="225">
        <v>264</v>
      </c>
      <c r="B342" s="50">
        <v>1</v>
      </c>
    </row>
    <row r="343" spans="1:2" x14ac:dyDescent="0.25">
      <c r="A343" s="225" t="s">
        <v>1388</v>
      </c>
      <c r="B343" s="50">
        <v>1</v>
      </c>
    </row>
    <row r="344" spans="1:2" x14ac:dyDescent="0.25">
      <c r="A344" s="1" t="s">
        <v>452</v>
      </c>
      <c r="B344" s="50">
        <v>1</v>
      </c>
    </row>
    <row r="345" spans="1:2" x14ac:dyDescent="0.25">
      <c r="A345" s="224" t="s">
        <v>453</v>
      </c>
      <c r="B345" s="50">
        <v>1</v>
      </c>
    </row>
    <row r="346" spans="1:2" x14ac:dyDescent="0.25">
      <c r="A346" s="225">
        <v>127</v>
      </c>
      <c r="B346" s="50">
        <v>1</v>
      </c>
    </row>
    <row r="347" spans="1:2" x14ac:dyDescent="0.25">
      <c r="A347" s="1" t="s">
        <v>365</v>
      </c>
      <c r="B347" s="50">
        <v>1</v>
      </c>
    </row>
    <row r="348" spans="1:2" x14ac:dyDescent="0.25">
      <c r="A348" s="224" t="s">
        <v>366</v>
      </c>
      <c r="B348" s="50">
        <v>1</v>
      </c>
    </row>
    <row r="349" spans="1:2" x14ac:dyDescent="0.25">
      <c r="A349" s="225" t="s">
        <v>364</v>
      </c>
      <c r="B349" s="50">
        <v>1</v>
      </c>
    </row>
    <row r="350" spans="1:2" x14ac:dyDescent="0.25">
      <c r="A350" s="1" t="s">
        <v>796</v>
      </c>
      <c r="B350" s="50">
        <v>1</v>
      </c>
    </row>
    <row r="351" spans="1:2" x14ac:dyDescent="0.25">
      <c r="A351" s="224" t="s">
        <v>797</v>
      </c>
      <c r="B351" s="50">
        <v>1</v>
      </c>
    </row>
    <row r="352" spans="1:2" x14ac:dyDescent="0.25">
      <c r="A352" s="225">
        <v>280</v>
      </c>
      <c r="B352" s="50">
        <v>1</v>
      </c>
    </row>
    <row r="353" spans="1:2" x14ac:dyDescent="0.25">
      <c r="A353" s="1" t="s">
        <v>1239</v>
      </c>
      <c r="B353" s="50">
        <v>3</v>
      </c>
    </row>
    <row r="354" spans="1:2" x14ac:dyDescent="0.25">
      <c r="A354" s="224" t="s">
        <v>1240</v>
      </c>
      <c r="B354" s="50">
        <v>3</v>
      </c>
    </row>
    <row r="355" spans="1:2" x14ac:dyDescent="0.25">
      <c r="A355" s="225">
        <v>484</v>
      </c>
      <c r="B355" s="50">
        <v>1</v>
      </c>
    </row>
    <row r="356" spans="1:2" x14ac:dyDescent="0.25">
      <c r="A356" s="225" t="s">
        <v>1238</v>
      </c>
      <c r="B356" s="50">
        <v>1</v>
      </c>
    </row>
    <row r="357" spans="1:2" x14ac:dyDescent="0.25">
      <c r="A357" s="225" t="s">
        <v>1562</v>
      </c>
      <c r="B357" s="50">
        <v>1</v>
      </c>
    </row>
    <row r="358" spans="1:2" x14ac:dyDescent="0.25">
      <c r="A358" s="1" t="s">
        <v>1812</v>
      </c>
      <c r="B358" s="50">
        <v>1</v>
      </c>
    </row>
    <row r="359" spans="1:2" x14ac:dyDescent="0.25">
      <c r="A359" s="224" t="s">
        <v>1813</v>
      </c>
      <c r="B359" s="50">
        <v>1</v>
      </c>
    </row>
    <row r="360" spans="1:2" x14ac:dyDescent="0.25">
      <c r="A360" s="225">
        <v>521</v>
      </c>
      <c r="B360" s="50">
        <v>1</v>
      </c>
    </row>
    <row r="361" spans="1:2" x14ac:dyDescent="0.25">
      <c r="A361" s="1" t="s">
        <v>1281</v>
      </c>
      <c r="B361" s="50">
        <v>2</v>
      </c>
    </row>
    <row r="362" spans="1:2" x14ac:dyDescent="0.25">
      <c r="A362" s="224" t="s">
        <v>1282</v>
      </c>
      <c r="B362" s="50">
        <v>2</v>
      </c>
    </row>
    <row r="363" spans="1:2" x14ac:dyDescent="0.25">
      <c r="A363" s="225">
        <v>403</v>
      </c>
      <c r="B363" s="50">
        <v>1</v>
      </c>
    </row>
    <row r="364" spans="1:2" x14ac:dyDescent="0.25">
      <c r="A364" s="225">
        <v>524</v>
      </c>
      <c r="B364" s="50">
        <v>1</v>
      </c>
    </row>
    <row r="365" spans="1:2" x14ac:dyDescent="0.25">
      <c r="A365" s="1" t="s">
        <v>1222</v>
      </c>
      <c r="B365" s="50">
        <v>1</v>
      </c>
    </row>
    <row r="366" spans="1:2" x14ac:dyDescent="0.25">
      <c r="A366" s="224" t="s">
        <v>1223</v>
      </c>
      <c r="B366" s="50">
        <v>1</v>
      </c>
    </row>
    <row r="367" spans="1:2" x14ac:dyDescent="0.25">
      <c r="A367" s="225" t="s">
        <v>1221</v>
      </c>
      <c r="B367" s="50">
        <v>1</v>
      </c>
    </row>
    <row r="368" spans="1:2" x14ac:dyDescent="0.25">
      <c r="A368" s="1" t="s">
        <v>1499</v>
      </c>
      <c r="B368" s="50">
        <v>1</v>
      </c>
    </row>
    <row r="369" spans="1:2" x14ac:dyDescent="0.25">
      <c r="A369" s="224" t="s">
        <v>1500</v>
      </c>
      <c r="B369" s="50">
        <v>1</v>
      </c>
    </row>
    <row r="370" spans="1:2" x14ac:dyDescent="0.25">
      <c r="A370" s="225">
        <v>459</v>
      </c>
      <c r="B370" s="50">
        <v>1</v>
      </c>
    </row>
    <row r="371" spans="1:2" x14ac:dyDescent="0.25">
      <c r="A371" s="1" t="s">
        <v>1104</v>
      </c>
      <c r="B371" s="50">
        <v>1</v>
      </c>
    </row>
    <row r="372" spans="1:2" x14ac:dyDescent="0.25">
      <c r="A372" s="224" t="s">
        <v>1105</v>
      </c>
      <c r="B372" s="50">
        <v>1</v>
      </c>
    </row>
    <row r="373" spans="1:2" x14ac:dyDescent="0.25">
      <c r="A373" s="225" t="s">
        <v>1103</v>
      </c>
      <c r="B373" s="50">
        <v>1</v>
      </c>
    </row>
    <row r="374" spans="1:2" x14ac:dyDescent="0.25">
      <c r="A374" s="1" t="s">
        <v>512</v>
      </c>
      <c r="B374" s="50">
        <v>4</v>
      </c>
    </row>
    <row r="375" spans="1:2" x14ac:dyDescent="0.25">
      <c r="A375" s="224" t="s">
        <v>513</v>
      </c>
      <c r="B375" s="50">
        <v>4</v>
      </c>
    </row>
    <row r="376" spans="1:2" x14ac:dyDescent="0.25">
      <c r="A376" s="225">
        <v>141</v>
      </c>
      <c r="B376" s="50">
        <v>1</v>
      </c>
    </row>
    <row r="377" spans="1:2" x14ac:dyDescent="0.25">
      <c r="A377" s="225">
        <v>399</v>
      </c>
      <c r="B377" s="50">
        <v>1</v>
      </c>
    </row>
    <row r="378" spans="1:2" x14ac:dyDescent="0.25">
      <c r="A378" s="225" t="s">
        <v>972</v>
      </c>
      <c r="B378" s="50">
        <v>1</v>
      </c>
    </row>
    <row r="379" spans="1:2" x14ac:dyDescent="0.25">
      <c r="A379" s="225" t="s">
        <v>1578</v>
      </c>
      <c r="B379" s="50">
        <v>1</v>
      </c>
    </row>
    <row r="380" spans="1:2" x14ac:dyDescent="0.25">
      <c r="A380" s="1" t="s">
        <v>1580</v>
      </c>
      <c r="B380" s="50">
        <v>1</v>
      </c>
    </row>
    <row r="381" spans="1:2" x14ac:dyDescent="0.25">
      <c r="A381" s="224" t="s">
        <v>290</v>
      </c>
      <c r="B381" s="50">
        <v>1</v>
      </c>
    </row>
    <row r="382" spans="1:2" x14ac:dyDescent="0.25">
      <c r="A382" s="225" t="s">
        <v>1579</v>
      </c>
      <c r="B382" s="50">
        <v>1</v>
      </c>
    </row>
    <row r="383" spans="1:2" x14ac:dyDescent="0.25">
      <c r="A383" s="1" t="s">
        <v>1438</v>
      </c>
      <c r="B383" s="50">
        <v>1</v>
      </c>
    </row>
    <row r="384" spans="1:2" x14ac:dyDescent="0.25">
      <c r="A384" s="224" t="s">
        <v>1439</v>
      </c>
      <c r="B384" s="50">
        <v>1</v>
      </c>
    </row>
    <row r="385" spans="1:2" x14ac:dyDescent="0.25">
      <c r="A385" s="225">
        <v>438</v>
      </c>
      <c r="B385" s="50">
        <v>1</v>
      </c>
    </row>
    <row r="386" spans="1:2" x14ac:dyDescent="0.25">
      <c r="A386" s="1" t="s">
        <v>1026</v>
      </c>
      <c r="B386" s="50">
        <v>2</v>
      </c>
    </row>
    <row r="387" spans="1:2" x14ac:dyDescent="0.25">
      <c r="A387" s="224" t="s">
        <v>1027</v>
      </c>
      <c r="B387" s="50">
        <v>2</v>
      </c>
    </row>
    <row r="388" spans="1:2" x14ac:dyDescent="0.25">
      <c r="A388" s="225">
        <v>370</v>
      </c>
      <c r="B388" s="50">
        <v>1</v>
      </c>
    </row>
    <row r="389" spans="1:2" x14ac:dyDescent="0.25">
      <c r="A389" s="225" t="s">
        <v>1226</v>
      </c>
      <c r="B389" s="50">
        <v>1</v>
      </c>
    </row>
    <row r="390" spans="1:2" x14ac:dyDescent="0.25">
      <c r="A390" s="1" t="s">
        <v>1022</v>
      </c>
      <c r="B390" s="50">
        <v>1</v>
      </c>
    </row>
    <row r="391" spans="1:2" x14ac:dyDescent="0.25">
      <c r="A391" s="224" t="s">
        <v>1023</v>
      </c>
      <c r="B391" s="50">
        <v>1</v>
      </c>
    </row>
    <row r="392" spans="1:2" x14ac:dyDescent="0.25">
      <c r="A392" s="225">
        <v>366</v>
      </c>
      <c r="B392" s="50">
        <v>1</v>
      </c>
    </row>
    <row r="393" spans="1:2" x14ac:dyDescent="0.25">
      <c r="A393" s="1" t="s">
        <v>1673</v>
      </c>
      <c r="B393" s="50">
        <v>1</v>
      </c>
    </row>
    <row r="394" spans="1:2" x14ac:dyDescent="0.25">
      <c r="A394" s="224" t="s">
        <v>1674</v>
      </c>
      <c r="B394" s="50">
        <v>1</v>
      </c>
    </row>
    <row r="395" spans="1:2" x14ac:dyDescent="0.25">
      <c r="A395" s="225" t="s">
        <v>1672</v>
      </c>
      <c r="B395" s="50">
        <v>1</v>
      </c>
    </row>
    <row r="396" spans="1:2" x14ac:dyDescent="0.25">
      <c r="A396" s="1" t="s">
        <v>822</v>
      </c>
      <c r="B396" s="50">
        <v>1</v>
      </c>
    </row>
    <row r="397" spans="1:2" x14ac:dyDescent="0.25">
      <c r="A397" s="224" t="s">
        <v>823</v>
      </c>
      <c r="B397" s="50">
        <v>1</v>
      </c>
    </row>
    <row r="398" spans="1:2" x14ac:dyDescent="0.25">
      <c r="A398" s="225">
        <v>296</v>
      </c>
      <c r="B398" s="50">
        <v>1</v>
      </c>
    </row>
    <row r="399" spans="1:2" x14ac:dyDescent="0.25">
      <c r="A399" s="1" t="s">
        <v>1261</v>
      </c>
      <c r="B399" s="50">
        <v>1</v>
      </c>
    </row>
    <row r="400" spans="1:2" x14ac:dyDescent="0.25">
      <c r="A400" s="224" t="s">
        <v>1262</v>
      </c>
      <c r="B400" s="50">
        <v>1</v>
      </c>
    </row>
    <row r="401" spans="1:2" x14ac:dyDescent="0.25">
      <c r="A401" s="225" t="s">
        <v>1260</v>
      </c>
      <c r="B401" s="50">
        <v>1</v>
      </c>
    </row>
    <row r="402" spans="1:2" x14ac:dyDescent="0.25">
      <c r="A402" s="1" t="s">
        <v>211</v>
      </c>
      <c r="B402" s="50">
        <v>3</v>
      </c>
    </row>
    <row r="403" spans="1:2" x14ac:dyDescent="0.25">
      <c r="A403" s="224" t="s">
        <v>212</v>
      </c>
      <c r="B403" s="50">
        <v>3</v>
      </c>
    </row>
    <row r="404" spans="1:2" x14ac:dyDescent="0.25">
      <c r="A404" s="225">
        <v>183</v>
      </c>
      <c r="B404" s="50">
        <v>1</v>
      </c>
    </row>
    <row r="405" spans="1:2" x14ac:dyDescent="0.25">
      <c r="A405" s="225" t="s">
        <v>209</v>
      </c>
      <c r="B405" s="50">
        <v>1</v>
      </c>
    </row>
    <row r="406" spans="1:2" x14ac:dyDescent="0.25">
      <c r="A406" s="225" t="s">
        <v>971</v>
      </c>
      <c r="B406" s="50">
        <v>1</v>
      </c>
    </row>
    <row r="407" spans="1:2" x14ac:dyDescent="0.25">
      <c r="A407" s="1" t="s">
        <v>1391</v>
      </c>
      <c r="B407" s="50">
        <v>1</v>
      </c>
    </row>
    <row r="408" spans="1:2" x14ac:dyDescent="0.25">
      <c r="A408" s="224" t="s">
        <v>1392</v>
      </c>
      <c r="B408" s="50">
        <v>1</v>
      </c>
    </row>
    <row r="409" spans="1:2" x14ac:dyDescent="0.25">
      <c r="A409" s="225" t="s">
        <v>1390</v>
      </c>
      <c r="B409" s="50">
        <v>1</v>
      </c>
    </row>
    <row r="410" spans="1:2" x14ac:dyDescent="0.25">
      <c r="A410" s="1" t="s">
        <v>772</v>
      </c>
      <c r="B410" s="50">
        <v>1</v>
      </c>
    </row>
    <row r="411" spans="1:2" x14ac:dyDescent="0.25">
      <c r="A411" s="224" t="s">
        <v>773</v>
      </c>
      <c r="B411" s="50">
        <v>1</v>
      </c>
    </row>
    <row r="412" spans="1:2" x14ac:dyDescent="0.25">
      <c r="A412" s="225">
        <v>272</v>
      </c>
      <c r="B412" s="50">
        <v>1</v>
      </c>
    </row>
    <row r="413" spans="1:2" x14ac:dyDescent="0.25">
      <c r="A413" s="1" t="s">
        <v>842</v>
      </c>
      <c r="B413" s="50">
        <v>3</v>
      </c>
    </row>
    <row r="414" spans="1:2" x14ac:dyDescent="0.25">
      <c r="A414" s="224" t="s">
        <v>843</v>
      </c>
      <c r="B414" s="50">
        <v>3</v>
      </c>
    </row>
    <row r="415" spans="1:2" x14ac:dyDescent="0.25">
      <c r="A415" s="225">
        <v>309</v>
      </c>
      <c r="B415" s="50">
        <v>1</v>
      </c>
    </row>
    <row r="416" spans="1:2" x14ac:dyDescent="0.25">
      <c r="A416" s="225" t="s">
        <v>1036</v>
      </c>
      <c r="B416" s="50">
        <v>1</v>
      </c>
    </row>
    <row r="417" spans="1:2" x14ac:dyDescent="0.25">
      <c r="A417" s="225" t="s">
        <v>1229</v>
      </c>
      <c r="B417" s="50">
        <v>1</v>
      </c>
    </row>
    <row r="418" spans="1:2" x14ac:dyDescent="0.25">
      <c r="A418" s="1" t="s">
        <v>631</v>
      </c>
      <c r="B418" s="50">
        <v>1</v>
      </c>
    </row>
    <row r="419" spans="1:2" x14ac:dyDescent="0.25">
      <c r="A419" s="224" t="s">
        <v>632</v>
      </c>
      <c r="B419" s="50">
        <v>1</v>
      </c>
    </row>
    <row r="420" spans="1:2" x14ac:dyDescent="0.25">
      <c r="A420" s="225" t="s">
        <v>630</v>
      </c>
      <c r="B420" s="50">
        <v>1</v>
      </c>
    </row>
    <row r="421" spans="1:2" x14ac:dyDescent="0.25">
      <c r="A421" s="1" t="s">
        <v>1536</v>
      </c>
      <c r="B421" s="50">
        <v>3</v>
      </c>
    </row>
    <row r="422" spans="1:2" x14ac:dyDescent="0.25">
      <c r="A422" s="224" t="s">
        <v>827</v>
      </c>
      <c r="B422" s="50">
        <v>3</v>
      </c>
    </row>
    <row r="423" spans="1:2" x14ac:dyDescent="0.25">
      <c r="A423" s="225" t="s">
        <v>1535</v>
      </c>
      <c r="B423" s="50">
        <v>1</v>
      </c>
    </row>
    <row r="424" spans="1:2" x14ac:dyDescent="0.25">
      <c r="A424" s="225" t="s">
        <v>1554</v>
      </c>
      <c r="B424" s="50">
        <v>1</v>
      </c>
    </row>
    <row r="425" spans="1:2" x14ac:dyDescent="0.25">
      <c r="A425" s="225" t="s">
        <v>2111</v>
      </c>
      <c r="B425" s="50">
        <v>1</v>
      </c>
    </row>
    <row r="426" spans="1:2" x14ac:dyDescent="0.25">
      <c r="A426" s="1" t="s">
        <v>826</v>
      </c>
      <c r="B426" s="50">
        <v>4</v>
      </c>
    </row>
    <row r="427" spans="1:2" x14ac:dyDescent="0.25">
      <c r="A427" s="224" t="s">
        <v>827</v>
      </c>
      <c r="B427" s="50">
        <v>4</v>
      </c>
    </row>
    <row r="428" spans="1:2" x14ac:dyDescent="0.25">
      <c r="A428" s="225">
        <v>300</v>
      </c>
      <c r="B428" s="50">
        <v>1</v>
      </c>
    </row>
    <row r="429" spans="1:2" x14ac:dyDescent="0.25">
      <c r="A429" s="225">
        <v>347</v>
      </c>
      <c r="B429" s="50">
        <v>1</v>
      </c>
    </row>
    <row r="430" spans="1:2" x14ac:dyDescent="0.25">
      <c r="A430" s="225" t="s">
        <v>1214</v>
      </c>
      <c r="B430" s="50">
        <v>1</v>
      </c>
    </row>
    <row r="431" spans="1:2" x14ac:dyDescent="0.25">
      <c r="A431" s="225" t="s">
        <v>2022</v>
      </c>
      <c r="B431" s="50">
        <v>1</v>
      </c>
    </row>
    <row r="432" spans="1:2" x14ac:dyDescent="0.25">
      <c r="A432" s="1" t="s">
        <v>938</v>
      </c>
      <c r="B432" s="50">
        <v>1</v>
      </c>
    </row>
    <row r="433" spans="1:2" x14ac:dyDescent="0.25">
      <c r="A433" s="224" t="s">
        <v>939</v>
      </c>
      <c r="B433" s="50">
        <v>1</v>
      </c>
    </row>
    <row r="434" spans="1:2" x14ac:dyDescent="0.25">
      <c r="A434" s="225">
        <v>339</v>
      </c>
      <c r="B434" s="50">
        <v>1</v>
      </c>
    </row>
    <row r="435" spans="1:2" x14ac:dyDescent="0.25">
      <c r="A435" s="1" t="s">
        <v>556</v>
      </c>
      <c r="B435" s="50">
        <v>1</v>
      </c>
    </row>
    <row r="436" spans="1:2" x14ac:dyDescent="0.25">
      <c r="A436" s="224" t="s">
        <v>557</v>
      </c>
      <c r="B436" s="50">
        <v>1</v>
      </c>
    </row>
    <row r="437" spans="1:2" x14ac:dyDescent="0.25">
      <c r="A437" s="225">
        <v>156</v>
      </c>
      <c r="B437" s="50">
        <v>1</v>
      </c>
    </row>
    <row r="438" spans="1:2" x14ac:dyDescent="0.25">
      <c r="A438" s="1" t="s">
        <v>1067</v>
      </c>
      <c r="B438" s="50">
        <v>1</v>
      </c>
    </row>
    <row r="439" spans="1:2" x14ac:dyDescent="0.25">
      <c r="A439" s="224" t="s">
        <v>479</v>
      </c>
      <c r="B439" s="50">
        <v>1</v>
      </c>
    </row>
    <row r="440" spans="1:2" x14ac:dyDescent="0.25">
      <c r="A440" s="225" t="s">
        <v>1066</v>
      </c>
      <c r="B440" s="50">
        <v>1</v>
      </c>
    </row>
    <row r="441" spans="1:2" x14ac:dyDescent="0.25">
      <c r="A441" s="1" t="s">
        <v>478</v>
      </c>
      <c r="B441" s="50">
        <v>1</v>
      </c>
    </row>
    <row r="442" spans="1:2" x14ac:dyDescent="0.25">
      <c r="A442" s="224" t="s">
        <v>479</v>
      </c>
      <c r="B442" s="50">
        <v>1</v>
      </c>
    </row>
    <row r="443" spans="1:2" x14ac:dyDescent="0.25">
      <c r="A443" s="225">
        <v>134</v>
      </c>
      <c r="B443" s="50">
        <v>1</v>
      </c>
    </row>
    <row r="444" spans="1:2" x14ac:dyDescent="0.25">
      <c r="A444" s="1" t="s">
        <v>1216</v>
      </c>
      <c r="B444" s="50">
        <v>1</v>
      </c>
    </row>
    <row r="445" spans="1:2" x14ac:dyDescent="0.25">
      <c r="A445" s="224" t="s">
        <v>459</v>
      </c>
      <c r="B445" s="50">
        <v>1</v>
      </c>
    </row>
    <row r="446" spans="1:2" x14ac:dyDescent="0.25">
      <c r="A446" s="225" t="s">
        <v>1215</v>
      </c>
      <c r="B446" s="50">
        <v>1</v>
      </c>
    </row>
    <row r="447" spans="1:2" x14ac:dyDescent="0.25">
      <c r="A447" s="1" t="s">
        <v>389</v>
      </c>
      <c r="B447" s="50">
        <v>1</v>
      </c>
    </row>
    <row r="448" spans="1:2" x14ac:dyDescent="0.25">
      <c r="A448" s="224" t="s">
        <v>390</v>
      </c>
      <c r="B448" s="50">
        <v>1</v>
      </c>
    </row>
    <row r="449" spans="1:2" x14ac:dyDescent="0.25">
      <c r="A449" s="225">
        <v>103</v>
      </c>
      <c r="B449" s="50">
        <v>1</v>
      </c>
    </row>
    <row r="450" spans="1:2" x14ac:dyDescent="0.25">
      <c r="A450" s="1" t="s">
        <v>905</v>
      </c>
      <c r="B450" s="50">
        <v>2</v>
      </c>
    </row>
    <row r="451" spans="1:2" x14ac:dyDescent="0.25">
      <c r="A451" s="224" t="s">
        <v>906</v>
      </c>
      <c r="B451" s="50">
        <v>2</v>
      </c>
    </row>
    <row r="452" spans="1:2" x14ac:dyDescent="0.25">
      <c r="A452" s="225">
        <v>330</v>
      </c>
      <c r="B452" s="50">
        <v>1</v>
      </c>
    </row>
    <row r="453" spans="1:2" x14ac:dyDescent="0.25">
      <c r="A453" s="225">
        <v>394</v>
      </c>
      <c r="B453" s="50">
        <v>1</v>
      </c>
    </row>
    <row r="454" spans="1:2" x14ac:dyDescent="0.25">
      <c r="A454" s="1" t="s">
        <v>350</v>
      </c>
      <c r="B454" s="50">
        <v>1</v>
      </c>
    </row>
    <row r="455" spans="1:2" x14ac:dyDescent="0.25">
      <c r="A455" s="224" t="s">
        <v>351</v>
      </c>
      <c r="B455" s="50">
        <v>1</v>
      </c>
    </row>
    <row r="456" spans="1:2" x14ac:dyDescent="0.25">
      <c r="A456" s="225" t="s">
        <v>349</v>
      </c>
      <c r="B456" s="50">
        <v>1</v>
      </c>
    </row>
    <row r="457" spans="1:2" x14ac:dyDescent="0.25">
      <c r="A457" s="1" t="s">
        <v>683</v>
      </c>
      <c r="B457" s="50">
        <v>1</v>
      </c>
    </row>
    <row r="458" spans="1:2" x14ac:dyDescent="0.25">
      <c r="A458" s="224" t="s">
        <v>684</v>
      </c>
      <c r="B458" s="50">
        <v>1</v>
      </c>
    </row>
    <row r="459" spans="1:2" x14ac:dyDescent="0.25">
      <c r="A459" s="225" t="s">
        <v>682</v>
      </c>
      <c r="B459" s="50">
        <v>1</v>
      </c>
    </row>
    <row r="460" spans="1:2" x14ac:dyDescent="0.25">
      <c r="A460" s="1" t="s">
        <v>560</v>
      </c>
      <c r="B460" s="50">
        <v>1</v>
      </c>
    </row>
    <row r="461" spans="1:2" x14ac:dyDescent="0.25">
      <c r="A461" s="224" t="s">
        <v>561</v>
      </c>
      <c r="B461" s="50">
        <v>1</v>
      </c>
    </row>
    <row r="462" spans="1:2" x14ac:dyDescent="0.25">
      <c r="A462" s="225">
        <v>157</v>
      </c>
      <c r="B462" s="50">
        <v>1</v>
      </c>
    </row>
    <row r="463" spans="1:2" x14ac:dyDescent="0.25">
      <c r="A463" s="1" t="s">
        <v>1433</v>
      </c>
      <c r="B463" s="50">
        <v>1</v>
      </c>
    </row>
    <row r="464" spans="1:2" x14ac:dyDescent="0.25">
      <c r="A464" s="224" t="s">
        <v>1434</v>
      </c>
      <c r="B464" s="50">
        <v>1</v>
      </c>
    </row>
    <row r="465" spans="1:2" x14ac:dyDescent="0.25">
      <c r="A465" s="225" t="s">
        <v>1432</v>
      </c>
      <c r="B465" s="50">
        <v>1</v>
      </c>
    </row>
    <row r="466" spans="1:2" x14ac:dyDescent="0.25">
      <c r="A466" s="1" t="s">
        <v>413</v>
      </c>
      <c r="B466" s="50">
        <v>1</v>
      </c>
    </row>
    <row r="467" spans="1:2" x14ac:dyDescent="0.25">
      <c r="A467" s="224" t="s">
        <v>414</v>
      </c>
      <c r="B467" s="50">
        <v>1</v>
      </c>
    </row>
    <row r="468" spans="1:2" x14ac:dyDescent="0.25">
      <c r="A468" s="225">
        <v>111</v>
      </c>
      <c r="B468" s="50">
        <v>1</v>
      </c>
    </row>
    <row r="469" spans="1:2" x14ac:dyDescent="0.25">
      <c r="A469" s="1" t="s">
        <v>601</v>
      </c>
      <c r="B469" s="50">
        <v>1</v>
      </c>
    </row>
    <row r="470" spans="1:2" x14ac:dyDescent="0.25">
      <c r="A470" s="224" t="s">
        <v>602</v>
      </c>
      <c r="B470" s="50">
        <v>1</v>
      </c>
    </row>
    <row r="471" spans="1:2" x14ac:dyDescent="0.25">
      <c r="A471" s="225">
        <v>177</v>
      </c>
      <c r="B471" s="50">
        <v>1</v>
      </c>
    </row>
    <row r="472" spans="1:2" x14ac:dyDescent="0.25">
      <c r="A472" s="1" t="s">
        <v>1683</v>
      </c>
      <c r="B472" s="50">
        <v>1</v>
      </c>
    </row>
    <row r="473" spans="1:2" x14ac:dyDescent="0.25">
      <c r="A473" s="224" t="s">
        <v>1684</v>
      </c>
      <c r="B473" s="50">
        <v>1</v>
      </c>
    </row>
    <row r="474" spans="1:2" x14ac:dyDescent="0.25">
      <c r="A474" s="225" t="s">
        <v>1682</v>
      </c>
      <c r="B474" s="50">
        <v>1</v>
      </c>
    </row>
    <row r="475" spans="1:2" x14ac:dyDescent="0.25">
      <c r="A475" s="1" t="s">
        <v>977</v>
      </c>
      <c r="B475" s="50">
        <v>1</v>
      </c>
    </row>
    <row r="476" spans="1:2" x14ac:dyDescent="0.25">
      <c r="A476" s="224" t="s">
        <v>978</v>
      </c>
      <c r="B476" s="50">
        <v>1</v>
      </c>
    </row>
    <row r="477" spans="1:2" x14ac:dyDescent="0.25">
      <c r="A477" s="225">
        <v>349</v>
      </c>
      <c r="B477" s="50">
        <v>1</v>
      </c>
    </row>
    <row r="478" spans="1:2" x14ac:dyDescent="0.25">
      <c r="A478" s="1" t="s">
        <v>202</v>
      </c>
      <c r="B478" s="50">
        <v>2</v>
      </c>
    </row>
    <row r="479" spans="1:2" x14ac:dyDescent="0.25">
      <c r="A479" s="224" t="s">
        <v>203</v>
      </c>
      <c r="B479" s="50">
        <v>2</v>
      </c>
    </row>
    <row r="480" spans="1:2" x14ac:dyDescent="0.25">
      <c r="A480" s="225">
        <v>342</v>
      </c>
      <c r="B480" s="50">
        <v>1</v>
      </c>
    </row>
    <row r="481" spans="1:2" x14ac:dyDescent="0.25">
      <c r="A481" s="225" t="s">
        <v>200</v>
      </c>
      <c r="B481" s="50">
        <v>1</v>
      </c>
    </row>
    <row r="482" spans="1:2" x14ac:dyDescent="0.25">
      <c r="A482" s="1" t="s">
        <v>1085</v>
      </c>
      <c r="B482" s="50">
        <v>1</v>
      </c>
    </row>
    <row r="483" spans="1:2" x14ac:dyDescent="0.25">
      <c r="A483" s="224" t="s">
        <v>203</v>
      </c>
      <c r="B483" s="50">
        <v>1</v>
      </c>
    </row>
    <row r="484" spans="1:2" x14ac:dyDescent="0.25">
      <c r="A484" s="225" t="s">
        <v>1084</v>
      </c>
      <c r="B484" s="50">
        <v>1</v>
      </c>
    </row>
    <row r="485" spans="1:2" x14ac:dyDescent="0.25">
      <c r="A485" s="1" t="s">
        <v>1629</v>
      </c>
      <c r="B485" s="50">
        <v>1</v>
      </c>
    </row>
    <row r="486" spans="1:2" x14ac:dyDescent="0.25">
      <c r="A486" s="224" t="s">
        <v>1630</v>
      </c>
      <c r="B486" s="50">
        <v>1</v>
      </c>
    </row>
    <row r="487" spans="1:2" x14ac:dyDescent="0.25">
      <c r="A487" s="225">
        <v>490</v>
      </c>
      <c r="B487" s="50">
        <v>1</v>
      </c>
    </row>
    <row r="488" spans="1:2" x14ac:dyDescent="0.25">
      <c r="A488" s="1" t="s">
        <v>120</v>
      </c>
      <c r="B488" s="50">
        <v>1</v>
      </c>
    </row>
    <row r="489" spans="1:2" x14ac:dyDescent="0.25">
      <c r="A489" s="224" t="s">
        <v>121</v>
      </c>
      <c r="B489" s="50">
        <v>1</v>
      </c>
    </row>
    <row r="490" spans="1:2" x14ac:dyDescent="0.25">
      <c r="A490" s="225" t="s">
        <v>115</v>
      </c>
      <c r="B490" s="50">
        <v>1</v>
      </c>
    </row>
    <row r="491" spans="1:2" x14ac:dyDescent="0.25">
      <c r="A491" s="1" t="s">
        <v>1814</v>
      </c>
      <c r="B491" s="50">
        <v>1</v>
      </c>
    </row>
    <row r="492" spans="1:2" x14ac:dyDescent="0.25">
      <c r="A492" s="224" t="s">
        <v>1815</v>
      </c>
      <c r="B492" s="50">
        <v>1</v>
      </c>
    </row>
    <row r="493" spans="1:2" x14ac:dyDescent="0.25">
      <c r="A493" s="225">
        <v>522</v>
      </c>
      <c r="B493" s="50">
        <v>1</v>
      </c>
    </row>
    <row r="494" spans="1:2" x14ac:dyDescent="0.25">
      <c r="A494" s="1" t="s">
        <v>934</v>
      </c>
      <c r="B494" s="50">
        <v>1</v>
      </c>
    </row>
    <row r="495" spans="1:2" x14ac:dyDescent="0.25">
      <c r="A495" s="224" t="s">
        <v>935</v>
      </c>
      <c r="B495" s="50">
        <v>1</v>
      </c>
    </row>
    <row r="496" spans="1:2" x14ac:dyDescent="0.25">
      <c r="A496" s="225">
        <v>338</v>
      </c>
      <c r="B496" s="50">
        <v>1</v>
      </c>
    </row>
    <row r="497" spans="1:2" x14ac:dyDescent="0.25">
      <c r="A497" s="1" t="s">
        <v>589</v>
      </c>
      <c r="B497" s="50">
        <v>1</v>
      </c>
    </row>
    <row r="498" spans="1:2" x14ac:dyDescent="0.25">
      <c r="A498" s="224" t="s">
        <v>590</v>
      </c>
      <c r="B498" s="50">
        <v>1</v>
      </c>
    </row>
    <row r="499" spans="1:2" x14ac:dyDescent="0.25">
      <c r="A499" s="225">
        <v>172</v>
      </c>
      <c r="B499" s="50">
        <v>1</v>
      </c>
    </row>
    <row r="500" spans="1:2" x14ac:dyDescent="0.25">
      <c r="A500" s="1" t="s">
        <v>1423</v>
      </c>
      <c r="B500" s="50">
        <v>1</v>
      </c>
    </row>
    <row r="501" spans="1:2" x14ac:dyDescent="0.25">
      <c r="A501" s="224" t="s">
        <v>1424</v>
      </c>
      <c r="B501" s="50">
        <v>1</v>
      </c>
    </row>
    <row r="502" spans="1:2" x14ac:dyDescent="0.25">
      <c r="A502" s="225" t="s">
        <v>1422</v>
      </c>
      <c r="B502" s="50">
        <v>1</v>
      </c>
    </row>
    <row r="503" spans="1:2" x14ac:dyDescent="0.25">
      <c r="A503" s="1" t="s">
        <v>949</v>
      </c>
      <c r="B503" s="50">
        <v>1</v>
      </c>
    </row>
    <row r="504" spans="1:2" x14ac:dyDescent="0.25">
      <c r="A504" s="224" t="s">
        <v>950</v>
      </c>
      <c r="B504" s="50">
        <v>1</v>
      </c>
    </row>
    <row r="505" spans="1:2" x14ac:dyDescent="0.25">
      <c r="A505" s="225">
        <v>343</v>
      </c>
      <c r="B505" s="50">
        <v>1</v>
      </c>
    </row>
    <row r="506" spans="1:2" x14ac:dyDescent="0.25">
      <c r="A506" s="1" t="s">
        <v>405</v>
      </c>
      <c r="B506" s="50">
        <v>1</v>
      </c>
    </row>
    <row r="507" spans="1:2" x14ac:dyDescent="0.25">
      <c r="A507" s="224" t="s">
        <v>406</v>
      </c>
      <c r="B507" s="50">
        <v>1</v>
      </c>
    </row>
    <row r="508" spans="1:2" x14ac:dyDescent="0.25">
      <c r="A508" s="225">
        <v>108</v>
      </c>
      <c r="B508" s="50">
        <v>1</v>
      </c>
    </row>
    <row r="509" spans="1:2" x14ac:dyDescent="0.25">
      <c r="A509" s="1" t="s">
        <v>654</v>
      </c>
      <c r="B509" s="50">
        <v>1</v>
      </c>
    </row>
    <row r="510" spans="1:2" x14ac:dyDescent="0.25">
      <c r="A510" s="224" t="s">
        <v>655</v>
      </c>
      <c r="B510" s="50">
        <v>1</v>
      </c>
    </row>
    <row r="511" spans="1:2" x14ac:dyDescent="0.25">
      <c r="A511" s="225">
        <v>218</v>
      </c>
      <c r="B511" s="50">
        <v>1</v>
      </c>
    </row>
    <row r="512" spans="1:2" x14ac:dyDescent="0.25">
      <c r="A512" s="1" t="s">
        <v>1009</v>
      </c>
      <c r="B512" s="50">
        <v>1</v>
      </c>
    </row>
    <row r="513" spans="1:2" x14ac:dyDescent="0.25">
      <c r="A513" s="224" t="s">
        <v>1010</v>
      </c>
      <c r="B513" s="50">
        <v>1</v>
      </c>
    </row>
    <row r="514" spans="1:2" x14ac:dyDescent="0.25">
      <c r="A514" s="225">
        <v>361</v>
      </c>
      <c r="B514" s="50">
        <v>1</v>
      </c>
    </row>
    <row r="515" spans="1:2" x14ac:dyDescent="0.25">
      <c r="A515" s="1" t="s">
        <v>447</v>
      </c>
      <c r="B515" s="50">
        <v>1</v>
      </c>
    </row>
    <row r="516" spans="1:2" x14ac:dyDescent="0.25">
      <c r="A516" s="224" t="s">
        <v>448</v>
      </c>
      <c r="B516" s="50">
        <v>1</v>
      </c>
    </row>
    <row r="517" spans="1:2" x14ac:dyDescent="0.25">
      <c r="A517" s="225">
        <v>126</v>
      </c>
      <c r="B517" s="50">
        <v>1</v>
      </c>
    </row>
    <row r="518" spans="1:2" x14ac:dyDescent="0.25">
      <c r="A518" s="1" t="s">
        <v>1557</v>
      </c>
      <c r="B518" s="50">
        <v>1</v>
      </c>
    </row>
    <row r="519" spans="1:2" x14ac:dyDescent="0.25">
      <c r="A519" s="224" t="s">
        <v>1558</v>
      </c>
      <c r="B519" s="50">
        <v>1</v>
      </c>
    </row>
    <row r="520" spans="1:2" x14ac:dyDescent="0.25">
      <c r="A520" s="225" t="s">
        <v>1556</v>
      </c>
      <c r="B520" s="50">
        <v>1</v>
      </c>
    </row>
    <row r="521" spans="1:2" x14ac:dyDescent="0.25">
      <c r="A521" s="1" t="s">
        <v>1321</v>
      </c>
      <c r="B521" s="50">
        <v>1</v>
      </c>
    </row>
    <row r="522" spans="1:2" x14ac:dyDescent="0.25">
      <c r="A522" s="224" t="s">
        <v>1322</v>
      </c>
      <c r="B522" s="50">
        <v>1</v>
      </c>
    </row>
    <row r="523" spans="1:2" x14ac:dyDescent="0.25">
      <c r="A523" s="225">
        <v>412</v>
      </c>
      <c r="B523" s="50">
        <v>1</v>
      </c>
    </row>
    <row r="524" spans="1:2" x14ac:dyDescent="0.25">
      <c r="A524" s="1" t="s">
        <v>1186</v>
      </c>
      <c r="B524" s="50">
        <v>2</v>
      </c>
    </row>
    <row r="525" spans="1:2" x14ac:dyDescent="0.25">
      <c r="A525" s="224" t="s">
        <v>1187</v>
      </c>
      <c r="B525" s="50">
        <v>2</v>
      </c>
    </row>
    <row r="526" spans="1:2" x14ac:dyDescent="0.25">
      <c r="A526" s="225" t="s">
        <v>1185</v>
      </c>
      <c r="B526" s="50">
        <v>1</v>
      </c>
    </row>
    <row r="527" spans="1:2" x14ac:dyDescent="0.25">
      <c r="A527" s="225" t="s">
        <v>1685</v>
      </c>
      <c r="B527" s="50">
        <v>1</v>
      </c>
    </row>
    <row r="528" spans="1:2" x14ac:dyDescent="0.25">
      <c r="A528" s="1" t="s">
        <v>880</v>
      </c>
      <c r="B528" s="50">
        <v>1</v>
      </c>
    </row>
    <row r="529" spans="1:2" x14ac:dyDescent="0.25">
      <c r="A529" s="224" t="s">
        <v>881</v>
      </c>
      <c r="B529" s="50">
        <v>1</v>
      </c>
    </row>
    <row r="530" spans="1:2" x14ac:dyDescent="0.25">
      <c r="A530" s="225">
        <v>319</v>
      </c>
      <c r="B530" s="50">
        <v>1</v>
      </c>
    </row>
    <row r="531" spans="1:2" x14ac:dyDescent="0.25">
      <c r="A531" s="1" t="s">
        <v>144</v>
      </c>
      <c r="B531" s="50">
        <v>1</v>
      </c>
    </row>
    <row r="532" spans="1:2" x14ac:dyDescent="0.25">
      <c r="A532" s="224" t="s">
        <v>145</v>
      </c>
      <c r="B532" s="50">
        <v>1</v>
      </c>
    </row>
    <row r="533" spans="1:2" x14ac:dyDescent="0.25">
      <c r="A533" s="225" t="s">
        <v>143</v>
      </c>
      <c r="B533" s="50">
        <v>1</v>
      </c>
    </row>
    <row r="534" spans="1:2" x14ac:dyDescent="0.25">
      <c r="A534" s="1" t="s">
        <v>778</v>
      </c>
      <c r="B534" s="50">
        <v>1</v>
      </c>
    </row>
    <row r="535" spans="1:2" x14ac:dyDescent="0.25">
      <c r="A535" s="224" t="s">
        <v>779</v>
      </c>
      <c r="B535" s="50">
        <v>1</v>
      </c>
    </row>
    <row r="536" spans="1:2" x14ac:dyDescent="0.25">
      <c r="A536" s="225">
        <v>274</v>
      </c>
      <c r="B536" s="50">
        <v>1</v>
      </c>
    </row>
    <row r="537" spans="1:2" x14ac:dyDescent="0.25">
      <c r="A537" s="1" t="s">
        <v>756</v>
      </c>
      <c r="B537" s="50">
        <v>1</v>
      </c>
    </row>
    <row r="538" spans="1:2" x14ac:dyDescent="0.25">
      <c r="A538" s="224" t="s">
        <v>757</v>
      </c>
      <c r="B538" s="50">
        <v>1</v>
      </c>
    </row>
    <row r="539" spans="1:2" x14ac:dyDescent="0.25">
      <c r="A539" s="225">
        <v>261</v>
      </c>
      <c r="B539" s="50">
        <v>1</v>
      </c>
    </row>
    <row r="540" spans="1:2" x14ac:dyDescent="0.25">
      <c r="A540" s="1" t="s">
        <v>435</v>
      </c>
      <c r="B540" s="50">
        <v>7</v>
      </c>
    </row>
    <row r="541" spans="1:2" x14ac:dyDescent="0.25">
      <c r="A541" s="224" t="s">
        <v>1182</v>
      </c>
      <c r="B541" s="50">
        <v>1</v>
      </c>
    </row>
    <row r="542" spans="1:2" x14ac:dyDescent="0.25">
      <c r="A542" s="225" t="s">
        <v>1181</v>
      </c>
      <c r="B542" s="50">
        <v>1</v>
      </c>
    </row>
    <row r="543" spans="1:2" x14ac:dyDescent="0.25">
      <c r="A543" s="224" t="s">
        <v>436</v>
      </c>
      <c r="B543" s="50">
        <v>6</v>
      </c>
    </row>
    <row r="544" spans="1:2" x14ac:dyDescent="0.25">
      <c r="A544" s="225">
        <v>119</v>
      </c>
      <c r="B544" s="50">
        <v>1</v>
      </c>
    </row>
    <row r="545" spans="1:2" x14ac:dyDescent="0.25">
      <c r="A545" s="225">
        <v>302</v>
      </c>
      <c r="B545" s="50">
        <v>1</v>
      </c>
    </row>
    <row r="546" spans="1:2" x14ac:dyDescent="0.25">
      <c r="A546" s="225">
        <v>365</v>
      </c>
      <c r="B546" s="50">
        <v>1</v>
      </c>
    </row>
    <row r="547" spans="1:2" x14ac:dyDescent="0.25">
      <c r="A547" s="225">
        <v>422</v>
      </c>
      <c r="B547" s="50">
        <v>1</v>
      </c>
    </row>
    <row r="548" spans="1:2" x14ac:dyDescent="0.25">
      <c r="A548" s="225" t="s">
        <v>1669</v>
      </c>
      <c r="B548" s="50">
        <v>1</v>
      </c>
    </row>
    <row r="549" spans="1:2" x14ac:dyDescent="0.25">
      <c r="A549" s="225" t="s">
        <v>2109</v>
      </c>
      <c r="B549" s="50">
        <v>1</v>
      </c>
    </row>
    <row r="550" spans="1:2" x14ac:dyDescent="0.25">
      <c r="A550" s="1" t="s">
        <v>1204</v>
      </c>
      <c r="B550" s="50">
        <v>1</v>
      </c>
    </row>
    <row r="551" spans="1:2" x14ac:dyDescent="0.25">
      <c r="A551" s="224" t="s">
        <v>1205</v>
      </c>
      <c r="B551" s="50">
        <v>1</v>
      </c>
    </row>
    <row r="552" spans="1:2" x14ac:dyDescent="0.25">
      <c r="A552" s="225" t="s">
        <v>1203</v>
      </c>
      <c r="B552" s="50">
        <v>1</v>
      </c>
    </row>
    <row r="553" spans="1:2" x14ac:dyDescent="0.25">
      <c r="A553" s="1" t="s">
        <v>930</v>
      </c>
      <c r="B553" s="50">
        <v>1</v>
      </c>
    </row>
    <row r="554" spans="1:2" x14ac:dyDescent="0.25">
      <c r="A554" s="224" t="s">
        <v>931</v>
      </c>
      <c r="B554" s="50">
        <v>1</v>
      </c>
    </row>
    <row r="555" spans="1:2" x14ac:dyDescent="0.25">
      <c r="A555" s="225">
        <v>337</v>
      </c>
      <c r="B555" s="50">
        <v>1</v>
      </c>
    </row>
    <row r="556" spans="1:2" x14ac:dyDescent="0.25">
      <c r="A556" s="1" t="s">
        <v>1803</v>
      </c>
      <c r="B556" s="50">
        <v>1</v>
      </c>
    </row>
    <row r="557" spans="1:2" x14ac:dyDescent="0.25">
      <c r="A557" s="224" t="s">
        <v>1804</v>
      </c>
      <c r="B557" s="50">
        <v>1</v>
      </c>
    </row>
    <row r="558" spans="1:2" x14ac:dyDescent="0.25">
      <c r="A558" s="225">
        <v>508</v>
      </c>
      <c r="B558" s="50">
        <v>1</v>
      </c>
    </row>
    <row r="559" spans="1:2" x14ac:dyDescent="0.25">
      <c r="A559" s="1" t="s">
        <v>1012</v>
      </c>
      <c r="B559" s="50">
        <v>1</v>
      </c>
    </row>
    <row r="560" spans="1:2" x14ac:dyDescent="0.25">
      <c r="A560" s="224" t="s">
        <v>1013</v>
      </c>
      <c r="B560" s="50">
        <v>1</v>
      </c>
    </row>
    <row r="561" spans="1:2" x14ac:dyDescent="0.25">
      <c r="A561" s="225">
        <v>362</v>
      </c>
      <c r="B561" s="50">
        <v>1</v>
      </c>
    </row>
    <row r="562" spans="1:2" x14ac:dyDescent="0.25">
      <c r="A562" s="1" t="s">
        <v>1414</v>
      </c>
      <c r="B562" s="50">
        <v>1</v>
      </c>
    </row>
    <row r="563" spans="1:2" x14ac:dyDescent="0.25">
      <c r="A563" s="224" t="s">
        <v>1415</v>
      </c>
      <c r="B563" s="50">
        <v>1</v>
      </c>
    </row>
    <row r="564" spans="1:2" x14ac:dyDescent="0.25">
      <c r="A564" s="225" t="s">
        <v>1413</v>
      </c>
      <c r="B564" s="50">
        <v>1</v>
      </c>
    </row>
    <row r="565" spans="1:2" x14ac:dyDescent="0.25">
      <c r="A565" s="1" t="s">
        <v>763</v>
      </c>
      <c r="B565" s="50">
        <v>6</v>
      </c>
    </row>
    <row r="566" spans="1:2" x14ac:dyDescent="0.25">
      <c r="A566" s="224" t="s">
        <v>764</v>
      </c>
      <c r="B566" s="50">
        <v>6</v>
      </c>
    </row>
    <row r="567" spans="1:2" x14ac:dyDescent="0.25">
      <c r="A567" s="225">
        <v>268</v>
      </c>
      <c r="B567" s="50">
        <v>1</v>
      </c>
    </row>
    <row r="568" spans="1:2" x14ac:dyDescent="0.25">
      <c r="A568" s="225">
        <v>324</v>
      </c>
      <c r="B568" s="50">
        <v>1</v>
      </c>
    </row>
    <row r="569" spans="1:2" x14ac:dyDescent="0.25">
      <c r="A569" s="225" t="s">
        <v>1220</v>
      </c>
      <c r="B569" s="50">
        <v>1</v>
      </c>
    </row>
    <row r="570" spans="1:2" x14ac:dyDescent="0.25">
      <c r="A570" s="225">
        <v>551</v>
      </c>
      <c r="B570" s="50">
        <v>1</v>
      </c>
    </row>
    <row r="571" spans="1:2" x14ac:dyDescent="0.25">
      <c r="A571" s="225" t="s">
        <v>2112</v>
      </c>
      <c r="B571" s="50">
        <v>1</v>
      </c>
    </row>
    <row r="572" spans="1:2" x14ac:dyDescent="0.25">
      <c r="A572" s="225" t="s">
        <v>2113</v>
      </c>
      <c r="B572" s="50">
        <v>1</v>
      </c>
    </row>
    <row r="573" spans="1:2" x14ac:dyDescent="0.25">
      <c r="A573" s="1" t="s">
        <v>1829</v>
      </c>
      <c r="B573" s="50">
        <v>1</v>
      </c>
    </row>
    <row r="574" spans="1:2" x14ac:dyDescent="0.25">
      <c r="A574" s="224" t="s">
        <v>1830</v>
      </c>
      <c r="B574" s="50">
        <v>1</v>
      </c>
    </row>
    <row r="575" spans="1:2" x14ac:dyDescent="0.25">
      <c r="A575" s="225" t="s">
        <v>1794</v>
      </c>
      <c r="B575" s="50">
        <v>1</v>
      </c>
    </row>
    <row r="576" spans="1:2" x14ac:dyDescent="0.25">
      <c r="A576" s="1" t="s">
        <v>1307</v>
      </c>
      <c r="B576" s="50">
        <v>1</v>
      </c>
    </row>
    <row r="577" spans="1:2" x14ac:dyDescent="0.25">
      <c r="A577" s="224" t="s">
        <v>1308</v>
      </c>
      <c r="B577" s="50">
        <v>1</v>
      </c>
    </row>
    <row r="578" spans="1:2" x14ac:dyDescent="0.25">
      <c r="A578" s="225">
        <v>408</v>
      </c>
      <c r="B578" s="50">
        <v>1</v>
      </c>
    </row>
    <row r="579" spans="1:2" x14ac:dyDescent="0.25">
      <c r="A579" s="1" t="s">
        <v>152</v>
      </c>
      <c r="B579" s="50">
        <v>2</v>
      </c>
    </row>
    <row r="580" spans="1:2" x14ac:dyDescent="0.25">
      <c r="A580" s="224" t="s">
        <v>153</v>
      </c>
      <c r="B580" s="50">
        <v>2</v>
      </c>
    </row>
    <row r="581" spans="1:2" x14ac:dyDescent="0.25">
      <c r="A581" s="225">
        <v>292</v>
      </c>
      <c r="B581" s="50">
        <v>1</v>
      </c>
    </row>
    <row r="582" spans="1:2" x14ac:dyDescent="0.25">
      <c r="A582" s="225" t="s">
        <v>151</v>
      </c>
      <c r="B582" s="50">
        <v>1</v>
      </c>
    </row>
    <row r="583" spans="1:2" x14ac:dyDescent="0.25">
      <c r="A583" s="1" t="s">
        <v>300</v>
      </c>
      <c r="B583" s="50">
        <v>1</v>
      </c>
    </row>
    <row r="584" spans="1:2" x14ac:dyDescent="0.25">
      <c r="A584" s="224" t="s">
        <v>301</v>
      </c>
      <c r="B584" s="50">
        <v>1</v>
      </c>
    </row>
    <row r="585" spans="1:2" x14ac:dyDescent="0.25">
      <c r="A585" s="225" t="s">
        <v>299</v>
      </c>
      <c r="B585" s="50">
        <v>1</v>
      </c>
    </row>
    <row r="586" spans="1:2" x14ac:dyDescent="0.25">
      <c r="A586" s="1" t="s">
        <v>1444</v>
      </c>
      <c r="B586" s="50">
        <v>1</v>
      </c>
    </row>
    <row r="587" spans="1:2" x14ac:dyDescent="0.25">
      <c r="A587" s="224" t="s">
        <v>1445</v>
      </c>
      <c r="B587" s="50">
        <v>1</v>
      </c>
    </row>
    <row r="588" spans="1:2" x14ac:dyDescent="0.25">
      <c r="A588" s="225">
        <v>439</v>
      </c>
      <c r="B588" s="50">
        <v>1</v>
      </c>
    </row>
    <row r="589" spans="1:2" x14ac:dyDescent="0.25">
      <c r="A589" s="1" t="s">
        <v>307</v>
      </c>
      <c r="B589" s="50">
        <v>1</v>
      </c>
    </row>
    <row r="590" spans="1:2" x14ac:dyDescent="0.25">
      <c r="A590" s="224" t="s">
        <v>308</v>
      </c>
      <c r="B590" s="50">
        <v>1</v>
      </c>
    </row>
    <row r="591" spans="1:2" x14ac:dyDescent="0.25">
      <c r="A591" s="225" t="s">
        <v>306</v>
      </c>
      <c r="B591" s="50">
        <v>1</v>
      </c>
    </row>
    <row r="592" spans="1:2" x14ac:dyDescent="0.25">
      <c r="A592" s="1" t="s">
        <v>701</v>
      </c>
      <c r="B592" s="50">
        <v>1</v>
      </c>
    </row>
    <row r="593" spans="1:2" x14ac:dyDescent="0.25">
      <c r="A593" s="224" t="s">
        <v>702</v>
      </c>
      <c r="B593" s="50">
        <v>1</v>
      </c>
    </row>
    <row r="594" spans="1:2" x14ac:dyDescent="0.25">
      <c r="A594" s="225">
        <v>234</v>
      </c>
      <c r="B594" s="50">
        <v>1</v>
      </c>
    </row>
    <row r="595" spans="1:2" x14ac:dyDescent="0.25">
      <c r="A595" s="1" t="s">
        <v>319</v>
      </c>
      <c r="B595" s="50">
        <v>1</v>
      </c>
    </row>
    <row r="596" spans="1:2" x14ac:dyDescent="0.25">
      <c r="A596" s="224" t="s">
        <v>320</v>
      </c>
      <c r="B596" s="50">
        <v>1</v>
      </c>
    </row>
    <row r="597" spans="1:2" x14ac:dyDescent="0.25">
      <c r="A597" s="225" t="s">
        <v>318</v>
      </c>
      <c r="B597" s="50">
        <v>1</v>
      </c>
    </row>
    <row r="598" spans="1:2" x14ac:dyDescent="0.25">
      <c r="A598" s="1" t="s">
        <v>1540</v>
      </c>
      <c r="B598" s="50">
        <v>1</v>
      </c>
    </row>
    <row r="599" spans="1:2" x14ac:dyDescent="0.25">
      <c r="A599" s="224" t="s">
        <v>1541</v>
      </c>
      <c r="B599" s="50">
        <v>1</v>
      </c>
    </row>
    <row r="600" spans="1:2" x14ac:dyDescent="0.25">
      <c r="A600" s="225" t="s">
        <v>1539</v>
      </c>
      <c r="B600" s="50">
        <v>1</v>
      </c>
    </row>
    <row r="601" spans="1:2" x14ac:dyDescent="0.25">
      <c r="A601" s="1" t="s">
        <v>586</v>
      </c>
      <c r="B601" s="50">
        <v>2</v>
      </c>
    </row>
    <row r="602" spans="1:2" x14ac:dyDescent="0.25">
      <c r="A602" s="224" t="s">
        <v>587</v>
      </c>
      <c r="B602" s="50">
        <v>1</v>
      </c>
    </row>
    <row r="603" spans="1:2" x14ac:dyDescent="0.25">
      <c r="A603" s="225">
        <v>169</v>
      </c>
      <c r="B603" s="50">
        <v>1</v>
      </c>
    </row>
    <row r="604" spans="1:2" x14ac:dyDescent="0.25">
      <c r="A604" s="224" t="s">
        <v>814</v>
      </c>
      <c r="B604" s="50">
        <v>1</v>
      </c>
    </row>
    <row r="605" spans="1:2" x14ac:dyDescent="0.25">
      <c r="A605" s="225">
        <v>291</v>
      </c>
      <c r="B605" s="50">
        <v>1</v>
      </c>
    </row>
    <row r="606" spans="1:2" x14ac:dyDescent="0.25">
      <c r="A606" s="1" t="s">
        <v>579</v>
      </c>
      <c r="B606" s="50">
        <v>1</v>
      </c>
    </row>
    <row r="607" spans="1:2" x14ac:dyDescent="0.25">
      <c r="A607" s="224" t="s">
        <v>580</v>
      </c>
      <c r="B607" s="50">
        <v>1</v>
      </c>
    </row>
    <row r="608" spans="1:2" x14ac:dyDescent="0.25">
      <c r="A608" s="225">
        <v>167</v>
      </c>
      <c r="B608" s="50">
        <v>1</v>
      </c>
    </row>
    <row r="609" spans="1:2" x14ac:dyDescent="0.25">
      <c r="A609" s="1" t="s">
        <v>1197</v>
      </c>
      <c r="B609" s="50">
        <v>1</v>
      </c>
    </row>
    <row r="610" spans="1:2" x14ac:dyDescent="0.25">
      <c r="A610" s="224" t="s">
        <v>1198</v>
      </c>
      <c r="B610" s="50">
        <v>1</v>
      </c>
    </row>
    <row r="611" spans="1:2" x14ac:dyDescent="0.25">
      <c r="A611" s="225" t="s">
        <v>1196</v>
      </c>
      <c r="B611" s="50">
        <v>1</v>
      </c>
    </row>
    <row r="612" spans="1:2" x14ac:dyDescent="0.25">
      <c r="A612" s="1" t="s">
        <v>736</v>
      </c>
      <c r="B612" s="50">
        <v>3</v>
      </c>
    </row>
    <row r="613" spans="1:2" x14ac:dyDescent="0.25">
      <c r="A613" s="224" t="s">
        <v>737</v>
      </c>
      <c r="B613" s="50">
        <v>3</v>
      </c>
    </row>
    <row r="614" spans="1:2" x14ac:dyDescent="0.25">
      <c r="A614" s="225">
        <v>245</v>
      </c>
      <c r="B614" s="50">
        <v>1</v>
      </c>
    </row>
    <row r="615" spans="1:2" x14ac:dyDescent="0.25">
      <c r="A615" s="225" t="s">
        <v>966</v>
      </c>
      <c r="B615" s="50">
        <v>1</v>
      </c>
    </row>
    <row r="616" spans="1:2" x14ac:dyDescent="0.25">
      <c r="A616" s="225">
        <v>559</v>
      </c>
      <c r="B616" s="50">
        <v>1</v>
      </c>
    </row>
    <row r="617" spans="1:2" x14ac:dyDescent="0.25">
      <c r="A617" s="1" t="s">
        <v>313</v>
      </c>
      <c r="B617" s="50">
        <v>1</v>
      </c>
    </row>
    <row r="618" spans="1:2" x14ac:dyDescent="0.25">
      <c r="A618" s="224" t="s">
        <v>314</v>
      </c>
      <c r="B618" s="50">
        <v>1</v>
      </c>
    </row>
    <row r="619" spans="1:2" x14ac:dyDescent="0.25">
      <c r="A619" s="225" t="s">
        <v>312</v>
      </c>
      <c r="B619" s="50">
        <v>1</v>
      </c>
    </row>
    <row r="620" spans="1:2" x14ac:dyDescent="0.25">
      <c r="A620" s="1" t="s">
        <v>433</v>
      </c>
      <c r="B620" s="50">
        <v>1</v>
      </c>
    </row>
    <row r="621" spans="1:2" x14ac:dyDescent="0.25">
      <c r="A621" s="224" t="s">
        <v>434</v>
      </c>
      <c r="B621" s="50">
        <v>1</v>
      </c>
    </row>
    <row r="622" spans="1:2" x14ac:dyDescent="0.25">
      <c r="A622" s="225">
        <v>118</v>
      </c>
      <c r="B622" s="50">
        <v>1</v>
      </c>
    </row>
    <row r="623" spans="1:2" x14ac:dyDescent="0.25">
      <c r="A623" s="1" t="s">
        <v>691</v>
      </c>
      <c r="B623" s="50">
        <v>1</v>
      </c>
    </row>
    <row r="624" spans="1:2" x14ac:dyDescent="0.25">
      <c r="A624" s="224" t="s">
        <v>692</v>
      </c>
      <c r="B624" s="50">
        <v>1</v>
      </c>
    </row>
    <row r="625" spans="1:2" x14ac:dyDescent="0.25">
      <c r="A625" s="225" t="s">
        <v>690</v>
      </c>
      <c r="B625" s="50">
        <v>1</v>
      </c>
    </row>
    <row r="626" spans="1:2" x14ac:dyDescent="0.25">
      <c r="A626" s="1" t="s">
        <v>919</v>
      </c>
      <c r="B626" s="50">
        <v>4</v>
      </c>
    </row>
    <row r="627" spans="1:2" x14ac:dyDescent="0.25">
      <c r="A627" s="224" t="s">
        <v>920</v>
      </c>
      <c r="B627" s="50">
        <v>4</v>
      </c>
    </row>
    <row r="628" spans="1:2" x14ac:dyDescent="0.25">
      <c r="A628" s="225">
        <v>334</v>
      </c>
      <c r="B628" s="50">
        <v>1</v>
      </c>
    </row>
    <row r="629" spans="1:2" x14ac:dyDescent="0.25">
      <c r="A629" s="225">
        <v>386</v>
      </c>
      <c r="B629" s="50">
        <v>1</v>
      </c>
    </row>
    <row r="630" spans="1:2" x14ac:dyDescent="0.25">
      <c r="A630" s="225">
        <v>451</v>
      </c>
      <c r="B630" s="50">
        <v>1</v>
      </c>
    </row>
    <row r="631" spans="1:2" x14ac:dyDescent="0.25">
      <c r="A631" s="225" t="s">
        <v>1792</v>
      </c>
      <c r="B631" s="50">
        <v>1</v>
      </c>
    </row>
    <row r="632" spans="1:2" x14ac:dyDescent="0.25">
      <c r="A632" s="1" t="s">
        <v>1513</v>
      </c>
      <c r="B632" s="50">
        <v>1</v>
      </c>
    </row>
    <row r="633" spans="1:2" x14ac:dyDescent="0.25">
      <c r="A633" s="224" t="s">
        <v>1514</v>
      </c>
      <c r="B633" s="50">
        <v>1</v>
      </c>
    </row>
    <row r="634" spans="1:2" x14ac:dyDescent="0.25">
      <c r="A634" s="225">
        <v>464</v>
      </c>
      <c r="B634" s="50">
        <v>1</v>
      </c>
    </row>
    <row r="635" spans="1:2" x14ac:dyDescent="0.25">
      <c r="A635" s="1" t="s">
        <v>532</v>
      </c>
      <c r="B635" s="50">
        <v>1</v>
      </c>
    </row>
    <row r="636" spans="1:2" x14ac:dyDescent="0.25">
      <c r="A636" s="224" t="s">
        <v>533</v>
      </c>
      <c r="B636" s="50">
        <v>1</v>
      </c>
    </row>
    <row r="637" spans="1:2" x14ac:dyDescent="0.25">
      <c r="A637" s="225">
        <v>150</v>
      </c>
      <c r="B637" s="50">
        <v>1</v>
      </c>
    </row>
    <row r="638" spans="1:2" x14ac:dyDescent="0.25">
      <c r="A638" s="1" t="s">
        <v>237</v>
      </c>
      <c r="B638" s="50">
        <v>2</v>
      </c>
    </row>
    <row r="639" spans="1:2" x14ac:dyDescent="0.25">
      <c r="A639" s="224" t="s">
        <v>238</v>
      </c>
      <c r="B639" s="50">
        <v>2</v>
      </c>
    </row>
    <row r="640" spans="1:2" x14ac:dyDescent="0.25">
      <c r="A640" s="225">
        <v>125</v>
      </c>
      <c r="B640" s="50">
        <v>1</v>
      </c>
    </row>
    <row r="641" spans="1:2" x14ac:dyDescent="0.25">
      <c r="A641" s="225" t="s">
        <v>235</v>
      </c>
      <c r="B641" s="50">
        <v>1</v>
      </c>
    </row>
    <row r="642" spans="1:2" x14ac:dyDescent="0.25">
      <c r="A642" s="1" t="s">
        <v>1574</v>
      </c>
      <c r="B642" s="50">
        <v>1</v>
      </c>
    </row>
    <row r="643" spans="1:2" x14ac:dyDescent="0.25">
      <c r="A643" s="224" t="s">
        <v>1575</v>
      </c>
      <c r="B643" s="50">
        <v>1</v>
      </c>
    </row>
    <row r="644" spans="1:2" x14ac:dyDescent="0.25">
      <c r="A644" s="225" t="s">
        <v>1573</v>
      </c>
      <c r="B644" s="50">
        <v>1</v>
      </c>
    </row>
    <row r="645" spans="1:2" x14ac:dyDescent="0.25">
      <c r="A645" s="1" t="s">
        <v>1064</v>
      </c>
      <c r="B645" s="50">
        <v>1</v>
      </c>
    </row>
    <row r="646" spans="1:2" x14ac:dyDescent="0.25">
      <c r="A646" s="224" t="s">
        <v>1065</v>
      </c>
      <c r="B646" s="50">
        <v>1</v>
      </c>
    </row>
    <row r="647" spans="1:2" x14ac:dyDescent="0.25">
      <c r="A647" s="225" t="s">
        <v>1063</v>
      </c>
      <c r="B647" s="50">
        <v>1</v>
      </c>
    </row>
    <row r="648" spans="1:2" x14ac:dyDescent="0.25">
      <c r="A648" s="1" t="s">
        <v>263</v>
      </c>
      <c r="B648" s="50">
        <v>1</v>
      </c>
    </row>
    <row r="649" spans="1:2" x14ac:dyDescent="0.25">
      <c r="A649" s="224" t="s">
        <v>264</v>
      </c>
      <c r="B649" s="50">
        <v>1</v>
      </c>
    </row>
    <row r="650" spans="1:2" x14ac:dyDescent="0.25">
      <c r="A650" s="225" t="s">
        <v>262</v>
      </c>
      <c r="B650" s="50">
        <v>1</v>
      </c>
    </row>
    <row r="651" spans="1:2" x14ac:dyDescent="0.25">
      <c r="A651" s="1" t="s">
        <v>606</v>
      </c>
      <c r="B651" s="50">
        <v>1</v>
      </c>
    </row>
    <row r="652" spans="1:2" x14ac:dyDescent="0.25">
      <c r="A652" s="224" t="s">
        <v>607</v>
      </c>
      <c r="B652" s="50">
        <v>1</v>
      </c>
    </row>
    <row r="653" spans="1:2" x14ac:dyDescent="0.25">
      <c r="A653" s="225">
        <v>178</v>
      </c>
      <c r="B653" s="50">
        <v>1</v>
      </c>
    </row>
    <row r="654" spans="1:2" x14ac:dyDescent="0.25">
      <c r="A654" s="1" t="s">
        <v>1527</v>
      </c>
      <c r="B654" s="50">
        <v>1</v>
      </c>
    </row>
    <row r="655" spans="1:2" x14ac:dyDescent="0.25">
      <c r="A655" s="224" t="s">
        <v>1528</v>
      </c>
      <c r="B655" s="50">
        <v>1</v>
      </c>
    </row>
    <row r="656" spans="1:2" x14ac:dyDescent="0.25">
      <c r="A656" s="225">
        <v>471</v>
      </c>
      <c r="B656" s="50">
        <v>1</v>
      </c>
    </row>
    <row r="657" spans="1:2" x14ac:dyDescent="0.25">
      <c r="A657" s="1" t="s">
        <v>258</v>
      </c>
      <c r="B657" s="50">
        <v>2</v>
      </c>
    </row>
    <row r="658" spans="1:2" x14ac:dyDescent="0.25">
      <c r="A658" s="224" t="s">
        <v>259</v>
      </c>
      <c r="B658" s="50">
        <v>2</v>
      </c>
    </row>
    <row r="659" spans="1:2" x14ac:dyDescent="0.25">
      <c r="A659" s="225">
        <v>241</v>
      </c>
      <c r="B659" s="50">
        <v>1</v>
      </c>
    </row>
    <row r="660" spans="1:2" x14ac:dyDescent="0.25">
      <c r="A660" s="225" t="s">
        <v>256</v>
      </c>
      <c r="B660" s="50">
        <v>1</v>
      </c>
    </row>
    <row r="661" spans="1:2" x14ac:dyDescent="0.25">
      <c r="A661" s="1" t="s">
        <v>167</v>
      </c>
      <c r="B661" s="50">
        <v>4</v>
      </c>
    </row>
    <row r="662" spans="1:2" x14ac:dyDescent="0.25">
      <c r="A662" s="224" t="s">
        <v>168</v>
      </c>
      <c r="B662" s="50">
        <v>4</v>
      </c>
    </row>
    <row r="663" spans="1:2" x14ac:dyDescent="0.25">
      <c r="A663" s="225" t="s">
        <v>165</v>
      </c>
      <c r="B663" s="50">
        <v>1</v>
      </c>
    </row>
    <row r="664" spans="1:2" x14ac:dyDescent="0.25">
      <c r="A664" s="225" t="s">
        <v>356</v>
      </c>
      <c r="B664" s="50">
        <v>1</v>
      </c>
    </row>
    <row r="665" spans="1:2" x14ac:dyDescent="0.25">
      <c r="A665" s="225" t="s">
        <v>969</v>
      </c>
      <c r="B665" s="50">
        <v>1</v>
      </c>
    </row>
    <row r="666" spans="1:2" x14ac:dyDescent="0.25">
      <c r="A666" s="225" t="s">
        <v>1041</v>
      </c>
      <c r="B666" s="50">
        <v>1</v>
      </c>
    </row>
    <row r="667" spans="1:2" x14ac:dyDescent="0.25">
      <c r="A667" s="1" t="s">
        <v>1271</v>
      </c>
      <c r="B667" s="50">
        <v>1</v>
      </c>
    </row>
    <row r="668" spans="1:2" x14ac:dyDescent="0.25">
      <c r="A668" s="224" t="s">
        <v>1272</v>
      </c>
      <c r="B668" s="50">
        <v>1</v>
      </c>
    </row>
    <row r="669" spans="1:2" x14ac:dyDescent="0.25">
      <c r="A669" s="225" t="s">
        <v>1270</v>
      </c>
      <c r="B669" s="50">
        <v>1</v>
      </c>
    </row>
    <row r="670" spans="1:2" x14ac:dyDescent="0.25">
      <c r="A670" s="1" t="s">
        <v>1234</v>
      </c>
      <c r="B670" s="50">
        <v>1</v>
      </c>
    </row>
    <row r="671" spans="1:2" x14ac:dyDescent="0.25">
      <c r="A671" s="224" t="s">
        <v>1235</v>
      </c>
      <c r="B671" s="50">
        <v>1</v>
      </c>
    </row>
    <row r="672" spans="1:2" x14ac:dyDescent="0.25">
      <c r="A672" s="225" t="s">
        <v>1233</v>
      </c>
      <c r="B672" s="50">
        <v>1</v>
      </c>
    </row>
    <row r="673" spans="1:2" x14ac:dyDescent="0.25">
      <c r="A673" s="1" t="s">
        <v>549</v>
      </c>
      <c r="B673" s="50">
        <v>1</v>
      </c>
    </row>
    <row r="674" spans="1:2" x14ac:dyDescent="0.25">
      <c r="A674" s="224" t="s">
        <v>550</v>
      </c>
      <c r="B674" s="50">
        <v>1</v>
      </c>
    </row>
    <row r="675" spans="1:2" x14ac:dyDescent="0.25">
      <c r="A675" s="225">
        <v>154</v>
      </c>
      <c r="B675" s="50">
        <v>1</v>
      </c>
    </row>
    <row r="676" spans="1:2" x14ac:dyDescent="0.25">
      <c r="A676" s="1" t="s">
        <v>1517</v>
      </c>
      <c r="B676" s="50">
        <v>1</v>
      </c>
    </row>
    <row r="677" spans="1:2" x14ac:dyDescent="0.25">
      <c r="A677" s="224" t="s">
        <v>1518</v>
      </c>
      <c r="B677" s="50">
        <v>1</v>
      </c>
    </row>
    <row r="678" spans="1:2" x14ac:dyDescent="0.25">
      <c r="A678" s="225">
        <v>465</v>
      </c>
      <c r="B678" s="50">
        <v>1</v>
      </c>
    </row>
    <row r="679" spans="1:2" x14ac:dyDescent="0.25">
      <c r="A679" s="1" t="s">
        <v>1001</v>
      </c>
      <c r="B679" s="50">
        <v>1</v>
      </c>
    </row>
    <row r="680" spans="1:2" x14ac:dyDescent="0.25">
      <c r="A680" s="224" t="s">
        <v>1002</v>
      </c>
      <c r="B680" s="50">
        <v>1</v>
      </c>
    </row>
    <row r="681" spans="1:2" x14ac:dyDescent="0.25">
      <c r="A681" s="225">
        <v>359</v>
      </c>
      <c r="B681" s="50">
        <v>1</v>
      </c>
    </row>
    <row r="682" spans="1:2" x14ac:dyDescent="0.25">
      <c r="A682" s="1" t="s">
        <v>1659</v>
      </c>
      <c r="B682" s="50">
        <v>1</v>
      </c>
    </row>
    <row r="683" spans="1:2" x14ac:dyDescent="0.25">
      <c r="A683" s="224" t="s">
        <v>1660</v>
      </c>
      <c r="B683" s="50">
        <v>1</v>
      </c>
    </row>
    <row r="684" spans="1:2" x14ac:dyDescent="0.25">
      <c r="A684" s="225">
        <v>501</v>
      </c>
      <c r="B684" s="50">
        <v>1</v>
      </c>
    </row>
    <row r="685" spans="1:2" x14ac:dyDescent="0.25">
      <c r="A685" s="1" t="s">
        <v>914</v>
      </c>
      <c r="B685" s="50">
        <v>1</v>
      </c>
    </row>
    <row r="686" spans="1:2" x14ac:dyDescent="0.25">
      <c r="A686" s="224" t="s">
        <v>915</v>
      </c>
      <c r="B686" s="50">
        <v>1</v>
      </c>
    </row>
    <row r="687" spans="1:2" x14ac:dyDescent="0.25">
      <c r="A687" s="225">
        <v>333</v>
      </c>
      <c r="B687" s="50">
        <v>1</v>
      </c>
    </row>
    <row r="688" spans="1:2" x14ac:dyDescent="0.25">
      <c r="A688" s="1" t="s">
        <v>1218</v>
      </c>
      <c r="B688" s="50">
        <v>2</v>
      </c>
    </row>
    <row r="689" spans="1:2" x14ac:dyDescent="0.25">
      <c r="A689" s="224" t="s">
        <v>915</v>
      </c>
      <c r="B689" s="50">
        <v>2</v>
      </c>
    </row>
    <row r="690" spans="1:2" x14ac:dyDescent="0.25">
      <c r="A690" s="225" t="s">
        <v>1217</v>
      </c>
      <c r="B690" s="50">
        <v>1</v>
      </c>
    </row>
    <row r="691" spans="1:2" x14ac:dyDescent="0.25">
      <c r="A691" s="225" t="s">
        <v>1680</v>
      </c>
      <c r="B691" s="50">
        <v>1</v>
      </c>
    </row>
    <row r="692" spans="1:2" x14ac:dyDescent="0.25">
      <c r="A692" s="1" t="s">
        <v>846</v>
      </c>
      <c r="B692" s="50">
        <v>1</v>
      </c>
    </row>
    <row r="693" spans="1:2" x14ac:dyDescent="0.25">
      <c r="A693" s="224" t="s">
        <v>847</v>
      </c>
      <c r="B693" s="50">
        <v>1</v>
      </c>
    </row>
    <row r="694" spans="1:2" x14ac:dyDescent="0.25">
      <c r="A694" s="225">
        <v>312</v>
      </c>
      <c r="B694" s="50">
        <v>1</v>
      </c>
    </row>
    <row r="695" spans="1:2" x14ac:dyDescent="0.25">
      <c r="A695" s="1" t="s">
        <v>1118</v>
      </c>
      <c r="B695" s="50">
        <v>1</v>
      </c>
    </row>
    <row r="696" spans="1:2" x14ac:dyDescent="0.25">
      <c r="A696" s="224" t="s">
        <v>1119</v>
      </c>
      <c r="B696" s="50">
        <v>1</v>
      </c>
    </row>
    <row r="697" spans="1:2" x14ac:dyDescent="0.25">
      <c r="A697" s="225">
        <v>378</v>
      </c>
      <c r="B697" s="50">
        <v>1</v>
      </c>
    </row>
    <row r="698" spans="1:2" x14ac:dyDescent="0.25">
      <c r="A698" s="1" t="s">
        <v>1276</v>
      </c>
      <c r="B698" s="50">
        <v>1</v>
      </c>
    </row>
    <row r="699" spans="1:2" x14ac:dyDescent="0.25">
      <c r="A699" s="224" t="s">
        <v>1277</v>
      </c>
      <c r="B699" s="50">
        <v>1</v>
      </c>
    </row>
    <row r="700" spans="1:2" x14ac:dyDescent="0.25">
      <c r="A700" s="225" t="s">
        <v>1275</v>
      </c>
      <c r="B700" s="50">
        <v>1</v>
      </c>
    </row>
    <row r="701" spans="1:2" x14ac:dyDescent="0.25">
      <c r="A701" s="1" t="s">
        <v>1145</v>
      </c>
      <c r="B701" s="50">
        <v>1</v>
      </c>
    </row>
    <row r="702" spans="1:2" x14ac:dyDescent="0.25">
      <c r="A702" s="224" t="s">
        <v>1146</v>
      </c>
      <c r="B702" s="50">
        <v>1</v>
      </c>
    </row>
    <row r="703" spans="1:2" x14ac:dyDescent="0.25">
      <c r="A703" s="225">
        <v>387</v>
      </c>
      <c r="B703" s="50">
        <v>1</v>
      </c>
    </row>
    <row r="704" spans="1:2" x14ac:dyDescent="0.25">
      <c r="A704" s="1" t="s">
        <v>1799</v>
      </c>
      <c r="B704" s="50">
        <v>1</v>
      </c>
    </row>
    <row r="705" spans="1:2" x14ac:dyDescent="0.25">
      <c r="A705" s="224" t="s">
        <v>1800</v>
      </c>
      <c r="B705" s="50">
        <v>1</v>
      </c>
    </row>
    <row r="706" spans="1:2" x14ac:dyDescent="0.25">
      <c r="A706" s="225">
        <v>506</v>
      </c>
      <c r="B706" s="50">
        <v>1</v>
      </c>
    </row>
    <row r="707" spans="1:2" x14ac:dyDescent="0.25">
      <c r="A707" s="1" t="s">
        <v>1366</v>
      </c>
      <c r="B707" s="50">
        <v>1</v>
      </c>
    </row>
    <row r="708" spans="1:2" x14ac:dyDescent="0.25">
      <c r="A708" s="224" t="s">
        <v>1367</v>
      </c>
      <c r="B708" s="50">
        <v>1</v>
      </c>
    </row>
    <row r="709" spans="1:2" x14ac:dyDescent="0.25">
      <c r="A709" s="225">
        <v>427</v>
      </c>
      <c r="B709" s="50">
        <v>1</v>
      </c>
    </row>
    <row r="710" spans="1:2" x14ac:dyDescent="0.25">
      <c r="A710" s="1" t="s">
        <v>1430</v>
      </c>
      <c r="B710" s="50">
        <v>1</v>
      </c>
    </row>
    <row r="711" spans="1:2" x14ac:dyDescent="0.25">
      <c r="A711" s="224" t="s">
        <v>1431</v>
      </c>
      <c r="B711" s="50">
        <v>1</v>
      </c>
    </row>
    <row r="712" spans="1:2" x14ac:dyDescent="0.25">
      <c r="A712" s="225" t="s">
        <v>1429</v>
      </c>
      <c r="B712" s="50">
        <v>1</v>
      </c>
    </row>
    <row r="713" spans="1:2" x14ac:dyDescent="0.25">
      <c r="A713" s="1" t="s">
        <v>1469</v>
      </c>
      <c r="B713" s="50">
        <v>1</v>
      </c>
    </row>
    <row r="714" spans="1:2" x14ac:dyDescent="0.25">
      <c r="A714" s="224" t="s">
        <v>1470</v>
      </c>
      <c r="B714" s="50">
        <v>1</v>
      </c>
    </row>
    <row r="715" spans="1:2" x14ac:dyDescent="0.25">
      <c r="A715" s="225">
        <v>449</v>
      </c>
      <c r="B715" s="50">
        <v>1</v>
      </c>
    </row>
    <row r="716" spans="1:2" x14ac:dyDescent="0.25">
      <c r="A716" s="1" t="s">
        <v>1827</v>
      </c>
      <c r="B716" s="50">
        <v>1</v>
      </c>
    </row>
    <row r="717" spans="1:2" x14ac:dyDescent="0.25">
      <c r="A717" s="224" t="s">
        <v>1828</v>
      </c>
      <c r="B717" s="50">
        <v>1</v>
      </c>
    </row>
    <row r="718" spans="1:2" x14ac:dyDescent="0.25">
      <c r="A718" s="225" t="s">
        <v>1793</v>
      </c>
      <c r="B718" s="50">
        <v>1</v>
      </c>
    </row>
    <row r="719" spans="1:2" x14ac:dyDescent="0.25">
      <c r="A719" s="1" t="s">
        <v>1090</v>
      </c>
      <c r="B719" s="50">
        <v>1</v>
      </c>
    </row>
    <row r="720" spans="1:2" x14ac:dyDescent="0.25">
      <c r="A720" s="224" t="s">
        <v>1091</v>
      </c>
      <c r="B720" s="50">
        <v>1</v>
      </c>
    </row>
    <row r="721" spans="1:2" x14ac:dyDescent="0.25">
      <c r="A721" s="225" t="s">
        <v>1088</v>
      </c>
      <c r="B721" s="50">
        <v>1</v>
      </c>
    </row>
    <row r="722" spans="1:2" x14ac:dyDescent="0.25">
      <c r="A722" s="1" t="s">
        <v>990</v>
      </c>
      <c r="B722" s="50">
        <v>7</v>
      </c>
    </row>
    <row r="723" spans="1:2" x14ac:dyDescent="0.25">
      <c r="A723" s="224" t="s">
        <v>991</v>
      </c>
      <c r="B723" s="50">
        <v>7</v>
      </c>
    </row>
    <row r="724" spans="1:2" x14ac:dyDescent="0.25">
      <c r="A724" s="225">
        <v>354</v>
      </c>
      <c r="B724" s="50">
        <v>1</v>
      </c>
    </row>
    <row r="725" spans="1:2" x14ac:dyDescent="0.25">
      <c r="A725" s="225">
        <v>429</v>
      </c>
      <c r="B725" s="50">
        <v>1</v>
      </c>
    </row>
    <row r="726" spans="1:2" x14ac:dyDescent="0.25">
      <c r="A726" s="225">
        <v>489</v>
      </c>
      <c r="B726" s="50">
        <v>1</v>
      </c>
    </row>
    <row r="727" spans="1:2" x14ac:dyDescent="0.25">
      <c r="A727" s="225">
        <v>519</v>
      </c>
      <c r="B727" s="50">
        <v>1</v>
      </c>
    </row>
    <row r="728" spans="1:2" x14ac:dyDescent="0.25">
      <c r="A728" s="225" t="s">
        <v>1200</v>
      </c>
      <c r="B728" s="50">
        <v>1</v>
      </c>
    </row>
    <row r="729" spans="1:2" x14ac:dyDescent="0.25">
      <c r="A729" s="225" t="s">
        <v>1677</v>
      </c>
      <c r="B729" s="50">
        <v>1</v>
      </c>
    </row>
    <row r="730" spans="1:2" x14ac:dyDescent="0.25">
      <c r="A730" s="225">
        <v>549</v>
      </c>
      <c r="B730" s="50">
        <v>1</v>
      </c>
    </row>
    <row r="731" spans="1:2" x14ac:dyDescent="0.25">
      <c r="A731" s="1" t="s">
        <v>395</v>
      </c>
      <c r="B731" s="50">
        <v>2</v>
      </c>
    </row>
    <row r="732" spans="1:2" x14ac:dyDescent="0.25">
      <c r="A732" s="224" t="s">
        <v>1098</v>
      </c>
      <c r="B732" s="50">
        <v>1</v>
      </c>
    </row>
    <row r="733" spans="1:2" x14ac:dyDescent="0.25">
      <c r="A733" s="225" t="s">
        <v>1097</v>
      </c>
      <c r="B733" s="50">
        <v>1</v>
      </c>
    </row>
    <row r="734" spans="1:2" x14ac:dyDescent="0.25">
      <c r="A734" s="224" t="s">
        <v>396</v>
      </c>
      <c r="B734" s="50">
        <v>1</v>
      </c>
    </row>
    <row r="735" spans="1:2" x14ac:dyDescent="0.25">
      <c r="A735" s="225">
        <v>104</v>
      </c>
      <c r="B735" s="50">
        <v>1</v>
      </c>
    </row>
    <row r="736" spans="1:2" x14ac:dyDescent="0.25">
      <c r="A736" s="1" t="s">
        <v>1158</v>
      </c>
      <c r="B736" s="50">
        <v>1</v>
      </c>
    </row>
    <row r="737" spans="1:2" x14ac:dyDescent="0.25">
      <c r="A737" s="224" t="s">
        <v>1159</v>
      </c>
      <c r="B737" s="50">
        <v>1</v>
      </c>
    </row>
    <row r="738" spans="1:2" x14ac:dyDescent="0.25">
      <c r="A738" s="225">
        <v>392</v>
      </c>
      <c r="B738" s="50">
        <v>1</v>
      </c>
    </row>
    <row r="739" spans="1:2" x14ac:dyDescent="0.25">
      <c r="A739" s="1" t="s">
        <v>360</v>
      </c>
      <c r="B739" s="50">
        <v>1</v>
      </c>
    </row>
    <row r="740" spans="1:2" x14ac:dyDescent="0.25">
      <c r="A740" s="224" t="s">
        <v>361</v>
      </c>
      <c r="B740" s="50">
        <v>1</v>
      </c>
    </row>
    <row r="741" spans="1:2" x14ac:dyDescent="0.25">
      <c r="A741" s="225" t="s">
        <v>359</v>
      </c>
      <c r="B741" s="50">
        <v>1</v>
      </c>
    </row>
    <row r="742" spans="1:2" x14ac:dyDescent="0.25">
      <c r="A742" s="1" t="s">
        <v>401</v>
      </c>
      <c r="B742" s="50">
        <v>1</v>
      </c>
    </row>
    <row r="743" spans="1:2" x14ac:dyDescent="0.25">
      <c r="A743" s="224" t="s">
        <v>402</v>
      </c>
      <c r="B743" s="50">
        <v>1</v>
      </c>
    </row>
    <row r="744" spans="1:2" x14ac:dyDescent="0.25">
      <c r="A744" s="225">
        <v>107</v>
      </c>
      <c r="B744" s="50">
        <v>1</v>
      </c>
    </row>
    <row r="745" spans="1:2" x14ac:dyDescent="0.25">
      <c r="A745" s="1" t="s">
        <v>1592</v>
      </c>
      <c r="B745" s="50">
        <v>1</v>
      </c>
    </row>
    <row r="746" spans="1:2" x14ac:dyDescent="0.25">
      <c r="A746" s="224" t="s">
        <v>1593</v>
      </c>
      <c r="B746" s="50">
        <v>1</v>
      </c>
    </row>
    <row r="747" spans="1:2" x14ac:dyDescent="0.25">
      <c r="A747" s="225">
        <v>477</v>
      </c>
      <c r="B747" s="50">
        <v>1</v>
      </c>
    </row>
    <row r="748" spans="1:2" x14ac:dyDescent="0.25">
      <c r="A748" s="1" t="s">
        <v>1329</v>
      </c>
      <c r="B748" s="50">
        <v>1</v>
      </c>
    </row>
    <row r="749" spans="1:2" x14ac:dyDescent="0.25">
      <c r="A749" s="224" t="s">
        <v>1330</v>
      </c>
      <c r="B749" s="50">
        <v>1</v>
      </c>
    </row>
    <row r="750" spans="1:2" x14ac:dyDescent="0.25">
      <c r="A750" s="225">
        <v>413</v>
      </c>
      <c r="B750" s="50">
        <v>1</v>
      </c>
    </row>
    <row r="751" spans="1:2" x14ac:dyDescent="0.25">
      <c r="A751" s="1" t="s">
        <v>1030</v>
      </c>
      <c r="B751" s="50">
        <v>1</v>
      </c>
    </row>
    <row r="752" spans="1:2" x14ac:dyDescent="0.25">
      <c r="A752" s="224" t="s">
        <v>382</v>
      </c>
      <c r="B752" s="50">
        <v>1</v>
      </c>
    </row>
    <row r="753" spans="1:2" x14ac:dyDescent="0.25">
      <c r="A753" s="225" t="s">
        <v>1029</v>
      </c>
      <c r="B753" s="50">
        <v>1</v>
      </c>
    </row>
    <row r="754" spans="1:2" x14ac:dyDescent="0.25">
      <c r="A754" s="1" t="s">
        <v>381</v>
      </c>
      <c r="B754" s="50">
        <v>1</v>
      </c>
    </row>
    <row r="755" spans="1:2" x14ac:dyDescent="0.25">
      <c r="A755" s="224" t="s">
        <v>382</v>
      </c>
      <c r="B755" s="50">
        <v>1</v>
      </c>
    </row>
    <row r="756" spans="1:2" x14ac:dyDescent="0.25">
      <c r="A756" s="225">
        <v>101</v>
      </c>
      <c r="B756" s="50">
        <v>1</v>
      </c>
    </row>
    <row r="757" spans="1:2" x14ac:dyDescent="0.25">
      <c r="A757" s="1" t="s">
        <v>420</v>
      </c>
      <c r="B757" s="50">
        <v>4</v>
      </c>
    </row>
    <row r="758" spans="1:2" x14ac:dyDescent="0.25">
      <c r="A758" s="224" t="s">
        <v>740</v>
      </c>
      <c r="B758" s="50">
        <v>3</v>
      </c>
    </row>
    <row r="759" spans="1:2" x14ac:dyDescent="0.25">
      <c r="A759" s="225">
        <v>246</v>
      </c>
      <c r="B759" s="50">
        <v>1</v>
      </c>
    </row>
    <row r="760" spans="1:2" x14ac:dyDescent="0.25">
      <c r="A760" s="225">
        <v>423</v>
      </c>
      <c r="B760" s="50">
        <v>1</v>
      </c>
    </row>
    <row r="761" spans="1:2" x14ac:dyDescent="0.25">
      <c r="A761" s="225" t="s">
        <v>2116</v>
      </c>
      <c r="B761" s="50">
        <v>1</v>
      </c>
    </row>
    <row r="762" spans="1:2" x14ac:dyDescent="0.25">
      <c r="A762" s="224" t="s">
        <v>421</v>
      </c>
      <c r="B762" s="50">
        <v>1</v>
      </c>
    </row>
    <row r="763" spans="1:2" x14ac:dyDescent="0.25">
      <c r="A763" s="225">
        <v>113</v>
      </c>
      <c r="B763" s="50">
        <v>1</v>
      </c>
    </row>
    <row r="764" spans="1:2" x14ac:dyDescent="0.25">
      <c r="A764" s="1" t="s">
        <v>1657</v>
      </c>
      <c r="B764" s="50">
        <v>1</v>
      </c>
    </row>
    <row r="765" spans="1:2" x14ac:dyDescent="0.25">
      <c r="A765" s="224" t="s">
        <v>1658</v>
      </c>
      <c r="B765" s="50">
        <v>1</v>
      </c>
    </row>
    <row r="766" spans="1:2" x14ac:dyDescent="0.25">
      <c r="A766" s="225">
        <v>499</v>
      </c>
      <c r="B766" s="50">
        <v>1</v>
      </c>
    </row>
    <row r="767" spans="1:2" x14ac:dyDescent="0.25">
      <c r="A767" s="1" t="s">
        <v>409</v>
      </c>
      <c r="B767" s="50">
        <v>2</v>
      </c>
    </row>
    <row r="768" spans="1:2" x14ac:dyDescent="0.25">
      <c r="A768" s="224" t="s">
        <v>410</v>
      </c>
      <c r="B768" s="50">
        <v>2</v>
      </c>
    </row>
    <row r="769" spans="1:2" x14ac:dyDescent="0.25">
      <c r="A769" s="225">
        <v>109</v>
      </c>
      <c r="B769" s="50">
        <v>1</v>
      </c>
    </row>
    <row r="770" spans="1:2" x14ac:dyDescent="0.25">
      <c r="A770" s="225" t="s">
        <v>976</v>
      </c>
      <c r="B770" s="50">
        <v>1</v>
      </c>
    </row>
    <row r="771" spans="1:2" x14ac:dyDescent="0.25">
      <c r="A771" s="1" t="s">
        <v>1207</v>
      </c>
      <c r="B771" s="50">
        <v>1</v>
      </c>
    </row>
    <row r="772" spans="1:2" x14ac:dyDescent="0.25">
      <c r="A772" s="224" t="s">
        <v>1208</v>
      </c>
      <c r="B772" s="50">
        <v>1</v>
      </c>
    </row>
    <row r="773" spans="1:2" x14ac:dyDescent="0.25">
      <c r="A773" s="225" t="s">
        <v>1206</v>
      </c>
      <c r="B773" s="50">
        <v>1</v>
      </c>
    </row>
    <row r="774" spans="1:2" x14ac:dyDescent="0.25">
      <c r="A774" s="1" t="s">
        <v>944</v>
      </c>
      <c r="B774" s="50">
        <v>1</v>
      </c>
    </row>
    <row r="775" spans="1:2" x14ac:dyDescent="0.25">
      <c r="A775" s="224" t="s">
        <v>945</v>
      </c>
      <c r="B775" s="50">
        <v>1</v>
      </c>
    </row>
    <row r="776" spans="1:2" x14ac:dyDescent="0.25">
      <c r="A776" s="225">
        <v>341</v>
      </c>
      <c r="B776" s="50">
        <v>1</v>
      </c>
    </row>
    <row r="777" spans="1:2" x14ac:dyDescent="0.25">
      <c r="A777" s="1" t="s">
        <v>1795</v>
      </c>
      <c r="B777" s="50">
        <v>2</v>
      </c>
    </row>
    <row r="778" spans="1:2" x14ac:dyDescent="0.25">
      <c r="A778" s="224" t="s">
        <v>1796</v>
      </c>
      <c r="B778" s="50">
        <v>2</v>
      </c>
    </row>
    <row r="779" spans="1:2" x14ac:dyDescent="0.25">
      <c r="A779" s="225">
        <v>502</v>
      </c>
      <c r="B779" s="50">
        <v>1</v>
      </c>
    </row>
    <row r="780" spans="1:2" x14ac:dyDescent="0.25">
      <c r="A780" s="225" t="s">
        <v>2121</v>
      </c>
      <c r="B780" s="50">
        <v>1</v>
      </c>
    </row>
    <row r="781" spans="1:2" x14ac:dyDescent="0.25">
      <c r="A781" s="1" t="s">
        <v>835</v>
      </c>
      <c r="B781" s="50">
        <v>1</v>
      </c>
    </row>
    <row r="782" spans="1:2" x14ac:dyDescent="0.25">
      <c r="A782" s="224" t="s">
        <v>836</v>
      </c>
      <c r="B782" s="50">
        <v>1</v>
      </c>
    </row>
    <row r="783" spans="1:2" x14ac:dyDescent="0.25">
      <c r="A783" s="225">
        <v>304</v>
      </c>
      <c r="B783" s="50">
        <v>1</v>
      </c>
    </row>
    <row r="784" spans="1:2" x14ac:dyDescent="0.25">
      <c r="A784" s="1" t="s">
        <v>546</v>
      </c>
      <c r="B784" s="50">
        <v>5</v>
      </c>
    </row>
    <row r="785" spans="1:2" x14ac:dyDescent="0.25">
      <c r="A785" s="224" t="s">
        <v>547</v>
      </c>
      <c r="B785" s="50">
        <v>5</v>
      </c>
    </row>
    <row r="786" spans="1:2" x14ac:dyDescent="0.25">
      <c r="A786" s="225">
        <v>478</v>
      </c>
      <c r="B786" s="50">
        <v>1</v>
      </c>
    </row>
    <row r="787" spans="1:2" x14ac:dyDescent="0.25">
      <c r="A787" s="225" t="s">
        <v>545</v>
      </c>
      <c r="B787" s="50">
        <v>1</v>
      </c>
    </row>
    <row r="788" spans="1:2" x14ac:dyDescent="0.25">
      <c r="A788" s="225" t="s">
        <v>636</v>
      </c>
      <c r="B788" s="50">
        <v>1</v>
      </c>
    </row>
    <row r="789" spans="1:2" x14ac:dyDescent="0.25">
      <c r="A789" s="225" t="s">
        <v>858</v>
      </c>
      <c r="B789" s="50">
        <v>1</v>
      </c>
    </row>
    <row r="790" spans="1:2" x14ac:dyDescent="0.25">
      <c r="A790" s="225" t="s">
        <v>861</v>
      </c>
      <c r="B790" s="50">
        <v>1</v>
      </c>
    </row>
    <row r="791" spans="1:2" x14ac:dyDescent="0.25">
      <c r="A791" s="1" t="s">
        <v>786</v>
      </c>
      <c r="B791" s="50">
        <v>2</v>
      </c>
    </row>
    <row r="792" spans="1:2" x14ac:dyDescent="0.25">
      <c r="A792" s="224" t="s">
        <v>787</v>
      </c>
      <c r="B792" s="50">
        <v>2</v>
      </c>
    </row>
    <row r="793" spans="1:2" x14ac:dyDescent="0.25">
      <c r="A793" s="225">
        <v>277</v>
      </c>
      <c r="B793" s="50">
        <v>1</v>
      </c>
    </row>
    <row r="794" spans="1:2" x14ac:dyDescent="0.25">
      <c r="A794" s="225">
        <v>350</v>
      </c>
      <c r="B794" s="50">
        <v>1</v>
      </c>
    </row>
    <row r="795" spans="1:2" x14ac:dyDescent="0.25">
      <c r="A795" s="1" t="s">
        <v>1448</v>
      </c>
      <c r="B795" s="50">
        <v>2</v>
      </c>
    </row>
    <row r="796" spans="1:2" x14ac:dyDescent="0.25">
      <c r="A796" s="224" t="s">
        <v>1449</v>
      </c>
      <c r="B796" s="50">
        <v>2</v>
      </c>
    </row>
    <row r="797" spans="1:2" x14ac:dyDescent="0.25">
      <c r="A797" s="225">
        <v>440</v>
      </c>
      <c r="B797" s="50">
        <v>1</v>
      </c>
    </row>
    <row r="798" spans="1:2" x14ac:dyDescent="0.25">
      <c r="A798" s="225" t="s">
        <v>2019</v>
      </c>
      <c r="B798" s="50">
        <v>1</v>
      </c>
    </row>
    <row r="799" spans="1:2" x14ac:dyDescent="0.25">
      <c r="A799" s="1" t="s">
        <v>230</v>
      </c>
      <c r="B799" s="50">
        <v>1</v>
      </c>
    </row>
    <row r="800" spans="1:2" x14ac:dyDescent="0.25">
      <c r="A800" s="224" t="s">
        <v>231</v>
      </c>
      <c r="B800" s="50">
        <v>1</v>
      </c>
    </row>
    <row r="801" spans="1:2" x14ac:dyDescent="0.25">
      <c r="A801" s="225" t="s">
        <v>229</v>
      </c>
      <c r="B801" s="50">
        <v>1</v>
      </c>
    </row>
    <row r="802" spans="1:2" x14ac:dyDescent="0.25">
      <c r="A802" s="1" t="s">
        <v>1648</v>
      </c>
      <c r="B802" s="50">
        <v>2</v>
      </c>
    </row>
    <row r="803" spans="1:2" x14ac:dyDescent="0.25">
      <c r="A803" s="224" t="s">
        <v>1649</v>
      </c>
      <c r="B803" s="50">
        <v>2</v>
      </c>
    </row>
    <row r="804" spans="1:2" x14ac:dyDescent="0.25">
      <c r="A804" s="225">
        <v>495</v>
      </c>
      <c r="B804" s="50">
        <v>1</v>
      </c>
    </row>
    <row r="805" spans="1:2" x14ac:dyDescent="0.25">
      <c r="A805" s="225" t="s">
        <v>2117</v>
      </c>
      <c r="B805" s="50">
        <v>1</v>
      </c>
    </row>
    <row r="806" spans="1:2" x14ac:dyDescent="0.25">
      <c r="A806" s="1" t="s">
        <v>1505</v>
      </c>
      <c r="B806" s="50">
        <v>2</v>
      </c>
    </row>
    <row r="807" spans="1:2" x14ac:dyDescent="0.25">
      <c r="A807" s="224" t="s">
        <v>1506</v>
      </c>
      <c r="B807" s="50">
        <v>2</v>
      </c>
    </row>
    <row r="808" spans="1:2" x14ac:dyDescent="0.25">
      <c r="A808" s="225">
        <v>461</v>
      </c>
      <c r="B808" s="50">
        <v>1</v>
      </c>
    </row>
    <row r="809" spans="1:2" x14ac:dyDescent="0.25">
      <c r="A809" s="225" t="s">
        <v>2114</v>
      </c>
      <c r="B809" s="50">
        <v>1</v>
      </c>
    </row>
    <row r="810" spans="1:2" x14ac:dyDescent="0.25">
      <c r="A810" s="1" t="s">
        <v>706</v>
      </c>
      <c r="B810" s="50">
        <v>1</v>
      </c>
    </row>
    <row r="811" spans="1:2" x14ac:dyDescent="0.25">
      <c r="A811" s="224" t="s">
        <v>707</v>
      </c>
      <c r="B811" s="50">
        <v>1</v>
      </c>
    </row>
    <row r="812" spans="1:2" x14ac:dyDescent="0.25">
      <c r="A812" s="225">
        <v>235</v>
      </c>
      <c r="B812" s="50">
        <v>1</v>
      </c>
    </row>
    <row r="813" spans="1:2" x14ac:dyDescent="0.25">
      <c r="A813" s="1" t="s">
        <v>1601</v>
      </c>
      <c r="B813" s="50">
        <v>1</v>
      </c>
    </row>
    <row r="814" spans="1:2" x14ac:dyDescent="0.25">
      <c r="A814" s="224" t="s">
        <v>1602</v>
      </c>
      <c r="B814" s="50">
        <v>1</v>
      </c>
    </row>
    <row r="815" spans="1:2" x14ac:dyDescent="0.25">
      <c r="A815" s="225">
        <v>480</v>
      </c>
      <c r="B815" s="50">
        <v>1</v>
      </c>
    </row>
    <row r="816" spans="1:2" x14ac:dyDescent="0.25">
      <c r="A816" s="1" t="s">
        <v>1642</v>
      </c>
      <c r="B816" s="50">
        <v>1</v>
      </c>
    </row>
    <row r="817" spans="1:2" x14ac:dyDescent="0.25">
      <c r="A817" s="224" t="s">
        <v>1643</v>
      </c>
      <c r="B817" s="50">
        <v>1</v>
      </c>
    </row>
    <row r="818" spans="1:2" x14ac:dyDescent="0.25">
      <c r="A818" s="225">
        <v>494</v>
      </c>
      <c r="B818" s="50">
        <v>1</v>
      </c>
    </row>
    <row r="819" spans="1:2" x14ac:dyDescent="0.25">
      <c r="A819" s="1" t="s">
        <v>615</v>
      </c>
      <c r="B819" s="50">
        <v>1</v>
      </c>
    </row>
    <row r="820" spans="1:2" x14ac:dyDescent="0.25">
      <c r="A820" s="224" t="s">
        <v>616</v>
      </c>
      <c r="B820" s="50">
        <v>1</v>
      </c>
    </row>
    <row r="821" spans="1:2" x14ac:dyDescent="0.25">
      <c r="A821" s="225">
        <v>182</v>
      </c>
      <c r="B821" s="50">
        <v>1</v>
      </c>
    </row>
    <row r="822" spans="1:2" x14ac:dyDescent="0.25">
      <c r="A822" s="1" t="s">
        <v>898</v>
      </c>
      <c r="B822" s="50">
        <v>2</v>
      </c>
    </row>
    <row r="823" spans="1:2" x14ac:dyDescent="0.25">
      <c r="A823" s="224" t="s">
        <v>899</v>
      </c>
      <c r="B823" s="50">
        <v>2</v>
      </c>
    </row>
    <row r="824" spans="1:2" x14ac:dyDescent="0.25">
      <c r="A824" s="225">
        <v>328</v>
      </c>
      <c r="B824" s="50">
        <v>1</v>
      </c>
    </row>
    <row r="825" spans="1:2" x14ac:dyDescent="0.25">
      <c r="A825" s="225" t="s">
        <v>1190</v>
      </c>
      <c r="B825" s="50">
        <v>1</v>
      </c>
    </row>
    <row r="826" spans="1:2" x14ac:dyDescent="0.25">
      <c r="A826" s="1" t="s">
        <v>335</v>
      </c>
      <c r="B826" s="50">
        <v>1</v>
      </c>
    </row>
    <row r="827" spans="1:2" x14ac:dyDescent="0.25">
      <c r="A827" s="224" t="s">
        <v>336</v>
      </c>
      <c r="B827" s="50">
        <v>1</v>
      </c>
    </row>
    <row r="828" spans="1:2" x14ac:dyDescent="0.25">
      <c r="A828" s="225" t="s">
        <v>334</v>
      </c>
      <c r="B828" s="50">
        <v>1</v>
      </c>
    </row>
    <row r="829" spans="1:2" x14ac:dyDescent="0.25">
      <c r="A829" s="1" t="s">
        <v>514</v>
      </c>
      <c r="B829" s="50">
        <v>1</v>
      </c>
    </row>
    <row r="830" spans="1:2" x14ac:dyDescent="0.25">
      <c r="A830" s="224" t="s">
        <v>515</v>
      </c>
      <c r="B830" s="50">
        <v>1</v>
      </c>
    </row>
    <row r="831" spans="1:2" x14ac:dyDescent="0.25">
      <c r="A831" s="225">
        <v>142</v>
      </c>
      <c r="B831" s="50">
        <v>1</v>
      </c>
    </row>
    <row r="832" spans="1:2" x14ac:dyDescent="0.25">
      <c r="A832" s="1" t="s">
        <v>1314</v>
      </c>
      <c r="B832" s="50">
        <v>1</v>
      </c>
    </row>
    <row r="833" spans="1:2" x14ac:dyDescent="0.25">
      <c r="A833" s="224" t="s">
        <v>1315</v>
      </c>
      <c r="B833" s="50">
        <v>1</v>
      </c>
    </row>
    <row r="834" spans="1:2" x14ac:dyDescent="0.25">
      <c r="A834" s="225">
        <v>410</v>
      </c>
      <c r="B834" s="50">
        <v>1</v>
      </c>
    </row>
    <row r="835" spans="1:2" x14ac:dyDescent="0.25">
      <c r="A835" s="1" t="s">
        <v>1288</v>
      </c>
      <c r="B835" s="50">
        <v>1</v>
      </c>
    </row>
    <row r="836" spans="1:2" x14ac:dyDescent="0.25">
      <c r="A836" s="224" t="s">
        <v>1289</v>
      </c>
      <c r="B836" s="50">
        <v>1</v>
      </c>
    </row>
    <row r="837" spans="1:2" x14ac:dyDescent="0.25">
      <c r="A837" s="225">
        <v>404</v>
      </c>
      <c r="B837" s="50">
        <v>1</v>
      </c>
    </row>
    <row r="838" spans="1:2" x14ac:dyDescent="0.25">
      <c r="A838" s="1" t="s">
        <v>1016</v>
      </c>
      <c r="B838" s="50">
        <v>1</v>
      </c>
    </row>
    <row r="839" spans="1:2" x14ac:dyDescent="0.25">
      <c r="A839" s="224" t="s">
        <v>1017</v>
      </c>
      <c r="B839" s="50">
        <v>1</v>
      </c>
    </row>
    <row r="840" spans="1:2" x14ac:dyDescent="0.25">
      <c r="A840" s="225">
        <v>364</v>
      </c>
      <c r="B840" s="50">
        <v>1</v>
      </c>
    </row>
    <row r="841" spans="1:2" x14ac:dyDescent="0.25">
      <c r="A841" s="1" t="s">
        <v>1821</v>
      </c>
      <c r="B841" s="50">
        <v>1</v>
      </c>
    </row>
    <row r="842" spans="1:2" x14ac:dyDescent="0.25">
      <c r="A842" s="224" t="s">
        <v>1822</v>
      </c>
      <c r="B842" s="50">
        <v>1</v>
      </c>
    </row>
    <row r="843" spans="1:2" x14ac:dyDescent="0.25">
      <c r="A843" s="225" t="s">
        <v>1789</v>
      </c>
      <c r="B843" s="50">
        <v>1</v>
      </c>
    </row>
    <row r="844" spans="1:2" x14ac:dyDescent="0.25">
      <c r="A844" s="1" t="s">
        <v>696</v>
      </c>
      <c r="B844" s="50">
        <v>3</v>
      </c>
    </row>
    <row r="845" spans="1:2" x14ac:dyDescent="0.25">
      <c r="A845" s="224" t="s">
        <v>697</v>
      </c>
      <c r="B845" s="50">
        <v>3</v>
      </c>
    </row>
    <row r="846" spans="1:2" x14ac:dyDescent="0.25">
      <c r="A846" s="225">
        <v>232</v>
      </c>
      <c r="B846" s="50">
        <v>1</v>
      </c>
    </row>
    <row r="847" spans="1:2" x14ac:dyDescent="0.25">
      <c r="A847" s="225">
        <v>335</v>
      </c>
      <c r="B847" s="50">
        <v>1</v>
      </c>
    </row>
    <row r="848" spans="1:2" x14ac:dyDescent="0.25">
      <c r="A848" s="225" t="s">
        <v>2018</v>
      </c>
      <c r="B848" s="50">
        <v>1</v>
      </c>
    </row>
    <row r="849" spans="1:2" x14ac:dyDescent="0.25">
      <c r="A849" s="1" t="s">
        <v>1584</v>
      </c>
      <c r="B849" s="50">
        <v>1</v>
      </c>
    </row>
    <row r="850" spans="1:2" x14ac:dyDescent="0.25">
      <c r="A850" s="224" t="s">
        <v>1585</v>
      </c>
      <c r="B850" s="50">
        <v>1</v>
      </c>
    </row>
    <row r="851" spans="1:2" x14ac:dyDescent="0.25">
      <c r="A851" s="225">
        <v>473</v>
      </c>
      <c r="B851" s="50">
        <v>1</v>
      </c>
    </row>
    <row r="852" spans="1:2" x14ac:dyDescent="0.25">
      <c r="A852" s="1" t="s">
        <v>1176</v>
      </c>
      <c r="B852" s="50">
        <v>1</v>
      </c>
    </row>
    <row r="853" spans="1:2" x14ac:dyDescent="0.25">
      <c r="A853" s="224" t="s">
        <v>1177</v>
      </c>
      <c r="B853" s="50">
        <v>1</v>
      </c>
    </row>
    <row r="854" spans="1:2" x14ac:dyDescent="0.25">
      <c r="A854" s="225">
        <v>401</v>
      </c>
      <c r="B854" s="50">
        <v>1</v>
      </c>
    </row>
    <row r="855" spans="1:2" x14ac:dyDescent="0.25">
      <c r="A855" s="1" t="s">
        <v>500</v>
      </c>
      <c r="B855" s="50">
        <v>3</v>
      </c>
    </row>
    <row r="856" spans="1:2" x14ac:dyDescent="0.25">
      <c r="A856" s="224" t="s">
        <v>501</v>
      </c>
      <c r="B856" s="50">
        <v>3</v>
      </c>
    </row>
    <row r="857" spans="1:2" x14ac:dyDescent="0.25">
      <c r="A857" s="225">
        <v>138</v>
      </c>
      <c r="B857" s="50">
        <v>1</v>
      </c>
    </row>
    <row r="858" spans="1:2" x14ac:dyDescent="0.25">
      <c r="A858" s="225">
        <v>476</v>
      </c>
      <c r="B858" s="50">
        <v>1</v>
      </c>
    </row>
    <row r="859" spans="1:2" x14ac:dyDescent="0.25">
      <c r="A859" s="225" t="s">
        <v>967</v>
      </c>
      <c r="B859" s="50">
        <v>1</v>
      </c>
    </row>
    <row r="860" spans="1:2" x14ac:dyDescent="0.25">
      <c r="A860" s="1" t="s">
        <v>866</v>
      </c>
      <c r="B860" s="50">
        <v>2</v>
      </c>
    </row>
    <row r="861" spans="1:2" x14ac:dyDescent="0.25">
      <c r="A861" s="224" t="s">
        <v>867</v>
      </c>
      <c r="B861" s="50">
        <v>2</v>
      </c>
    </row>
    <row r="862" spans="1:2" x14ac:dyDescent="0.25">
      <c r="A862" s="225">
        <v>316</v>
      </c>
      <c r="B862" s="50">
        <v>1</v>
      </c>
    </row>
    <row r="863" spans="1:2" x14ac:dyDescent="0.25">
      <c r="A863" s="225" t="s">
        <v>1689</v>
      </c>
      <c r="B863" s="50">
        <v>1</v>
      </c>
    </row>
    <row r="864" spans="1:2" x14ac:dyDescent="0.25">
      <c r="A864" s="1" t="s">
        <v>1801</v>
      </c>
      <c r="B864" s="50">
        <v>1</v>
      </c>
    </row>
    <row r="865" spans="1:2" x14ac:dyDescent="0.25">
      <c r="A865" s="224" t="s">
        <v>1802</v>
      </c>
      <c r="B865" s="50">
        <v>1</v>
      </c>
    </row>
    <row r="866" spans="1:2" x14ac:dyDescent="0.25">
      <c r="A866" s="225">
        <v>507</v>
      </c>
      <c r="B866" s="50">
        <v>1</v>
      </c>
    </row>
    <row r="867" spans="1:2" x14ac:dyDescent="0.25">
      <c r="A867" s="1" t="s">
        <v>1150</v>
      </c>
      <c r="B867" s="50">
        <v>2</v>
      </c>
    </row>
    <row r="868" spans="1:2" x14ac:dyDescent="0.25">
      <c r="A868" s="224" t="s">
        <v>1151</v>
      </c>
      <c r="B868" s="50">
        <v>2</v>
      </c>
    </row>
    <row r="869" spans="1:2" x14ac:dyDescent="0.25">
      <c r="A869" s="225">
        <v>389</v>
      </c>
      <c r="B869" s="50">
        <v>1</v>
      </c>
    </row>
    <row r="870" spans="1:2" x14ac:dyDescent="0.25">
      <c r="A870" s="225" t="s">
        <v>1666</v>
      </c>
      <c r="B870" s="50">
        <v>1</v>
      </c>
    </row>
    <row r="871" spans="1:2" x14ac:dyDescent="0.25">
      <c r="A871" s="1" t="s">
        <v>376</v>
      </c>
      <c r="B871" s="50">
        <v>1</v>
      </c>
    </row>
    <row r="872" spans="1:2" x14ac:dyDescent="0.25">
      <c r="A872" s="224" t="s">
        <v>377</v>
      </c>
      <c r="B872" s="50">
        <v>1</v>
      </c>
    </row>
    <row r="873" spans="1:2" x14ac:dyDescent="0.25">
      <c r="A873" s="225" t="s">
        <v>375</v>
      </c>
      <c r="B873" s="50">
        <v>1</v>
      </c>
    </row>
    <row r="874" spans="1:2" x14ac:dyDescent="0.25">
      <c r="A874" s="1" t="s">
        <v>340</v>
      </c>
      <c r="B874" s="50">
        <v>1</v>
      </c>
    </row>
    <row r="875" spans="1:2" x14ac:dyDescent="0.25">
      <c r="A875" s="224" t="s">
        <v>341</v>
      </c>
      <c r="B875" s="50">
        <v>1</v>
      </c>
    </row>
    <row r="876" spans="1:2" x14ac:dyDescent="0.25">
      <c r="A876" s="225" t="s">
        <v>339</v>
      </c>
      <c r="B876" s="50">
        <v>1</v>
      </c>
    </row>
    <row r="877" spans="1:2" x14ac:dyDescent="0.25">
      <c r="A877" s="1" t="s">
        <v>522</v>
      </c>
      <c r="B877" s="50">
        <v>1</v>
      </c>
    </row>
    <row r="878" spans="1:2" x14ac:dyDescent="0.25">
      <c r="A878" s="224" t="s">
        <v>523</v>
      </c>
      <c r="B878" s="50">
        <v>1</v>
      </c>
    </row>
    <row r="879" spans="1:2" x14ac:dyDescent="0.25">
      <c r="A879" s="225">
        <v>145</v>
      </c>
      <c r="B879" s="50">
        <v>1</v>
      </c>
    </row>
    <row r="880" spans="1:2" x14ac:dyDescent="0.25">
      <c r="A880" s="1" t="s">
        <v>1100</v>
      </c>
      <c r="B880" s="50">
        <v>1</v>
      </c>
    </row>
    <row r="881" spans="1:2" x14ac:dyDescent="0.25">
      <c r="A881" s="224" t="s">
        <v>1101</v>
      </c>
      <c r="B881" s="50">
        <v>1</v>
      </c>
    </row>
    <row r="882" spans="1:2" x14ac:dyDescent="0.25">
      <c r="A882" s="225" t="s">
        <v>1099</v>
      </c>
      <c r="B882" s="50">
        <v>1</v>
      </c>
    </row>
    <row r="883" spans="1:2" x14ac:dyDescent="0.25">
      <c r="A883" s="1" t="s">
        <v>345</v>
      </c>
      <c r="B883" s="50">
        <v>1</v>
      </c>
    </row>
    <row r="884" spans="1:2" x14ac:dyDescent="0.25">
      <c r="A884" s="224" t="s">
        <v>346</v>
      </c>
      <c r="B884" s="50">
        <v>1</v>
      </c>
    </row>
    <row r="885" spans="1:2" x14ac:dyDescent="0.25">
      <c r="A885" s="225" t="s">
        <v>344</v>
      </c>
      <c r="B885" s="50">
        <v>1</v>
      </c>
    </row>
    <row r="886" spans="1:2" x14ac:dyDescent="0.25">
      <c r="A886" s="1" t="s">
        <v>984</v>
      </c>
      <c r="B886" s="50">
        <v>1</v>
      </c>
    </row>
    <row r="887" spans="1:2" x14ac:dyDescent="0.25">
      <c r="A887" s="224" t="s">
        <v>985</v>
      </c>
      <c r="B887" s="50">
        <v>1</v>
      </c>
    </row>
    <row r="888" spans="1:2" x14ac:dyDescent="0.25">
      <c r="A888" s="225">
        <v>351</v>
      </c>
      <c r="B888" s="50">
        <v>1</v>
      </c>
    </row>
    <row r="889" spans="1:2" x14ac:dyDescent="0.25">
      <c r="A889" s="1" t="s">
        <v>244</v>
      </c>
      <c r="B889" s="50">
        <v>1</v>
      </c>
    </row>
    <row r="890" spans="1:2" x14ac:dyDescent="0.25">
      <c r="A890" s="224" t="s">
        <v>245</v>
      </c>
      <c r="B890" s="50">
        <v>1</v>
      </c>
    </row>
    <row r="891" spans="1:2" x14ac:dyDescent="0.25">
      <c r="A891" s="225" t="s">
        <v>242</v>
      </c>
      <c r="B891" s="50">
        <v>1</v>
      </c>
    </row>
    <row r="892" spans="1:2" x14ac:dyDescent="0.25">
      <c r="A892" s="1" t="s">
        <v>1823</v>
      </c>
      <c r="B892" s="50">
        <v>1</v>
      </c>
    </row>
    <row r="893" spans="1:2" x14ac:dyDescent="0.25">
      <c r="A893" s="224" t="s">
        <v>1824</v>
      </c>
      <c r="B893" s="50">
        <v>1</v>
      </c>
    </row>
    <row r="894" spans="1:2" x14ac:dyDescent="0.25">
      <c r="A894" s="225" t="s">
        <v>1790</v>
      </c>
      <c r="B894" s="50">
        <v>1</v>
      </c>
    </row>
    <row r="895" spans="1:2" x14ac:dyDescent="0.25">
      <c r="A895" s="1" t="s">
        <v>331</v>
      </c>
      <c r="B895" s="50">
        <v>1</v>
      </c>
    </row>
    <row r="896" spans="1:2" x14ac:dyDescent="0.25">
      <c r="A896" s="224" t="s">
        <v>332</v>
      </c>
      <c r="B896" s="50">
        <v>1</v>
      </c>
    </row>
    <row r="897" spans="1:2" x14ac:dyDescent="0.25">
      <c r="A897" s="225" t="s">
        <v>329</v>
      </c>
      <c r="B897" s="50">
        <v>1</v>
      </c>
    </row>
    <row r="898" spans="1:2" x14ac:dyDescent="0.25">
      <c r="A898" s="1" t="s">
        <v>1407</v>
      </c>
      <c r="B898" s="50">
        <v>5</v>
      </c>
    </row>
    <row r="899" spans="1:2" x14ac:dyDescent="0.25">
      <c r="A899" s="224" t="s">
        <v>1408</v>
      </c>
      <c r="B899" s="50">
        <v>5</v>
      </c>
    </row>
    <row r="900" spans="1:2" x14ac:dyDescent="0.25">
      <c r="A900" s="225">
        <v>453</v>
      </c>
      <c r="B900" s="50">
        <v>1</v>
      </c>
    </row>
    <row r="901" spans="1:2" x14ac:dyDescent="0.25">
      <c r="A901" s="225" t="s">
        <v>1406</v>
      </c>
      <c r="B901" s="50">
        <v>1</v>
      </c>
    </row>
    <row r="902" spans="1:2" x14ac:dyDescent="0.25">
      <c r="A902" s="225" t="s">
        <v>1410</v>
      </c>
      <c r="B902" s="50">
        <v>1</v>
      </c>
    </row>
    <row r="903" spans="1:2" x14ac:dyDescent="0.25">
      <c r="A903" s="225" t="s">
        <v>1418</v>
      </c>
      <c r="B903" s="50">
        <v>1</v>
      </c>
    </row>
    <row r="904" spans="1:2" x14ac:dyDescent="0.25">
      <c r="A904" s="225" t="s">
        <v>1421</v>
      </c>
      <c r="B904" s="50">
        <v>1</v>
      </c>
    </row>
    <row r="905" spans="1:2" x14ac:dyDescent="0.25">
      <c r="A905" s="1" t="s">
        <v>494</v>
      </c>
      <c r="B905" s="50">
        <v>1</v>
      </c>
    </row>
    <row r="906" spans="1:2" x14ac:dyDescent="0.25">
      <c r="A906" s="224" t="s">
        <v>495</v>
      </c>
      <c r="B906" s="50">
        <v>1</v>
      </c>
    </row>
    <row r="907" spans="1:2" x14ac:dyDescent="0.25">
      <c r="A907" s="225">
        <v>137</v>
      </c>
      <c r="B907" s="50">
        <v>1</v>
      </c>
    </row>
    <row r="908" spans="1:2" x14ac:dyDescent="0.25">
      <c r="A908" s="1" t="s">
        <v>1825</v>
      </c>
      <c r="B908" s="50">
        <v>1</v>
      </c>
    </row>
    <row r="909" spans="1:2" x14ac:dyDescent="0.25">
      <c r="A909" s="224" t="s">
        <v>1826</v>
      </c>
      <c r="B909" s="50">
        <v>1</v>
      </c>
    </row>
    <row r="910" spans="1:2" x14ac:dyDescent="0.25">
      <c r="A910" s="225" t="s">
        <v>1791</v>
      </c>
      <c r="B910" s="50">
        <v>1</v>
      </c>
    </row>
    <row r="911" spans="1:2" x14ac:dyDescent="0.25">
      <c r="A911" s="1" t="s">
        <v>1550</v>
      </c>
      <c r="B911" s="50">
        <v>3</v>
      </c>
    </row>
    <row r="912" spans="1:2" x14ac:dyDescent="0.25">
      <c r="A912" s="224" t="s">
        <v>1551</v>
      </c>
      <c r="B912" s="50">
        <v>3</v>
      </c>
    </row>
    <row r="913" spans="1:2" x14ac:dyDescent="0.25">
      <c r="A913" s="225" t="s">
        <v>1786</v>
      </c>
      <c r="B913" s="50">
        <v>1</v>
      </c>
    </row>
    <row r="914" spans="1:2" x14ac:dyDescent="0.25">
      <c r="A914" s="225" t="s">
        <v>1549</v>
      </c>
      <c r="B914" s="50">
        <v>1</v>
      </c>
    </row>
    <row r="915" spans="1:2" x14ac:dyDescent="0.25">
      <c r="A915" s="225" t="s">
        <v>1559</v>
      </c>
      <c r="B915" s="50">
        <v>1</v>
      </c>
    </row>
    <row r="916" spans="1:2" x14ac:dyDescent="0.25">
      <c r="A916" s="1" t="s">
        <v>507</v>
      </c>
      <c r="B916" s="50">
        <v>1</v>
      </c>
    </row>
    <row r="917" spans="1:2" x14ac:dyDescent="0.25">
      <c r="A917" s="224" t="s">
        <v>508</v>
      </c>
      <c r="B917" s="50">
        <v>1</v>
      </c>
    </row>
    <row r="918" spans="1:2" x14ac:dyDescent="0.25">
      <c r="A918" s="225">
        <v>140</v>
      </c>
      <c r="B918" s="50">
        <v>1</v>
      </c>
    </row>
    <row r="919" spans="1:2" x14ac:dyDescent="0.25">
      <c r="A919" s="1" t="s">
        <v>837</v>
      </c>
      <c r="B919" s="50">
        <v>1</v>
      </c>
    </row>
    <row r="920" spans="1:2" x14ac:dyDescent="0.25">
      <c r="A920" s="224" t="s">
        <v>838</v>
      </c>
      <c r="B920" s="50">
        <v>1</v>
      </c>
    </row>
    <row r="921" spans="1:2" x14ac:dyDescent="0.25">
      <c r="A921" s="225">
        <v>308</v>
      </c>
      <c r="B921" s="50">
        <v>1</v>
      </c>
    </row>
    <row r="922" spans="1:2" x14ac:dyDescent="0.25">
      <c r="A922" s="1" t="s">
        <v>440</v>
      </c>
      <c r="B922" s="50">
        <v>2</v>
      </c>
    </row>
    <row r="923" spans="1:2" x14ac:dyDescent="0.25">
      <c r="A923" s="224" t="s">
        <v>441</v>
      </c>
      <c r="B923" s="50">
        <v>2</v>
      </c>
    </row>
    <row r="924" spans="1:2" x14ac:dyDescent="0.25">
      <c r="A924" s="225">
        <v>122</v>
      </c>
      <c r="B924" s="50">
        <v>1</v>
      </c>
    </row>
    <row r="925" spans="1:2" x14ac:dyDescent="0.25">
      <c r="A925" s="225">
        <v>165</v>
      </c>
      <c r="B925" s="50">
        <v>1</v>
      </c>
    </row>
    <row r="926" spans="1:2" x14ac:dyDescent="0.25">
      <c r="A926" s="1" t="s">
        <v>817</v>
      </c>
      <c r="B926" s="50">
        <v>1</v>
      </c>
    </row>
    <row r="927" spans="1:2" x14ac:dyDescent="0.25">
      <c r="A927" s="224" t="s">
        <v>818</v>
      </c>
      <c r="B927" s="50">
        <v>1</v>
      </c>
    </row>
    <row r="928" spans="1:2" x14ac:dyDescent="0.25">
      <c r="A928" s="225">
        <v>294</v>
      </c>
      <c r="B928" s="50">
        <v>1</v>
      </c>
    </row>
    <row r="929" spans="1:2" x14ac:dyDescent="0.25">
      <c r="A929" s="1" t="s">
        <v>1492</v>
      </c>
      <c r="B929" s="50">
        <v>1</v>
      </c>
    </row>
    <row r="930" spans="1:2" x14ac:dyDescent="0.25">
      <c r="A930" s="224" t="s">
        <v>1493</v>
      </c>
      <c r="B930" s="50">
        <v>1</v>
      </c>
    </row>
    <row r="931" spans="1:2" x14ac:dyDescent="0.25">
      <c r="A931" s="225">
        <v>457</v>
      </c>
      <c r="B931" s="50">
        <v>1</v>
      </c>
    </row>
    <row r="932" spans="1:2" x14ac:dyDescent="0.25">
      <c r="A932" s="1" t="s">
        <v>716</v>
      </c>
      <c r="B932" s="50">
        <v>1</v>
      </c>
    </row>
    <row r="933" spans="1:2" x14ac:dyDescent="0.25">
      <c r="A933" s="224" t="s">
        <v>717</v>
      </c>
      <c r="B933" s="50">
        <v>1</v>
      </c>
    </row>
    <row r="934" spans="1:2" x14ac:dyDescent="0.25">
      <c r="A934" s="225">
        <v>238</v>
      </c>
      <c r="B934" s="50">
        <v>1</v>
      </c>
    </row>
    <row r="935" spans="1:2" x14ac:dyDescent="0.25">
      <c r="A935" s="1" t="s">
        <v>656</v>
      </c>
      <c r="B935" s="50">
        <v>3</v>
      </c>
    </row>
    <row r="936" spans="1:2" x14ac:dyDescent="0.25">
      <c r="A936" s="224" t="s">
        <v>657</v>
      </c>
      <c r="B936" s="50">
        <v>3</v>
      </c>
    </row>
    <row r="937" spans="1:2" x14ac:dyDescent="0.25">
      <c r="A937" s="225">
        <v>219</v>
      </c>
      <c r="B937" s="50">
        <v>1</v>
      </c>
    </row>
    <row r="938" spans="1:2" x14ac:dyDescent="0.25">
      <c r="A938" s="225">
        <v>244</v>
      </c>
      <c r="B938" s="50">
        <v>1</v>
      </c>
    </row>
    <row r="939" spans="1:2" x14ac:dyDescent="0.25">
      <c r="A939" s="225" t="s">
        <v>1532</v>
      </c>
      <c r="B939" s="50">
        <v>1</v>
      </c>
    </row>
    <row r="940" spans="1:2" x14ac:dyDescent="0.25">
      <c r="A940" s="1" t="s">
        <v>862</v>
      </c>
      <c r="B940" s="50">
        <v>7</v>
      </c>
    </row>
    <row r="941" spans="1:2" x14ac:dyDescent="0.25">
      <c r="A941" s="224" t="s">
        <v>863</v>
      </c>
      <c r="B941" s="50">
        <v>7</v>
      </c>
    </row>
    <row r="942" spans="1:2" x14ac:dyDescent="0.25">
      <c r="A942" s="225">
        <v>315</v>
      </c>
      <c r="B942" s="50">
        <v>1</v>
      </c>
    </row>
    <row r="943" spans="1:2" x14ac:dyDescent="0.25">
      <c r="A943" s="225">
        <v>355</v>
      </c>
      <c r="B943" s="50">
        <v>1</v>
      </c>
    </row>
    <row r="944" spans="1:2" x14ac:dyDescent="0.25">
      <c r="A944" s="225">
        <v>442</v>
      </c>
      <c r="B944" s="50">
        <v>1</v>
      </c>
    </row>
    <row r="945" spans="1:2" x14ac:dyDescent="0.25">
      <c r="A945" s="225">
        <v>443</v>
      </c>
      <c r="B945" s="50">
        <v>1</v>
      </c>
    </row>
    <row r="946" spans="1:2" x14ac:dyDescent="0.25">
      <c r="A946" s="225">
        <v>486</v>
      </c>
      <c r="B946" s="50">
        <v>1</v>
      </c>
    </row>
    <row r="947" spans="1:2" x14ac:dyDescent="0.25">
      <c r="A947" s="225" t="s">
        <v>1055</v>
      </c>
      <c r="B947" s="50">
        <v>1</v>
      </c>
    </row>
    <row r="948" spans="1:2" x14ac:dyDescent="0.25">
      <c r="A948" s="225" t="s">
        <v>1693</v>
      </c>
      <c r="B948" s="50">
        <v>1</v>
      </c>
    </row>
    <row r="949" spans="1:2" x14ac:dyDescent="0.25">
      <c r="A949" s="1" t="s">
        <v>188</v>
      </c>
      <c r="B949" s="50">
        <v>2</v>
      </c>
    </row>
    <row r="950" spans="1:2" x14ac:dyDescent="0.25">
      <c r="A950" s="224" t="s">
        <v>189</v>
      </c>
      <c r="B950" s="50">
        <v>2</v>
      </c>
    </row>
    <row r="951" spans="1:2" x14ac:dyDescent="0.25">
      <c r="A951" s="225">
        <v>180</v>
      </c>
      <c r="B951" s="50">
        <v>1</v>
      </c>
    </row>
    <row r="952" spans="1:2" x14ac:dyDescent="0.25">
      <c r="A952" s="225" t="s">
        <v>187</v>
      </c>
      <c r="B952" s="50">
        <v>1</v>
      </c>
    </row>
    <row r="953" spans="1:2" x14ac:dyDescent="0.25">
      <c r="A953" s="1" t="s">
        <v>1691</v>
      </c>
      <c r="B953" s="50">
        <v>1</v>
      </c>
    </row>
    <row r="954" spans="1:2" x14ac:dyDescent="0.25">
      <c r="A954" s="224" t="s">
        <v>1692</v>
      </c>
      <c r="B954" s="50">
        <v>1</v>
      </c>
    </row>
    <row r="955" spans="1:2" x14ac:dyDescent="0.25">
      <c r="A955" s="225" t="s">
        <v>1690</v>
      </c>
      <c r="B955" s="50">
        <v>1</v>
      </c>
    </row>
    <row r="956" spans="1:2" x14ac:dyDescent="0.25">
      <c r="A956" s="1" t="s">
        <v>627</v>
      </c>
      <c r="B956" s="50">
        <v>1</v>
      </c>
    </row>
    <row r="957" spans="1:2" x14ac:dyDescent="0.25">
      <c r="A957" s="224" t="s">
        <v>628</v>
      </c>
      <c r="B957" s="50">
        <v>1</v>
      </c>
    </row>
    <row r="958" spans="1:2" x14ac:dyDescent="0.25">
      <c r="A958" s="225">
        <v>196</v>
      </c>
      <c r="B958" s="50">
        <v>1</v>
      </c>
    </row>
    <row r="959" spans="1:2" x14ac:dyDescent="0.25">
      <c r="A959" s="1" t="s">
        <v>1463</v>
      </c>
      <c r="B959" s="50">
        <v>1</v>
      </c>
    </row>
    <row r="960" spans="1:2" x14ac:dyDescent="0.25">
      <c r="A960" s="224" t="s">
        <v>1464</v>
      </c>
      <c r="B960" s="50">
        <v>1</v>
      </c>
    </row>
    <row r="961" spans="1:2" x14ac:dyDescent="0.25">
      <c r="A961" s="225">
        <v>447</v>
      </c>
      <c r="B961" s="50">
        <v>1</v>
      </c>
    </row>
    <row r="962" spans="1:2" x14ac:dyDescent="0.25">
      <c r="A962" s="1" t="s">
        <v>226</v>
      </c>
      <c r="B962" s="50">
        <v>2</v>
      </c>
    </row>
    <row r="963" spans="1:2" x14ac:dyDescent="0.25">
      <c r="A963" s="224" t="s">
        <v>227</v>
      </c>
      <c r="B963" s="50">
        <v>2</v>
      </c>
    </row>
    <row r="964" spans="1:2" x14ac:dyDescent="0.25">
      <c r="A964" s="225">
        <v>329</v>
      </c>
      <c r="B964" s="50">
        <v>1</v>
      </c>
    </row>
    <row r="965" spans="1:2" x14ac:dyDescent="0.25">
      <c r="A965" s="225" t="s">
        <v>224</v>
      </c>
      <c r="B965" s="50">
        <v>1</v>
      </c>
    </row>
    <row r="966" spans="1:2" x14ac:dyDescent="0.25">
      <c r="A966" s="1" t="s">
        <v>910</v>
      </c>
      <c r="B966" s="50">
        <v>1</v>
      </c>
    </row>
    <row r="967" spans="1:2" x14ac:dyDescent="0.25">
      <c r="A967" s="224" t="s">
        <v>911</v>
      </c>
      <c r="B967" s="50">
        <v>1</v>
      </c>
    </row>
    <row r="968" spans="1:2" x14ac:dyDescent="0.25">
      <c r="A968" s="225">
        <v>332</v>
      </c>
      <c r="B968" s="50">
        <v>1</v>
      </c>
    </row>
    <row r="969" spans="1:2" x14ac:dyDescent="0.25">
      <c r="A969" s="1" t="s">
        <v>642</v>
      </c>
      <c r="B969" s="50">
        <v>1</v>
      </c>
    </row>
    <row r="970" spans="1:2" x14ac:dyDescent="0.25">
      <c r="A970" s="224" t="s">
        <v>643</v>
      </c>
      <c r="B970" s="50">
        <v>1</v>
      </c>
    </row>
    <row r="971" spans="1:2" x14ac:dyDescent="0.25">
      <c r="A971" s="225">
        <v>210</v>
      </c>
      <c r="B971" s="50">
        <v>1</v>
      </c>
    </row>
    <row r="972" spans="1:2" x14ac:dyDescent="0.25">
      <c r="A972" s="1" t="s">
        <v>1797</v>
      </c>
      <c r="B972" s="50">
        <v>1</v>
      </c>
    </row>
    <row r="973" spans="1:2" x14ac:dyDescent="0.25">
      <c r="A973" s="224" t="s">
        <v>1798</v>
      </c>
      <c r="B973" s="50">
        <v>1</v>
      </c>
    </row>
    <row r="974" spans="1:2" x14ac:dyDescent="0.25">
      <c r="A974" s="225" t="s">
        <v>2013</v>
      </c>
      <c r="B974" s="50">
        <v>1</v>
      </c>
    </row>
    <row r="975" spans="1:2" x14ac:dyDescent="0.25">
      <c r="A975" s="1" t="s">
        <v>1816</v>
      </c>
      <c r="B975" s="50">
        <v>1</v>
      </c>
    </row>
    <row r="976" spans="1:2" x14ac:dyDescent="0.25">
      <c r="A976" s="224" t="s">
        <v>1817</v>
      </c>
      <c r="B976" s="50">
        <v>1</v>
      </c>
    </row>
    <row r="977" spans="1:2" x14ac:dyDescent="0.25">
      <c r="A977" s="225" t="s">
        <v>1785</v>
      </c>
      <c r="B977" s="50">
        <v>1</v>
      </c>
    </row>
    <row r="978" spans="1:2" x14ac:dyDescent="0.25">
      <c r="A978" s="1" t="s">
        <v>526</v>
      </c>
      <c r="B978" s="50">
        <v>2</v>
      </c>
    </row>
    <row r="979" spans="1:2" x14ac:dyDescent="0.25">
      <c r="A979" s="224" t="s">
        <v>527</v>
      </c>
      <c r="B979" s="50">
        <v>2</v>
      </c>
    </row>
    <row r="980" spans="1:2" x14ac:dyDescent="0.25">
      <c r="A980" s="225">
        <v>147</v>
      </c>
      <c r="B980" s="50">
        <v>1</v>
      </c>
    </row>
    <row r="981" spans="1:2" x14ac:dyDescent="0.25">
      <c r="A981" s="225" t="s">
        <v>961</v>
      </c>
      <c r="B981" s="50">
        <v>1</v>
      </c>
    </row>
    <row r="982" spans="1:2" x14ac:dyDescent="0.25">
      <c r="A982" s="1" t="s">
        <v>370</v>
      </c>
      <c r="B982" s="50">
        <v>1</v>
      </c>
    </row>
    <row r="983" spans="1:2" x14ac:dyDescent="0.25">
      <c r="A983" s="224" t="s">
        <v>371</v>
      </c>
      <c r="B983" s="50">
        <v>1</v>
      </c>
    </row>
    <row r="984" spans="1:2" x14ac:dyDescent="0.25">
      <c r="A984" s="225" t="s">
        <v>369</v>
      </c>
      <c r="B984" s="50">
        <v>1</v>
      </c>
    </row>
    <row r="985" spans="1:2" x14ac:dyDescent="0.25">
      <c r="A985" s="1" t="s">
        <v>325</v>
      </c>
      <c r="B985" s="50">
        <v>1</v>
      </c>
    </row>
    <row r="986" spans="1:2" x14ac:dyDescent="0.25">
      <c r="A986" s="224" t="s">
        <v>326</v>
      </c>
      <c r="B986" s="50">
        <v>1</v>
      </c>
    </row>
    <row r="987" spans="1:2" x14ac:dyDescent="0.25">
      <c r="A987" s="225" t="s">
        <v>323</v>
      </c>
      <c r="B987" s="50">
        <v>1</v>
      </c>
    </row>
    <row r="988" spans="1:2" x14ac:dyDescent="0.25">
      <c r="A988" s="1" t="s">
        <v>927</v>
      </c>
      <c r="B988" s="50">
        <v>2</v>
      </c>
    </row>
    <row r="989" spans="1:2" x14ac:dyDescent="0.25">
      <c r="A989" s="224" t="s">
        <v>1134</v>
      </c>
      <c r="B989" s="50">
        <v>1</v>
      </c>
    </row>
    <row r="990" spans="1:2" x14ac:dyDescent="0.25">
      <c r="A990" s="225">
        <v>382</v>
      </c>
      <c r="B990" s="50">
        <v>1</v>
      </c>
    </row>
    <row r="991" spans="1:2" x14ac:dyDescent="0.25">
      <c r="A991" s="224" t="s">
        <v>928</v>
      </c>
      <c r="B991" s="50">
        <v>1</v>
      </c>
    </row>
    <row r="992" spans="1:2" x14ac:dyDescent="0.25">
      <c r="A992" s="225">
        <v>336</v>
      </c>
      <c r="B992" s="50">
        <v>1</v>
      </c>
    </row>
    <row r="993" spans="1:2" x14ac:dyDescent="0.25">
      <c r="A993" s="1" t="s">
        <v>1486</v>
      </c>
      <c r="B993" s="50">
        <v>1</v>
      </c>
    </row>
    <row r="994" spans="1:2" x14ac:dyDescent="0.25">
      <c r="A994" s="224" t="s">
        <v>1487</v>
      </c>
      <c r="B994" s="50">
        <v>1</v>
      </c>
    </row>
    <row r="995" spans="1:2" x14ac:dyDescent="0.25">
      <c r="A995" s="225">
        <v>455</v>
      </c>
      <c r="B995" s="50">
        <v>1</v>
      </c>
    </row>
    <row r="996" spans="1:2" x14ac:dyDescent="0.25">
      <c r="A996" s="1" t="s">
        <v>173</v>
      </c>
      <c r="B996" s="50">
        <v>1</v>
      </c>
    </row>
    <row r="997" spans="1:2" x14ac:dyDescent="0.25">
      <c r="A997" s="224" t="s">
        <v>174</v>
      </c>
      <c r="B997" s="50">
        <v>1</v>
      </c>
    </row>
    <row r="998" spans="1:2" x14ac:dyDescent="0.25">
      <c r="A998" s="225" t="s">
        <v>171</v>
      </c>
      <c r="B998" s="50">
        <v>1</v>
      </c>
    </row>
    <row r="999" spans="1:2" x14ac:dyDescent="0.25">
      <c r="A999" s="1" t="s">
        <v>1807</v>
      </c>
      <c r="B999" s="50">
        <v>1</v>
      </c>
    </row>
    <row r="1000" spans="1:2" x14ac:dyDescent="0.25">
      <c r="A1000" s="224" t="s">
        <v>1808</v>
      </c>
      <c r="B1000" s="50">
        <v>1</v>
      </c>
    </row>
    <row r="1001" spans="1:2" x14ac:dyDescent="0.25">
      <c r="A1001" s="225">
        <v>516</v>
      </c>
      <c r="B1001" s="50">
        <v>1</v>
      </c>
    </row>
    <row r="1002" spans="1:2" x14ac:dyDescent="0.25">
      <c r="A1002" s="1" t="s">
        <v>1127</v>
      </c>
      <c r="B1002" s="50">
        <v>1</v>
      </c>
    </row>
    <row r="1003" spans="1:2" x14ac:dyDescent="0.25">
      <c r="A1003" s="224" t="s">
        <v>1128</v>
      </c>
      <c r="B1003" s="50">
        <v>1</v>
      </c>
    </row>
    <row r="1004" spans="1:2" x14ac:dyDescent="0.25">
      <c r="A1004" s="225">
        <v>380</v>
      </c>
      <c r="B1004" s="50">
        <v>1</v>
      </c>
    </row>
    <row r="1005" spans="1:2" x14ac:dyDescent="0.25">
      <c r="A1005" s="1" t="s">
        <v>1379</v>
      </c>
      <c r="B1005" s="50">
        <v>1</v>
      </c>
    </row>
    <row r="1006" spans="1:2" x14ac:dyDescent="0.25">
      <c r="A1006" s="224" t="s">
        <v>1380</v>
      </c>
      <c r="B1006" s="50">
        <v>1</v>
      </c>
    </row>
    <row r="1007" spans="1:2" x14ac:dyDescent="0.25">
      <c r="A1007" s="225">
        <v>430</v>
      </c>
      <c r="B1007" s="50">
        <v>1</v>
      </c>
    </row>
    <row r="1008" spans="1:2" x14ac:dyDescent="0.25">
      <c r="A1008" s="1" t="s">
        <v>1301</v>
      </c>
      <c r="B1008" s="50">
        <v>1</v>
      </c>
    </row>
    <row r="1009" spans="1:2" x14ac:dyDescent="0.25">
      <c r="A1009" s="224" t="s">
        <v>1302</v>
      </c>
      <c r="B1009" s="50">
        <v>1</v>
      </c>
    </row>
    <row r="1010" spans="1:2" x14ac:dyDescent="0.25">
      <c r="A1010" s="225">
        <v>406</v>
      </c>
      <c r="B1010" s="50">
        <v>1</v>
      </c>
    </row>
    <row r="1011" spans="1:2" x14ac:dyDescent="0.25">
      <c r="A1011" s="1" t="s">
        <v>1110</v>
      </c>
      <c r="B1011" s="50">
        <v>1</v>
      </c>
    </row>
    <row r="1012" spans="1:2" x14ac:dyDescent="0.25">
      <c r="A1012" s="224" t="s">
        <v>1111</v>
      </c>
      <c r="B1012" s="50">
        <v>1</v>
      </c>
    </row>
    <row r="1013" spans="1:2" x14ac:dyDescent="0.25">
      <c r="A1013" s="225">
        <v>375</v>
      </c>
      <c r="B1013" s="50">
        <v>1</v>
      </c>
    </row>
    <row r="1014" spans="1:2" x14ac:dyDescent="0.25">
      <c r="A1014" s="1" t="s">
        <v>219</v>
      </c>
      <c r="B1014" s="50">
        <v>1</v>
      </c>
    </row>
    <row r="1015" spans="1:2" x14ac:dyDescent="0.25">
      <c r="A1015" s="224" t="s">
        <v>220</v>
      </c>
      <c r="B1015" s="50">
        <v>1</v>
      </c>
    </row>
    <row r="1016" spans="1:2" x14ac:dyDescent="0.25">
      <c r="A1016" s="225" t="s">
        <v>217</v>
      </c>
      <c r="B1016" s="50">
        <v>1</v>
      </c>
    </row>
    <row r="1017" spans="1:2" x14ac:dyDescent="0.25">
      <c r="A1017" s="1" t="s">
        <v>565</v>
      </c>
      <c r="B1017" s="50">
        <v>4</v>
      </c>
    </row>
    <row r="1018" spans="1:2" x14ac:dyDescent="0.25">
      <c r="A1018" s="224" t="s">
        <v>1811</v>
      </c>
      <c r="B1018" s="50">
        <v>1</v>
      </c>
    </row>
    <row r="1019" spans="1:2" x14ac:dyDescent="0.25">
      <c r="A1019" s="225">
        <v>518</v>
      </c>
      <c r="B1019" s="50">
        <v>1</v>
      </c>
    </row>
    <row r="1020" spans="1:2" x14ac:dyDescent="0.25">
      <c r="A1020" s="224" t="s">
        <v>566</v>
      </c>
      <c r="B1020" s="50">
        <v>3</v>
      </c>
    </row>
    <row r="1021" spans="1:2" x14ac:dyDescent="0.25">
      <c r="A1021" s="225">
        <v>159</v>
      </c>
      <c r="B1021" s="50">
        <v>1</v>
      </c>
    </row>
    <row r="1022" spans="1:2" x14ac:dyDescent="0.25">
      <c r="A1022" s="225">
        <v>345</v>
      </c>
      <c r="B1022" s="50">
        <v>1</v>
      </c>
    </row>
    <row r="1023" spans="1:2" x14ac:dyDescent="0.25">
      <c r="A1023" s="225">
        <v>454</v>
      </c>
      <c r="B1023" s="50">
        <v>1</v>
      </c>
    </row>
    <row r="1024" spans="1:2" x14ac:dyDescent="0.25">
      <c r="A1024" s="1" t="s">
        <v>2087</v>
      </c>
      <c r="B1024" s="50">
        <v>1</v>
      </c>
    </row>
    <row r="1025" spans="1:2" x14ac:dyDescent="0.25">
      <c r="A1025" s="224" t="s">
        <v>2088</v>
      </c>
      <c r="B1025" s="50">
        <v>1</v>
      </c>
    </row>
    <row r="1026" spans="1:2" x14ac:dyDescent="0.25">
      <c r="A1026" s="225">
        <v>481</v>
      </c>
      <c r="B1026" s="50">
        <v>1</v>
      </c>
    </row>
    <row r="1027" spans="1:2" x14ac:dyDescent="0.25">
      <c r="A1027" s="1" t="s">
        <v>2196</v>
      </c>
      <c r="B1027" s="50"/>
    </row>
    <row r="1028" spans="1:2" x14ac:dyDescent="0.25">
      <c r="A1028" s="224" t="s">
        <v>2196</v>
      </c>
      <c r="B1028" s="50"/>
    </row>
    <row r="1029" spans="1:2" x14ac:dyDescent="0.25">
      <c r="A1029" s="225" t="s">
        <v>2014</v>
      </c>
      <c r="B1029" s="50"/>
    </row>
    <row r="1030" spans="1:2" x14ac:dyDescent="0.25">
      <c r="A1030" s="1" t="s">
        <v>2025</v>
      </c>
      <c r="B1030" s="50">
        <v>1</v>
      </c>
    </row>
    <row r="1031" spans="1:2" x14ac:dyDescent="0.25">
      <c r="A1031" s="224" t="s">
        <v>2040</v>
      </c>
      <c r="B1031" s="50">
        <v>1</v>
      </c>
    </row>
    <row r="1032" spans="1:2" x14ac:dyDescent="0.25">
      <c r="A1032" s="225">
        <v>523</v>
      </c>
      <c r="B1032" s="50">
        <v>1</v>
      </c>
    </row>
    <row r="1033" spans="1:2" x14ac:dyDescent="0.25">
      <c r="A1033" s="1" t="s">
        <v>2026</v>
      </c>
      <c r="B1033" s="50">
        <v>1</v>
      </c>
    </row>
    <row r="1034" spans="1:2" x14ac:dyDescent="0.25">
      <c r="A1034" s="224" t="s">
        <v>2041</v>
      </c>
      <c r="B1034" s="50">
        <v>1</v>
      </c>
    </row>
    <row r="1035" spans="1:2" x14ac:dyDescent="0.25">
      <c r="A1035" s="225">
        <v>525</v>
      </c>
      <c r="B1035" s="50">
        <v>1</v>
      </c>
    </row>
    <row r="1036" spans="1:2" x14ac:dyDescent="0.25">
      <c r="A1036" s="1" t="s">
        <v>2027</v>
      </c>
      <c r="B1036" s="50">
        <v>1</v>
      </c>
    </row>
    <row r="1037" spans="1:2" x14ac:dyDescent="0.25">
      <c r="A1037" s="224" t="s">
        <v>2042</v>
      </c>
      <c r="B1037" s="50">
        <v>1</v>
      </c>
    </row>
    <row r="1038" spans="1:2" x14ac:dyDescent="0.25">
      <c r="A1038" s="225">
        <v>527</v>
      </c>
      <c r="B1038" s="50">
        <v>1</v>
      </c>
    </row>
    <row r="1039" spans="1:2" x14ac:dyDescent="0.25">
      <c r="A1039" s="1" t="s">
        <v>2028</v>
      </c>
      <c r="B1039" s="50">
        <v>1</v>
      </c>
    </row>
    <row r="1040" spans="1:2" x14ac:dyDescent="0.25">
      <c r="A1040" s="224" t="s">
        <v>2043</v>
      </c>
      <c r="B1040" s="50">
        <v>1</v>
      </c>
    </row>
    <row r="1041" spans="1:2" x14ac:dyDescent="0.25">
      <c r="A1041" s="225">
        <v>528</v>
      </c>
      <c r="B1041" s="50">
        <v>1</v>
      </c>
    </row>
    <row r="1042" spans="1:2" x14ac:dyDescent="0.25">
      <c r="A1042" s="1" t="s">
        <v>2029</v>
      </c>
      <c r="B1042" s="50">
        <v>1</v>
      </c>
    </row>
    <row r="1043" spans="1:2" x14ac:dyDescent="0.25">
      <c r="A1043" s="224" t="s">
        <v>2044</v>
      </c>
      <c r="B1043" s="50">
        <v>1</v>
      </c>
    </row>
    <row r="1044" spans="1:2" x14ac:dyDescent="0.25">
      <c r="A1044" s="225">
        <v>534</v>
      </c>
      <c r="B1044" s="50">
        <v>1</v>
      </c>
    </row>
    <row r="1045" spans="1:2" x14ac:dyDescent="0.25">
      <c r="A1045" s="1" t="s">
        <v>2030</v>
      </c>
      <c r="B1045" s="50">
        <v>1</v>
      </c>
    </row>
    <row r="1046" spans="1:2" x14ac:dyDescent="0.25">
      <c r="A1046" s="224" t="s">
        <v>2045</v>
      </c>
      <c r="B1046" s="50">
        <v>1</v>
      </c>
    </row>
    <row r="1047" spans="1:2" x14ac:dyDescent="0.25">
      <c r="A1047" s="225">
        <v>537</v>
      </c>
      <c r="B1047" s="50">
        <v>1</v>
      </c>
    </row>
    <row r="1048" spans="1:2" x14ac:dyDescent="0.25">
      <c r="A1048" s="1" t="s">
        <v>2031</v>
      </c>
      <c r="B1048" s="50">
        <v>1</v>
      </c>
    </row>
    <row r="1049" spans="1:2" x14ac:dyDescent="0.25">
      <c r="A1049" s="224" t="s">
        <v>2046</v>
      </c>
      <c r="B1049" s="50">
        <v>1</v>
      </c>
    </row>
    <row r="1050" spans="1:2" x14ac:dyDescent="0.25">
      <c r="A1050" s="225">
        <v>538</v>
      </c>
      <c r="B1050" s="50">
        <v>1</v>
      </c>
    </row>
    <row r="1051" spans="1:2" x14ac:dyDescent="0.25">
      <c r="A1051" s="1" t="s">
        <v>2032</v>
      </c>
      <c r="B1051" s="50">
        <v>1</v>
      </c>
    </row>
    <row r="1052" spans="1:2" x14ac:dyDescent="0.25">
      <c r="A1052" s="224" t="s">
        <v>2047</v>
      </c>
      <c r="B1052" s="50">
        <v>1</v>
      </c>
    </row>
    <row r="1053" spans="1:2" x14ac:dyDescent="0.25">
      <c r="A1053" s="225">
        <v>540</v>
      </c>
      <c r="B1053" s="50">
        <v>1</v>
      </c>
    </row>
    <row r="1054" spans="1:2" x14ac:dyDescent="0.25">
      <c r="A1054" s="1" t="s">
        <v>2033</v>
      </c>
      <c r="B1054" s="50">
        <v>1</v>
      </c>
    </row>
    <row r="1055" spans="1:2" x14ac:dyDescent="0.25">
      <c r="A1055" s="224" t="s">
        <v>2048</v>
      </c>
      <c r="B1055" s="50">
        <v>1</v>
      </c>
    </row>
    <row r="1056" spans="1:2" x14ac:dyDescent="0.25">
      <c r="A1056" s="225">
        <v>544</v>
      </c>
      <c r="B1056" s="50">
        <v>1</v>
      </c>
    </row>
    <row r="1057" spans="1:2" x14ac:dyDescent="0.25">
      <c r="A1057" s="1" t="s">
        <v>2034</v>
      </c>
      <c r="B1057" s="50">
        <v>1</v>
      </c>
    </row>
    <row r="1058" spans="1:2" x14ac:dyDescent="0.25">
      <c r="A1058" s="224" t="s">
        <v>2049</v>
      </c>
      <c r="B1058" s="50">
        <v>1</v>
      </c>
    </row>
    <row r="1059" spans="1:2" x14ac:dyDescent="0.25">
      <c r="A1059" s="225">
        <v>546</v>
      </c>
      <c r="B1059" s="50">
        <v>1</v>
      </c>
    </row>
    <row r="1060" spans="1:2" x14ac:dyDescent="0.25">
      <c r="A1060" s="1" t="s">
        <v>2035</v>
      </c>
      <c r="B1060" s="50">
        <v>1</v>
      </c>
    </row>
    <row r="1061" spans="1:2" x14ac:dyDescent="0.25">
      <c r="A1061" s="224" t="s">
        <v>2050</v>
      </c>
      <c r="B1061" s="50">
        <v>1</v>
      </c>
    </row>
    <row r="1062" spans="1:2" x14ac:dyDescent="0.25">
      <c r="A1062" s="225" t="s">
        <v>2015</v>
      </c>
      <c r="B1062" s="50">
        <v>1</v>
      </c>
    </row>
    <row r="1063" spans="1:2" x14ac:dyDescent="0.25">
      <c r="A1063" s="1" t="s">
        <v>2036</v>
      </c>
      <c r="B1063" s="50">
        <v>1</v>
      </c>
    </row>
    <row r="1064" spans="1:2" x14ac:dyDescent="0.25">
      <c r="A1064" s="224" t="s">
        <v>2051</v>
      </c>
      <c r="B1064" s="50">
        <v>1</v>
      </c>
    </row>
    <row r="1065" spans="1:2" x14ac:dyDescent="0.25">
      <c r="A1065" s="225" t="s">
        <v>2016</v>
      </c>
      <c r="B1065" s="50">
        <v>1</v>
      </c>
    </row>
    <row r="1066" spans="1:2" x14ac:dyDescent="0.25">
      <c r="A1066" s="1" t="s">
        <v>2037</v>
      </c>
      <c r="B1066" s="50">
        <v>1</v>
      </c>
    </row>
    <row r="1067" spans="1:2" x14ac:dyDescent="0.25">
      <c r="A1067" s="224" t="s">
        <v>2052</v>
      </c>
      <c r="B1067" s="50">
        <v>1</v>
      </c>
    </row>
    <row r="1068" spans="1:2" x14ac:dyDescent="0.25">
      <c r="A1068" s="225" t="s">
        <v>2017</v>
      </c>
      <c r="B1068" s="50">
        <v>1</v>
      </c>
    </row>
    <row r="1069" spans="1:2" x14ac:dyDescent="0.25">
      <c r="A1069" s="1" t="s">
        <v>2038</v>
      </c>
      <c r="B1069" s="50">
        <v>1</v>
      </c>
    </row>
    <row r="1070" spans="1:2" x14ac:dyDescent="0.25">
      <c r="A1070" s="224" t="s">
        <v>2053</v>
      </c>
      <c r="B1070" s="50">
        <v>1</v>
      </c>
    </row>
    <row r="1071" spans="1:2" x14ac:dyDescent="0.25">
      <c r="A1071" s="225" t="s">
        <v>2021</v>
      </c>
      <c r="B1071" s="50">
        <v>1</v>
      </c>
    </row>
    <row r="1072" spans="1:2" x14ac:dyDescent="0.25">
      <c r="A1072" s="1" t="s">
        <v>2039</v>
      </c>
      <c r="B1072" s="50">
        <v>1</v>
      </c>
    </row>
    <row r="1073" spans="1:2" x14ac:dyDescent="0.25">
      <c r="A1073" s="224" t="s">
        <v>2054</v>
      </c>
      <c r="B1073" s="50">
        <v>1</v>
      </c>
    </row>
    <row r="1074" spans="1:2" x14ac:dyDescent="0.25">
      <c r="A1074" s="225" t="s">
        <v>2023</v>
      </c>
      <c r="B1074" s="50">
        <v>1</v>
      </c>
    </row>
    <row r="1075" spans="1:2" x14ac:dyDescent="0.25">
      <c r="A1075" s="1" t="s">
        <v>2126</v>
      </c>
      <c r="B1075" s="50">
        <v>1</v>
      </c>
    </row>
    <row r="1076" spans="1:2" x14ac:dyDescent="0.25">
      <c r="A1076" s="224" t="s">
        <v>2127</v>
      </c>
      <c r="B1076" s="50">
        <v>1</v>
      </c>
    </row>
    <row r="1077" spans="1:2" x14ac:dyDescent="0.25">
      <c r="A1077" s="225">
        <v>548</v>
      </c>
      <c r="B1077" s="50">
        <v>1</v>
      </c>
    </row>
    <row r="1078" spans="1:2" x14ac:dyDescent="0.25">
      <c r="A1078" s="1" t="s">
        <v>2128</v>
      </c>
      <c r="B1078" s="50">
        <v>1</v>
      </c>
    </row>
    <row r="1079" spans="1:2" x14ac:dyDescent="0.25">
      <c r="A1079" s="224" t="s">
        <v>2129</v>
      </c>
      <c r="B1079" s="50">
        <v>1</v>
      </c>
    </row>
    <row r="1080" spans="1:2" x14ac:dyDescent="0.25">
      <c r="A1080" s="225">
        <v>552</v>
      </c>
      <c r="B1080" s="50">
        <v>1</v>
      </c>
    </row>
    <row r="1081" spans="1:2" x14ac:dyDescent="0.25">
      <c r="A1081" s="1" t="s">
        <v>2130</v>
      </c>
      <c r="B1081" s="50">
        <v>1</v>
      </c>
    </row>
    <row r="1082" spans="1:2" x14ac:dyDescent="0.25">
      <c r="A1082" s="224" t="s">
        <v>2131</v>
      </c>
      <c r="B1082" s="50">
        <v>1</v>
      </c>
    </row>
    <row r="1083" spans="1:2" x14ac:dyDescent="0.25">
      <c r="A1083" s="225">
        <v>553</v>
      </c>
      <c r="B1083" s="50">
        <v>1</v>
      </c>
    </row>
    <row r="1084" spans="1:2" x14ac:dyDescent="0.25">
      <c r="A1084" s="1" t="s">
        <v>2132</v>
      </c>
      <c r="B1084" s="50">
        <v>1</v>
      </c>
    </row>
    <row r="1085" spans="1:2" x14ac:dyDescent="0.25">
      <c r="A1085" s="224" t="s">
        <v>2133</v>
      </c>
      <c r="B1085" s="50">
        <v>1</v>
      </c>
    </row>
    <row r="1086" spans="1:2" x14ac:dyDescent="0.25">
      <c r="A1086" s="225">
        <v>554</v>
      </c>
      <c r="B1086" s="50">
        <v>1</v>
      </c>
    </row>
    <row r="1087" spans="1:2" x14ac:dyDescent="0.25">
      <c r="A1087" s="1" t="s">
        <v>2134</v>
      </c>
      <c r="B1087" s="50">
        <v>1</v>
      </c>
    </row>
    <row r="1088" spans="1:2" x14ac:dyDescent="0.25">
      <c r="A1088" s="224" t="s">
        <v>2135</v>
      </c>
      <c r="B1088" s="50">
        <v>1</v>
      </c>
    </row>
    <row r="1089" spans="1:2" x14ac:dyDescent="0.25">
      <c r="A1089" s="225">
        <v>555</v>
      </c>
      <c r="B1089" s="50">
        <v>1</v>
      </c>
    </row>
    <row r="1090" spans="1:2" x14ac:dyDescent="0.25">
      <c r="A1090" s="1" t="s">
        <v>2136</v>
      </c>
      <c r="B1090" s="50">
        <v>1</v>
      </c>
    </row>
    <row r="1091" spans="1:2" x14ac:dyDescent="0.25">
      <c r="A1091" s="224" t="s">
        <v>2137</v>
      </c>
      <c r="B1091" s="50">
        <v>1</v>
      </c>
    </row>
    <row r="1092" spans="1:2" x14ac:dyDescent="0.25">
      <c r="A1092" s="225">
        <v>556</v>
      </c>
      <c r="B1092" s="50">
        <v>1</v>
      </c>
    </row>
    <row r="1093" spans="1:2" x14ac:dyDescent="0.25">
      <c r="A1093" s="1" t="s">
        <v>2138</v>
      </c>
      <c r="B1093" s="50">
        <v>1</v>
      </c>
    </row>
    <row r="1094" spans="1:2" x14ac:dyDescent="0.25">
      <c r="A1094" s="224" t="s">
        <v>1138</v>
      </c>
      <c r="B1094" s="50">
        <v>1</v>
      </c>
    </row>
    <row r="1095" spans="1:2" x14ac:dyDescent="0.25">
      <c r="A1095" s="225">
        <v>557</v>
      </c>
      <c r="B1095" s="50">
        <v>1</v>
      </c>
    </row>
    <row r="1096" spans="1:2" x14ac:dyDescent="0.25">
      <c r="A1096" s="1" t="s">
        <v>2139</v>
      </c>
      <c r="B1096" s="50">
        <v>1</v>
      </c>
    </row>
    <row r="1097" spans="1:2" x14ac:dyDescent="0.25">
      <c r="A1097" s="224" t="s">
        <v>2140</v>
      </c>
      <c r="B1097" s="50">
        <v>1</v>
      </c>
    </row>
    <row r="1098" spans="1:2" x14ac:dyDescent="0.25">
      <c r="A1098" s="225">
        <v>560</v>
      </c>
      <c r="B1098" s="50">
        <v>1</v>
      </c>
    </row>
    <row r="1099" spans="1:2" x14ac:dyDescent="0.25">
      <c r="A1099" s="1" t="s">
        <v>2141</v>
      </c>
      <c r="B1099" s="50">
        <v>1</v>
      </c>
    </row>
    <row r="1100" spans="1:2" x14ac:dyDescent="0.25">
      <c r="A1100" s="224" t="s">
        <v>2142</v>
      </c>
      <c r="B1100" s="50">
        <v>1</v>
      </c>
    </row>
    <row r="1101" spans="1:2" x14ac:dyDescent="0.25">
      <c r="A1101" s="225">
        <v>561</v>
      </c>
      <c r="B1101" s="50">
        <v>1</v>
      </c>
    </row>
    <row r="1102" spans="1:2" x14ac:dyDescent="0.25">
      <c r="A1102" s="1" t="s">
        <v>2143</v>
      </c>
      <c r="B1102" s="50">
        <v>1</v>
      </c>
    </row>
    <row r="1103" spans="1:2" x14ac:dyDescent="0.25">
      <c r="A1103" s="224" t="s">
        <v>2144</v>
      </c>
      <c r="B1103" s="50">
        <v>1</v>
      </c>
    </row>
    <row r="1104" spans="1:2" x14ac:dyDescent="0.25">
      <c r="A1104" s="225" t="s">
        <v>2110</v>
      </c>
      <c r="B1104" s="50">
        <v>1</v>
      </c>
    </row>
    <row r="1105" spans="1:2" x14ac:dyDescent="0.25">
      <c r="A1105" s="1" t="s">
        <v>2145</v>
      </c>
      <c r="B1105" s="50">
        <v>1</v>
      </c>
    </row>
    <row r="1106" spans="1:2" x14ac:dyDescent="0.25">
      <c r="A1106" s="224" t="s">
        <v>2146</v>
      </c>
      <c r="B1106" s="50">
        <v>1</v>
      </c>
    </row>
    <row r="1107" spans="1:2" x14ac:dyDescent="0.25">
      <c r="A1107" s="225" t="s">
        <v>2115</v>
      </c>
      <c r="B1107" s="50">
        <v>1</v>
      </c>
    </row>
    <row r="1108" spans="1:2" x14ac:dyDescent="0.25">
      <c r="A1108" s="1" t="s">
        <v>2147</v>
      </c>
      <c r="B1108" s="50">
        <v>1</v>
      </c>
    </row>
    <row r="1109" spans="1:2" x14ac:dyDescent="0.25">
      <c r="A1109" s="224" t="s">
        <v>2148</v>
      </c>
      <c r="B1109" s="50">
        <v>1</v>
      </c>
    </row>
    <row r="1110" spans="1:2" x14ac:dyDescent="0.25">
      <c r="A1110" s="225" t="s">
        <v>2118</v>
      </c>
      <c r="B1110" s="50">
        <v>1</v>
      </c>
    </row>
    <row r="1111" spans="1:2" x14ac:dyDescent="0.25">
      <c r="A1111" s="1" t="s">
        <v>2149</v>
      </c>
      <c r="B1111" s="50">
        <v>1</v>
      </c>
    </row>
    <row r="1112" spans="1:2" x14ac:dyDescent="0.25">
      <c r="A1112" s="224" t="s">
        <v>2150</v>
      </c>
      <c r="B1112" s="50">
        <v>1</v>
      </c>
    </row>
    <row r="1113" spans="1:2" x14ac:dyDescent="0.25">
      <c r="A1113" s="225" t="s">
        <v>2119</v>
      </c>
      <c r="B1113" s="50">
        <v>1</v>
      </c>
    </row>
    <row r="1114" spans="1:2" x14ac:dyDescent="0.25">
      <c r="A1114" s="1" t="s">
        <v>2151</v>
      </c>
      <c r="B1114" s="50">
        <v>1</v>
      </c>
    </row>
    <row r="1115" spans="1:2" x14ac:dyDescent="0.25">
      <c r="A1115" s="224" t="s">
        <v>2152</v>
      </c>
      <c r="B1115" s="50">
        <v>1</v>
      </c>
    </row>
    <row r="1116" spans="1:2" x14ac:dyDescent="0.25">
      <c r="A1116" s="225" t="s">
        <v>2120</v>
      </c>
      <c r="B1116" s="50">
        <v>1</v>
      </c>
    </row>
    <row r="1117" spans="1:2" x14ac:dyDescent="0.25">
      <c r="A1117" s="1" t="s">
        <v>2153</v>
      </c>
      <c r="B1117" s="50">
        <v>1</v>
      </c>
    </row>
    <row r="1118" spans="1:2" x14ac:dyDescent="0.25">
      <c r="A1118" s="224" t="s">
        <v>2154</v>
      </c>
      <c r="B1118" s="50">
        <v>1</v>
      </c>
    </row>
    <row r="1119" spans="1:2" x14ac:dyDescent="0.25">
      <c r="A1119" s="225" t="s">
        <v>2122</v>
      </c>
      <c r="B1119" s="50">
        <v>1</v>
      </c>
    </row>
    <row r="1120" spans="1:2" x14ac:dyDescent="0.25">
      <c r="A1120" s="1" t="s">
        <v>2155</v>
      </c>
      <c r="B1120" s="50">
        <v>1</v>
      </c>
    </row>
    <row r="1121" spans="1:2" x14ac:dyDescent="0.25">
      <c r="A1121" s="224" t="s">
        <v>2156</v>
      </c>
      <c r="B1121" s="50">
        <v>1</v>
      </c>
    </row>
    <row r="1122" spans="1:2" x14ac:dyDescent="0.25">
      <c r="A1122" s="225" t="s">
        <v>2124</v>
      </c>
      <c r="B1122" s="50">
        <v>1</v>
      </c>
    </row>
    <row r="1123" spans="1:2" x14ac:dyDescent="0.25">
      <c r="A1123" s="1" t="s">
        <v>1701</v>
      </c>
      <c r="B1123" s="50">
        <v>451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workbookViewId="0">
      <selection activeCell="D50" sqref="D50"/>
    </sheetView>
  </sheetViews>
  <sheetFormatPr defaultRowHeight="15" x14ac:dyDescent="0.25"/>
  <cols>
    <col min="1" max="1" width="36" bestFit="1" customWidth="1"/>
    <col min="2" max="2" width="26.7109375" customWidth="1"/>
    <col min="3" max="3" width="26.5703125" customWidth="1"/>
    <col min="4" max="4" width="25.28515625" customWidth="1"/>
    <col min="5" max="5" width="24.85546875" customWidth="1"/>
  </cols>
  <sheetData>
    <row r="1" spans="1:5" x14ac:dyDescent="0.25">
      <c r="A1" s="46" t="s">
        <v>1696</v>
      </c>
      <c r="B1" s="10" t="s">
        <v>1697</v>
      </c>
      <c r="C1" s="10" t="s">
        <v>1698</v>
      </c>
      <c r="D1" s="9" t="s">
        <v>1699</v>
      </c>
      <c r="E1" s="9" t="s">
        <v>1700</v>
      </c>
    </row>
    <row r="2" spans="1:5" x14ac:dyDescent="0.25">
      <c r="A2" s="1" t="s">
        <v>671</v>
      </c>
      <c r="B2" s="10">
        <v>10916</v>
      </c>
      <c r="C2" s="50">
        <v>13</v>
      </c>
      <c r="D2" s="9">
        <v>1455431.8666666667</v>
      </c>
      <c r="E2" s="50">
        <v>16</v>
      </c>
    </row>
    <row r="3" spans="1:5" x14ac:dyDescent="0.25">
      <c r="A3" s="1" t="s">
        <v>250</v>
      </c>
      <c r="B3" s="10">
        <v>24157.666666666668</v>
      </c>
      <c r="C3" s="50">
        <v>9</v>
      </c>
      <c r="D3" s="9">
        <v>4431723.7433333341</v>
      </c>
      <c r="E3" s="50">
        <v>8</v>
      </c>
    </row>
    <row r="4" spans="1:5" x14ac:dyDescent="0.25">
      <c r="A4" s="1" t="s">
        <v>677</v>
      </c>
      <c r="B4" s="10">
        <v>2975</v>
      </c>
      <c r="C4" s="50">
        <v>25</v>
      </c>
      <c r="D4" s="9">
        <v>796647.75</v>
      </c>
      <c r="E4" s="50">
        <v>23</v>
      </c>
    </row>
    <row r="5" spans="1:5" x14ac:dyDescent="0.25">
      <c r="A5" s="1" t="s">
        <v>282</v>
      </c>
      <c r="B5" s="10">
        <v>9208</v>
      </c>
      <c r="C5" s="50">
        <v>18</v>
      </c>
      <c r="D5" s="9">
        <v>1388481.0566666669</v>
      </c>
      <c r="E5" s="50">
        <v>17</v>
      </c>
    </row>
    <row r="6" spans="1:5" x14ac:dyDescent="0.25">
      <c r="A6" s="1" t="s">
        <v>388</v>
      </c>
      <c r="B6" s="10">
        <v>21039.666666666668</v>
      </c>
      <c r="C6" s="50">
        <v>10</v>
      </c>
      <c r="D6" s="9">
        <v>2679576.0166666661</v>
      </c>
      <c r="E6" s="50">
        <v>11</v>
      </c>
    </row>
    <row r="7" spans="1:5" x14ac:dyDescent="0.25">
      <c r="A7" s="1" t="s">
        <v>426</v>
      </c>
      <c r="B7" s="10">
        <v>10461.333333333334</v>
      </c>
      <c r="C7" s="50">
        <v>15</v>
      </c>
      <c r="D7" s="9">
        <v>2369091.2066666665</v>
      </c>
      <c r="E7" s="50">
        <v>12</v>
      </c>
    </row>
    <row r="8" spans="1:5" x14ac:dyDescent="0.25">
      <c r="A8" s="1" t="s">
        <v>243</v>
      </c>
      <c r="B8" s="10">
        <v>19319.00333333333</v>
      </c>
      <c r="C8" s="50">
        <v>11</v>
      </c>
      <c r="D8" s="9">
        <v>3230056.4192133062</v>
      </c>
      <c r="E8" s="50">
        <v>10</v>
      </c>
    </row>
    <row r="9" spans="1:5" x14ac:dyDescent="0.25">
      <c r="A9" s="1" t="s">
        <v>166</v>
      </c>
      <c r="B9" s="10">
        <v>27634</v>
      </c>
      <c r="C9" s="50">
        <v>7</v>
      </c>
      <c r="D9" s="9">
        <v>4455594.9133333331</v>
      </c>
      <c r="E9" s="50">
        <v>7</v>
      </c>
    </row>
    <row r="10" spans="1:5" x14ac:dyDescent="0.25">
      <c r="A10" s="1" t="s">
        <v>225</v>
      </c>
      <c r="B10" s="10">
        <v>8392.6666666666661</v>
      </c>
      <c r="C10" s="50">
        <v>19</v>
      </c>
      <c r="D10" s="9">
        <v>1278321.7233333334</v>
      </c>
      <c r="E10" s="50">
        <v>19</v>
      </c>
    </row>
    <row r="11" spans="1:5" x14ac:dyDescent="0.25">
      <c r="A11" s="1" t="s">
        <v>419</v>
      </c>
      <c r="B11" s="10">
        <v>6147</v>
      </c>
      <c r="C11" s="50">
        <v>21</v>
      </c>
      <c r="D11" s="9">
        <v>1192659.25</v>
      </c>
      <c r="E11" s="50">
        <v>20</v>
      </c>
    </row>
    <row r="12" spans="1:5" x14ac:dyDescent="0.25">
      <c r="A12" s="1" t="s">
        <v>2000</v>
      </c>
      <c r="B12" s="10">
        <v>3594.9999999999995</v>
      </c>
      <c r="C12" s="50">
        <v>24</v>
      </c>
      <c r="D12" s="9">
        <v>599236.47666666668</v>
      </c>
      <c r="E12" s="50">
        <v>25</v>
      </c>
    </row>
    <row r="13" spans="1:5" x14ac:dyDescent="0.25">
      <c r="A13" s="1" t="s">
        <v>499</v>
      </c>
      <c r="B13" s="10">
        <v>27791</v>
      </c>
      <c r="C13" s="50">
        <v>6</v>
      </c>
      <c r="D13" s="9">
        <v>4394177.876666666</v>
      </c>
      <c r="E13" s="50">
        <v>9</v>
      </c>
    </row>
    <row r="14" spans="1:5" x14ac:dyDescent="0.25">
      <c r="A14" s="1" t="s">
        <v>276</v>
      </c>
      <c r="B14" s="10">
        <v>58011.666666666657</v>
      </c>
      <c r="C14" s="50">
        <v>2</v>
      </c>
      <c r="D14" s="9">
        <v>12155922.183333334</v>
      </c>
      <c r="E14" s="50">
        <v>1</v>
      </c>
    </row>
    <row r="15" spans="1:5" x14ac:dyDescent="0.25">
      <c r="A15" s="1" t="s">
        <v>218</v>
      </c>
      <c r="B15" s="10">
        <v>13101</v>
      </c>
      <c r="C15" s="50">
        <v>12</v>
      </c>
      <c r="D15" s="9">
        <v>1836416.3833333333</v>
      </c>
      <c r="E15" s="50">
        <v>13</v>
      </c>
    </row>
    <row r="16" spans="1:5" x14ac:dyDescent="0.25">
      <c r="A16" s="1" t="s">
        <v>210</v>
      </c>
      <c r="B16" s="10">
        <v>27132.666666666664</v>
      </c>
      <c r="C16" s="50">
        <v>8</v>
      </c>
      <c r="D16" s="9">
        <v>5139804.6348148147</v>
      </c>
      <c r="E16" s="50">
        <v>6</v>
      </c>
    </row>
    <row r="17" spans="1:5" x14ac:dyDescent="0.25">
      <c r="A17" s="1" t="s">
        <v>201</v>
      </c>
      <c r="B17" s="10">
        <v>9400</v>
      </c>
      <c r="C17" s="50">
        <v>17</v>
      </c>
      <c r="D17" s="9">
        <v>1583150.1666666667</v>
      </c>
      <c r="E17" s="50">
        <v>15</v>
      </c>
    </row>
    <row r="18" spans="1:5" x14ac:dyDescent="0.25">
      <c r="A18" s="1" t="s">
        <v>172</v>
      </c>
      <c r="B18" s="10">
        <v>72429</v>
      </c>
      <c r="C18" s="50">
        <v>1</v>
      </c>
      <c r="D18" s="9">
        <v>10171722.33</v>
      </c>
      <c r="E18" s="50">
        <v>2</v>
      </c>
    </row>
    <row r="19" spans="1:5" x14ac:dyDescent="0.25">
      <c r="A19" s="1" t="s">
        <v>324</v>
      </c>
      <c r="B19" s="10">
        <v>7693.333333333333</v>
      </c>
      <c r="C19" s="50">
        <v>20</v>
      </c>
      <c r="D19" s="9">
        <v>647602.3833333333</v>
      </c>
      <c r="E19" s="50">
        <v>24</v>
      </c>
    </row>
    <row r="20" spans="1:5" x14ac:dyDescent="0.25">
      <c r="A20" s="1" t="s">
        <v>132</v>
      </c>
      <c r="B20" s="10">
        <v>52630</v>
      </c>
      <c r="C20" s="50">
        <v>4</v>
      </c>
      <c r="D20" s="9">
        <v>8151206.1437404156</v>
      </c>
      <c r="E20" s="50">
        <v>3</v>
      </c>
    </row>
    <row r="21" spans="1:5" x14ac:dyDescent="0.25">
      <c r="A21" s="1" t="s">
        <v>119</v>
      </c>
      <c r="B21" s="10">
        <v>9642</v>
      </c>
      <c r="C21" s="50">
        <v>16</v>
      </c>
      <c r="D21" s="9">
        <v>1332323.7666666666</v>
      </c>
      <c r="E21" s="50">
        <v>18</v>
      </c>
    </row>
    <row r="22" spans="1:5" x14ac:dyDescent="0.25">
      <c r="A22" s="1" t="s">
        <v>574</v>
      </c>
      <c r="B22" s="10">
        <v>4532</v>
      </c>
      <c r="C22" s="50">
        <v>23</v>
      </c>
      <c r="D22" s="9">
        <v>1138888.4333333333</v>
      </c>
      <c r="E22" s="50">
        <v>21</v>
      </c>
    </row>
    <row r="23" spans="1:5" x14ac:dyDescent="0.25">
      <c r="A23" s="1" t="s">
        <v>257</v>
      </c>
      <c r="B23" s="10">
        <v>800</v>
      </c>
      <c r="C23" s="50">
        <v>26</v>
      </c>
      <c r="D23" s="9">
        <v>174433.59999999998</v>
      </c>
      <c r="E23" s="50">
        <v>26</v>
      </c>
    </row>
    <row r="24" spans="1:5" x14ac:dyDescent="0.25">
      <c r="A24" s="1" t="s">
        <v>159</v>
      </c>
      <c r="B24" s="10">
        <v>57925.666666666672</v>
      </c>
      <c r="C24" s="50">
        <v>3</v>
      </c>
      <c r="D24" s="9">
        <v>7077395.9799999995</v>
      </c>
      <c r="E24" s="50">
        <v>4</v>
      </c>
    </row>
    <row r="25" spans="1:5" x14ac:dyDescent="0.25">
      <c r="A25" s="1" t="s">
        <v>236</v>
      </c>
      <c r="B25" s="10">
        <v>34233</v>
      </c>
      <c r="C25" s="50">
        <v>5</v>
      </c>
      <c r="D25" s="9">
        <v>6321862.6066666665</v>
      </c>
      <c r="E25" s="50">
        <v>5</v>
      </c>
    </row>
    <row r="26" spans="1:5" x14ac:dyDescent="0.25">
      <c r="A26" s="1" t="s">
        <v>585</v>
      </c>
      <c r="B26" s="10">
        <v>5398.333333333333</v>
      </c>
      <c r="C26" s="50">
        <v>22</v>
      </c>
      <c r="D26" s="9">
        <v>1069643.5666666667</v>
      </c>
      <c r="E26" s="50">
        <v>22</v>
      </c>
    </row>
    <row r="27" spans="1:5" x14ac:dyDescent="0.25">
      <c r="A27" s="1" t="s">
        <v>179</v>
      </c>
      <c r="B27" s="10">
        <v>10489.333333333332</v>
      </c>
      <c r="C27" s="50">
        <v>14</v>
      </c>
      <c r="D27" s="9">
        <v>1763075.2833333334</v>
      </c>
      <c r="E27" s="50">
        <v>14</v>
      </c>
    </row>
    <row r="28" spans="1:5" x14ac:dyDescent="0.25">
      <c r="A28" s="1" t="s">
        <v>1701</v>
      </c>
      <c r="B28" s="10">
        <v>535054.33666666667</v>
      </c>
      <c r="C28" s="50"/>
      <c r="D28" s="9">
        <v>86834445.761101857</v>
      </c>
      <c r="E28" s="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E0E98-5ACF-479A-A6E2-CBD15FD6BB10}">
  <dimension ref="A1:IA27"/>
  <sheetViews>
    <sheetView workbookViewId="0">
      <selection activeCell="A13" sqref="A13"/>
    </sheetView>
  </sheetViews>
  <sheetFormatPr defaultColWidth="9.140625" defaultRowHeight="15" x14ac:dyDescent="0.25"/>
  <cols>
    <col min="1" max="1" width="38.85546875" style="55" customWidth="1"/>
    <col min="2" max="2" width="29.42578125" style="81" customWidth="1"/>
    <col min="3" max="8" width="17.42578125" style="81" customWidth="1"/>
    <col min="9" max="9" width="19.7109375" style="81" customWidth="1"/>
    <col min="10" max="10" width="21.5703125" style="81" customWidth="1"/>
    <col min="11" max="11" width="17.42578125" style="81" customWidth="1"/>
    <col min="12" max="12" width="21.28515625" style="81" customWidth="1"/>
    <col min="13" max="13" width="20.140625" style="81" customWidth="1"/>
    <col min="14" max="14" width="22.42578125" style="81" customWidth="1"/>
    <col min="15" max="16" width="24.28515625" style="81" customWidth="1"/>
    <col min="17" max="17" width="20.140625" style="81" customWidth="1"/>
    <col min="18" max="19" width="24" style="81" customWidth="1"/>
    <col min="20" max="20" width="26.28515625" style="55" customWidth="1"/>
    <col min="21" max="21" width="28.140625" style="81" customWidth="1"/>
    <col min="22" max="22" width="24" style="81" customWidth="1"/>
    <col min="23" max="23" width="27.85546875" style="81" customWidth="1"/>
    <col min="24" max="24" width="25.140625" style="81" customWidth="1"/>
    <col min="25" max="25" width="27.42578125" style="81" customWidth="1"/>
    <col min="26" max="26" width="29.28515625" style="81" customWidth="1"/>
    <col min="27" max="27" width="26" style="81" customWidth="1"/>
    <col min="28" max="28" width="29.85546875" style="81" customWidth="1"/>
    <col min="29" max="29" width="24.140625" style="81" customWidth="1"/>
    <col min="30" max="30" width="26.42578125" style="81" customWidth="1"/>
    <col min="31" max="31" width="28.28515625" style="81" customWidth="1"/>
    <col min="32" max="32" width="24.140625" style="81" customWidth="1"/>
    <col min="33" max="33" width="28" style="81" customWidth="1"/>
    <col min="34" max="34" width="28.28515625" style="81" customWidth="1"/>
    <col min="35" max="35" width="30.5703125" style="81" customWidth="1"/>
    <col min="36" max="36" width="32.42578125" style="81" customWidth="1"/>
    <col min="37" max="37" width="28.28515625" style="81" customWidth="1"/>
    <col min="38" max="38" width="32.140625" style="81" customWidth="1"/>
    <col min="39" max="39" width="30.5703125" style="81" customWidth="1"/>
    <col min="40" max="40" width="32.85546875" style="81" customWidth="1"/>
    <col min="41" max="41" width="34.7109375" style="81" customWidth="1"/>
    <col min="42" max="42" width="30.5703125" style="81" customWidth="1"/>
    <col min="43" max="43" width="34.42578125" style="81" customWidth="1"/>
    <col min="44" max="44" width="29.5703125" style="81" customWidth="1"/>
    <col min="45" max="45" width="31.85546875" style="81" customWidth="1"/>
    <col min="46" max="46" width="33.7109375" style="81" customWidth="1"/>
    <col min="47" max="47" width="29.5703125" style="81" customWidth="1"/>
    <col min="48" max="48" width="33.42578125" style="81" customWidth="1"/>
    <col min="49" max="49" width="33.7109375" style="81" customWidth="1"/>
    <col min="50" max="50" width="36" style="81" customWidth="1"/>
    <col min="51" max="51" width="38.7109375" style="81" customWidth="1"/>
    <col min="52" max="52" width="34.5703125" style="81" customWidth="1"/>
    <col min="53" max="53" width="38.42578125" style="81" customWidth="1"/>
    <col min="54" max="54" width="21" style="88" customWidth="1"/>
    <col min="55" max="55" width="23.28515625" style="88" customWidth="1"/>
    <col min="56" max="56" width="26" style="88" customWidth="1"/>
    <col min="57" max="57" width="21.85546875" style="88" customWidth="1"/>
    <col min="58" max="58" width="25.7109375" style="88" customWidth="1"/>
    <col min="59" max="59" width="21.42578125" style="88" customWidth="1"/>
    <col min="60" max="60" width="23.7109375" style="88" customWidth="1"/>
    <col min="61" max="61" width="26.42578125" style="88" customWidth="1"/>
    <col min="62" max="62" width="22.28515625" style="88" customWidth="1"/>
    <col min="63" max="63" width="26.140625" style="88" customWidth="1"/>
    <col min="64" max="64" width="24.140625" style="88" customWidth="1"/>
    <col min="65" max="65" width="26.42578125" style="88" customWidth="1"/>
    <col min="66" max="66" width="28.28515625" style="88" customWidth="1"/>
    <col min="67" max="67" width="24.140625" style="88" customWidth="1"/>
    <col min="68" max="68" width="28" style="88" customWidth="1"/>
    <col min="69" max="69" width="26.42578125" style="88" customWidth="1"/>
    <col min="70" max="70" width="28.7109375" style="88" customWidth="1"/>
    <col min="71" max="71" width="31.42578125" style="88" customWidth="1"/>
    <col min="72" max="72" width="27.28515625" style="88" customWidth="1"/>
    <col min="73" max="73" width="31.140625" style="88" customWidth="1"/>
    <col min="74" max="74" width="26.85546875" style="88" customWidth="1"/>
    <col min="75" max="75" width="29.140625" style="88" customWidth="1"/>
    <col min="76" max="76" width="31.85546875" style="88" customWidth="1"/>
    <col min="77" max="77" width="27.7109375" style="88" customWidth="1"/>
    <col min="78" max="78" width="31.5703125" style="88" customWidth="1"/>
    <col min="79" max="79" width="29.5703125" style="88" customWidth="1"/>
    <col min="80" max="80" width="31.85546875" style="88" customWidth="1"/>
    <col min="81" max="81" width="33.7109375" style="88" customWidth="1"/>
    <col min="82" max="82" width="29.5703125" style="88" customWidth="1"/>
    <col min="83" max="83" width="33.42578125" style="88" customWidth="1"/>
    <col min="84" max="84" width="31" style="88" customWidth="1"/>
    <col min="85" max="85" width="31.5703125" style="88" customWidth="1"/>
    <col min="86" max="86" width="35.85546875" style="88" customWidth="1"/>
    <col min="87" max="87" width="15.42578125" style="81" customWidth="1"/>
    <col min="88" max="88" width="17.7109375" style="81" customWidth="1"/>
    <col min="89" max="89" width="19.5703125" style="81" customWidth="1"/>
    <col min="90" max="90" width="15.42578125" style="81" customWidth="1"/>
    <col min="91" max="92" width="19.28515625" style="81" customWidth="1"/>
    <col min="93" max="93" width="22" style="81" customWidth="1"/>
    <col min="94" max="94" width="24.28515625" style="81" customWidth="1"/>
    <col min="95" max="95" width="26.140625" style="81" customWidth="1"/>
    <col min="96" max="96" width="22" style="81" customWidth="1"/>
    <col min="97" max="98" width="25.85546875" style="81" customWidth="1"/>
    <col min="99" max="99" width="17.7109375" style="81" customWidth="1"/>
    <col min="100" max="100" width="20" style="81" customWidth="1"/>
    <col min="101" max="101" width="21.85546875" style="81" customWidth="1"/>
    <col min="102" max="102" width="17.7109375" style="81" customWidth="1"/>
    <col min="103" max="105" width="21.5703125" style="81" customWidth="1"/>
    <col min="106" max="106" width="19" style="88" customWidth="1"/>
    <col min="107" max="107" width="21.28515625" style="88" customWidth="1"/>
    <col min="108" max="108" width="23.140625" style="88" customWidth="1"/>
    <col min="109" max="109" width="19" style="88" customWidth="1"/>
    <col min="110" max="110" width="22.85546875" style="88" customWidth="1"/>
    <col min="111" max="111" width="18.140625" style="81" customWidth="1"/>
    <col min="112" max="112" width="20.42578125" style="81" customWidth="1"/>
    <col min="113" max="113" width="22.28515625" style="81" customWidth="1"/>
    <col min="114" max="114" width="18.140625" style="81" customWidth="1"/>
    <col min="115" max="117" width="22" style="81" customWidth="1"/>
    <col min="118" max="118" width="19.42578125" style="88" customWidth="1"/>
    <col min="119" max="119" width="21.7109375" style="88" customWidth="1"/>
    <col min="120" max="120" width="23.5703125" style="88" customWidth="1"/>
    <col min="121" max="121" width="19.42578125" style="88" customWidth="1"/>
    <col min="122" max="122" width="23.28515625" style="88" customWidth="1"/>
    <col min="123" max="123" width="20.85546875" style="81" customWidth="1"/>
    <col min="124" max="124" width="23.140625" style="81" customWidth="1"/>
    <col min="125" max="125" width="25" style="81" customWidth="1"/>
    <col min="126" max="126" width="20.85546875" style="81" customWidth="1"/>
    <col min="127" max="129" width="24.7109375" style="81" customWidth="1"/>
    <col min="130" max="133" width="8.85546875"/>
    <col min="134" max="134" width="22.140625" style="88" customWidth="1"/>
    <col min="135" max="135" width="24.42578125" style="88" customWidth="1"/>
    <col min="136" max="136" width="26.28515625" style="88" customWidth="1"/>
    <col min="137" max="137" width="22.140625" style="88" customWidth="1"/>
    <col min="138" max="138" width="26" style="88" customWidth="1"/>
    <col min="139" max="141" width="24.28515625" style="81" customWidth="1"/>
    <col min="142" max="142" width="26.5703125" style="81" customWidth="1"/>
    <col min="143" max="143" width="28.42578125" style="81" customWidth="1"/>
    <col min="144" max="144" width="24.28515625" style="81" customWidth="1"/>
    <col min="145" max="145" width="28.140625" style="81" customWidth="1"/>
    <col min="146" max="146" width="25.5703125" style="88" customWidth="1"/>
    <col min="147" max="147" width="27.85546875" style="88" customWidth="1"/>
    <col min="148" max="148" width="29.7109375" style="88" customWidth="1"/>
    <col min="149" max="149" width="25.5703125" style="88" customWidth="1"/>
    <col min="150" max="150" width="29.42578125" style="88" customWidth="1"/>
    <col min="151" max="153" width="24.7109375" style="81" customWidth="1"/>
    <col min="154" max="154" width="27" style="81" customWidth="1"/>
    <col min="155" max="155" width="28.85546875" style="81" customWidth="1"/>
    <col min="156" max="156" width="24.7109375" style="81" customWidth="1"/>
    <col min="157" max="157" width="28.5703125" style="81" customWidth="1"/>
    <col min="158" max="158" width="26" style="88" customWidth="1"/>
    <col min="159" max="159" width="28.28515625" style="88" customWidth="1"/>
    <col min="160" max="160" width="30.140625" style="88" customWidth="1"/>
    <col min="161" max="161" width="26" style="88" customWidth="1"/>
    <col min="162" max="162" width="29.85546875" style="88" customWidth="1"/>
    <col min="163" max="165" width="27.42578125" style="81" customWidth="1"/>
    <col min="166" max="166" width="29.7109375" style="81" customWidth="1"/>
    <col min="167" max="167" width="31.5703125" style="81" customWidth="1"/>
    <col min="168" max="168" width="27.42578125" style="81" customWidth="1"/>
    <col min="169" max="171" width="31.28515625" style="81" customWidth="1"/>
    <col min="172" max="175" width="24.7109375" style="81" customWidth="1"/>
    <col min="176" max="176" width="28.7109375" style="88" customWidth="1"/>
    <col min="177" max="177" width="31" style="88" customWidth="1"/>
    <col min="178" max="178" width="32.85546875" style="88" customWidth="1"/>
    <col min="179" max="179" width="28.7109375" style="88" customWidth="1"/>
    <col min="180" max="180" width="32.5703125" style="88" customWidth="1"/>
    <col min="181" max="181" width="29.5703125" style="88" customWidth="1"/>
    <col min="182" max="182" width="30.140625" style="88" customWidth="1"/>
    <col min="183" max="183" width="34.42578125" style="88" customWidth="1"/>
    <col min="184" max="16384" width="9.140625" style="55"/>
  </cols>
  <sheetData>
    <row r="1" spans="1:235" ht="75" x14ac:dyDescent="0.25">
      <c r="A1" s="78" t="s">
        <v>1696</v>
      </c>
      <c r="B1" s="78" t="s">
        <v>2199</v>
      </c>
      <c r="C1" s="78" t="s">
        <v>2295</v>
      </c>
      <c r="D1" s="78" t="s">
        <v>2296</v>
      </c>
      <c r="E1" s="78" t="s">
        <v>2297</v>
      </c>
      <c r="F1" s="78" t="s">
        <v>2298</v>
      </c>
      <c r="G1" s="78" t="s">
        <v>2299</v>
      </c>
      <c r="H1" s="78" t="s">
        <v>2300</v>
      </c>
      <c r="I1" s="240" t="s">
        <v>1864</v>
      </c>
      <c r="J1" s="240" t="s">
        <v>1865</v>
      </c>
      <c r="K1" s="240" t="s">
        <v>1866</v>
      </c>
      <c r="L1" s="240" t="s">
        <v>1867</v>
      </c>
      <c r="M1" s="240" t="s">
        <v>2200</v>
      </c>
      <c r="N1" s="240" t="s">
        <v>2201</v>
      </c>
      <c r="O1" s="240" t="s">
        <v>2202</v>
      </c>
      <c r="P1" s="240" t="s">
        <v>2294</v>
      </c>
      <c r="Q1" s="240" t="s">
        <v>1868</v>
      </c>
      <c r="R1" s="240" t="s">
        <v>1869</v>
      </c>
      <c r="S1" s="240" t="s">
        <v>1870</v>
      </c>
      <c r="T1" s="240" t="s">
        <v>1871</v>
      </c>
      <c r="U1" s="240" t="s">
        <v>2203</v>
      </c>
      <c r="V1" s="240" t="s">
        <v>2204</v>
      </c>
      <c r="W1" s="240" t="s">
        <v>2205</v>
      </c>
      <c r="X1" s="240" t="s">
        <v>1872</v>
      </c>
      <c r="Y1" s="241" t="s">
        <v>1873</v>
      </c>
      <c r="Z1" s="240" t="s">
        <v>1874</v>
      </c>
      <c r="AA1" s="240" t="s">
        <v>1875</v>
      </c>
      <c r="AB1" s="240" t="s">
        <v>2206</v>
      </c>
      <c r="AC1" s="240" t="s">
        <v>2207</v>
      </c>
      <c r="AD1" s="240" t="s">
        <v>2208</v>
      </c>
      <c r="AE1" s="240" t="s">
        <v>1877</v>
      </c>
      <c r="AF1" s="240" t="s">
        <v>1878</v>
      </c>
      <c r="AG1" s="240" t="s">
        <v>1879</v>
      </c>
      <c r="AH1" s="242" t="s">
        <v>1880</v>
      </c>
      <c r="AI1" s="242" t="s">
        <v>2209</v>
      </c>
      <c r="AJ1" s="242" t="s">
        <v>2210</v>
      </c>
      <c r="AK1" s="242" t="s">
        <v>2211</v>
      </c>
      <c r="AL1" s="240" t="s">
        <v>1881</v>
      </c>
      <c r="AM1" s="240" t="s">
        <v>1882</v>
      </c>
      <c r="AN1" s="240" t="s">
        <v>1883</v>
      </c>
      <c r="AO1" s="240" t="s">
        <v>1884</v>
      </c>
      <c r="AP1" s="240" t="s">
        <v>2212</v>
      </c>
      <c r="AQ1" s="240" t="s">
        <v>2213</v>
      </c>
      <c r="AR1" s="240" t="s">
        <v>2214</v>
      </c>
      <c r="AS1" s="240" t="s">
        <v>1885</v>
      </c>
      <c r="AT1" s="240" t="s">
        <v>1886</v>
      </c>
      <c r="AU1" s="240" t="s">
        <v>1887</v>
      </c>
      <c r="AV1" s="240" t="s">
        <v>1888</v>
      </c>
      <c r="AW1" s="240" t="s">
        <v>2215</v>
      </c>
      <c r="AX1" s="240" t="s">
        <v>2216</v>
      </c>
      <c r="AY1" s="240" t="s">
        <v>2217</v>
      </c>
      <c r="AZ1" s="240" t="s">
        <v>1876</v>
      </c>
      <c r="BA1" s="240" t="s">
        <v>1889</v>
      </c>
      <c r="BB1" s="240" t="s">
        <v>1890</v>
      </c>
      <c r="BC1" s="240" t="s">
        <v>1891</v>
      </c>
      <c r="BD1" s="240" t="s">
        <v>2218</v>
      </c>
      <c r="BE1" s="240" t="s">
        <v>2219</v>
      </c>
      <c r="BF1" s="240" t="s">
        <v>2220</v>
      </c>
      <c r="BG1" s="240" t="s">
        <v>1892</v>
      </c>
      <c r="BH1" s="240" t="s">
        <v>1893</v>
      </c>
      <c r="BI1" s="240" t="s">
        <v>1894</v>
      </c>
      <c r="BJ1" s="240" t="s">
        <v>1895</v>
      </c>
      <c r="BK1" s="240" t="s">
        <v>2221</v>
      </c>
      <c r="BL1" s="240" t="s">
        <v>2222</v>
      </c>
      <c r="BM1" s="240" t="s">
        <v>2223</v>
      </c>
      <c r="BN1" s="240" t="s">
        <v>1896</v>
      </c>
      <c r="BO1" s="240" t="s">
        <v>1897</v>
      </c>
      <c r="BP1" s="242" t="s">
        <v>1898</v>
      </c>
      <c r="BQ1" s="242" t="s">
        <v>1899</v>
      </c>
      <c r="BR1" s="242" t="s">
        <v>2224</v>
      </c>
      <c r="BS1" s="242" t="s">
        <v>2225</v>
      </c>
      <c r="BT1" s="242" t="s">
        <v>2226</v>
      </c>
      <c r="BU1" s="243" t="s">
        <v>1904</v>
      </c>
      <c r="BV1" s="243" t="s">
        <v>1905</v>
      </c>
      <c r="BW1" s="244" t="s">
        <v>1906</v>
      </c>
      <c r="BX1" s="244" t="s">
        <v>1907</v>
      </c>
      <c r="BY1" s="244" t="s">
        <v>2227</v>
      </c>
      <c r="BZ1" s="244" t="s">
        <v>2228</v>
      </c>
      <c r="CA1" s="244" t="s">
        <v>2229</v>
      </c>
      <c r="CB1" s="243" t="s">
        <v>1908</v>
      </c>
      <c r="CC1" s="243" t="s">
        <v>1909</v>
      </c>
      <c r="CD1" s="244" t="s">
        <v>1910</v>
      </c>
      <c r="CE1" s="244" t="s">
        <v>1911</v>
      </c>
      <c r="CF1" s="244" t="s">
        <v>2230</v>
      </c>
      <c r="CG1" s="244" t="s">
        <v>2231</v>
      </c>
      <c r="CH1" s="244" t="s">
        <v>2232</v>
      </c>
      <c r="CI1" s="243" t="s">
        <v>1912</v>
      </c>
      <c r="CJ1" s="243" t="s">
        <v>1913</v>
      </c>
      <c r="CK1" s="243" t="s">
        <v>1914</v>
      </c>
      <c r="CL1" s="243" t="s">
        <v>1915</v>
      </c>
      <c r="CM1" s="243" t="s">
        <v>2233</v>
      </c>
      <c r="CN1" s="243" t="s">
        <v>2234</v>
      </c>
      <c r="CO1" s="243" t="s">
        <v>2235</v>
      </c>
      <c r="CP1" s="243" t="s">
        <v>1916</v>
      </c>
      <c r="CQ1" s="243" t="s">
        <v>1917</v>
      </c>
      <c r="CR1" s="244" t="s">
        <v>1918</v>
      </c>
      <c r="CS1" s="244" t="s">
        <v>1919</v>
      </c>
      <c r="CT1" s="244" t="s">
        <v>2236</v>
      </c>
      <c r="CU1" s="244" t="s">
        <v>2237</v>
      </c>
      <c r="CV1" s="244" t="s">
        <v>2238</v>
      </c>
      <c r="CW1" s="243" t="s">
        <v>1920</v>
      </c>
      <c r="CX1" s="243" t="s">
        <v>1921</v>
      </c>
      <c r="CY1" s="244" t="s">
        <v>1922</v>
      </c>
      <c r="CZ1" s="244" t="s">
        <v>1923</v>
      </c>
      <c r="DA1" s="244" t="s">
        <v>2239</v>
      </c>
      <c r="DB1" s="244" t="s">
        <v>2240</v>
      </c>
      <c r="DC1" s="244" t="s">
        <v>2241</v>
      </c>
      <c r="DD1" s="243" t="s">
        <v>1924</v>
      </c>
      <c r="DE1" s="243" t="s">
        <v>1925</v>
      </c>
      <c r="DF1" s="243" t="s">
        <v>1926</v>
      </c>
      <c r="DG1" s="243" t="s">
        <v>1927</v>
      </c>
      <c r="DH1" s="245" t="s">
        <v>2242</v>
      </c>
      <c r="DI1" s="245" t="s">
        <v>2243</v>
      </c>
      <c r="DJ1" s="245" t="s">
        <v>2244</v>
      </c>
      <c r="DK1" s="246" t="s">
        <v>1900</v>
      </c>
      <c r="DL1" s="246" t="s">
        <v>1901</v>
      </c>
      <c r="DM1" s="246" t="s">
        <v>1902</v>
      </c>
      <c r="DN1" s="246" t="s">
        <v>1903</v>
      </c>
      <c r="DO1" s="246" t="s">
        <v>2245</v>
      </c>
      <c r="DP1" s="246" t="s">
        <v>2246</v>
      </c>
      <c r="DQ1" s="246" t="s">
        <v>2247</v>
      </c>
      <c r="DR1" s="246" t="s">
        <v>1992</v>
      </c>
      <c r="DS1" s="246" t="s">
        <v>1928</v>
      </c>
      <c r="DT1" s="246" t="s">
        <v>1929</v>
      </c>
      <c r="DU1" s="246" t="s">
        <v>1930</v>
      </c>
      <c r="DV1" s="246" t="s">
        <v>1931</v>
      </c>
      <c r="DW1" s="246" t="s">
        <v>2248</v>
      </c>
      <c r="DX1" s="246" t="s">
        <v>2249</v>
      </c>
      <c r="DY1" s="246" t="s">
        <v>2250</v>
      </c>
      <c r="DZ1" s="246" t="s">
        <v>1989</v>
      </c>
      <c r="EA1" s="246" t="s">
        <v>1932</v>
      </c>
      <c r="EB1" s="246" t="s">
        <v>1933</v>
      </c>
      <c r="EC1" s="246" t="s">
        <v>1934</v>
      </c>
      <c r="ED1" s="246" t="s">
        <v>1935</v>
      </c>
      <c r="EE1" s="246" t="s">
        <v>2251</v>
      </c>
      <c r="EF1" s="246" t="s">
        <v>2252</v>
      </c>
      <c r="EG1" s="246" t="s">
        <v>2253</v>
      </c>
      <c r="EH1" s="246" t="s">
        <v>1991</v>
      </c>
      <c r="EI1" s="246" t="s">
        <v>1993</v>
      </c>
      <c r="EJ1" s="246" t="s">
        <v>1936</v>
      </c>
      <c r="EK1" s="246" t="s">
        <v>1937</v>
      </c>
      <c r="EL1" s="246" t="s">
        <v>1938</v>
      </c>
      <c r="EM1" s="246" t="s">
        <v>1939</v>
      </c>
      <c r="EN1" s="246" t="s">
        <v>2254</v>
      </c>
      <c r="EO1" s="246" t="s">
        <v>2255</v>
      </c>
      <c r="EP1" s="246" t="s">
        <v>2256</v>
      </c>
      <c r="EQ1" s="246" t="s">
        <v>1940</v>
      </c>
      <c r="ER1" s="246" t="s">
        <v>1941</v>
      </c>
      <c r="ES1" s="246" t="s">
        <v>1942</v>
      </c>
      <c r="ET1" s="246" t="s">
        <v>1943</v>
      </c>
      <c r="EU1" s="246" t="s">
        <v>2257</v>
      </c>
      <c r="EV1" s="246" t="s">
        <v>2258</v>
      </c>
      <c r="EW1" s="246" t="s">
        <v>2259</v>
      </c>
      <c r="EX1" s="246" t="s">
        <v>1988</v>
      </c>
      <c r="EY1" s="246" t="s">
        <v>1994</v>
      </c>
      <c r="EZ1" s="246" t="s">
        <v>1944</v>
      </c>
      <c r="FA1" s="246" t="s">
        <v>1945</v>
      </c>
      <c r="FB1" s="246" t="s">
        <v>1946</v>
      </c>
      <c r="FC1" s="246" t="s">
        <v>1947</v>
      </c>
      <c r="FD1" s="246" t="s">
        <v>2260</v>
      </c>
      <c r="FE1" s="246" t="s">
        <v>2261</v>
      </c>
      <c r="FF1" s="246" t="s">
        <v>2262</v>
      </c>
      <c r="FG1" s="246" t="s">
        <v>1950</v>
      </c>
      <c r="FH1" s="246" t="s">
        <v>1949</v>
      </c>
      <c r="FI1" s="246" t="s">
        <v>1951</v>
      </c>
      <c r="FJ1" s="246" t="s">
        <v>1952</v>
      </c>
      <c r="FK1" s="246" t="s">
        <v>2263</v>
      </c>
      <c r="FL1" s="246" t="s">
        <v>2264</v>
      </c>
      <c r="FM1" s="246" t="s">
        <v>2265</v>
      </c>
      <c r="FN1" s="246" t="s">
        <v>1990</v>
      </c>
      <c r="FO1" s="246" t="s">
        <v>1995</v>
      </c>
      <c r="FP1" s="246" t="s">
        <v>1948</v>
      </c>
      <c r="FQ1" s="246" t="s">
        <v>1953</v>
      </c>
      <c r="FR1" s="246" t="s">
        <v>1954</v>
      </c>
      <c r="FS1" s="246" t="s">
        <v>1955</v>
      </c>
      <c r="FT1" s="246" t="s">
        <v>2266</v>
      </c>
      <c r="FU1" s="246" t="s">
        <v>2267</v>
      </c>
      <c r="FV1" s="246" t="s">
        <v>2268</v>
      </c>
      <c r="FW1" s="246" t="s">
        <v>1956</v>
      </c>
      <c r="FX1" s="246" t="s">
        <v>1957</v>
      </c>
      <c r="FY1" s="246" t="s">
        <v>1958</v>
      </c>
      <c r="FZ1" s="246" t="s">
        <v>1959</v>
      </c>
      <c r="GA1" s="246" t="s">
        <v>2269</v>
      </c>
      <c r="GB1" s="246" t="s">
        <v>2270</v>
      </c>
      <c r="GC1" s="246" t="s">
        <v>2271</v>
      </c>
      <c r="GD1" s="246" t="s">
        <v>1985</v>
      </c>
      <c r="GE1" s="246" t="s">
        <v>1996</v>
      </c>
      <c r="GF1" s="246" t="s">
        <v>1960</v>
      </c>
      <c r="GG1" s="246" t="s">
        <v>1961</v>
      </c>
      <c r="GH1" s="246" t="s">
        <v>1962</v>
      </c>
      <c r="GI1" s="246" t="s">
        <v>1963</v>
      </c>
      <c r="GJ1" s="246" t="s">
        <v>2272</v>
      </c>
      <c r="GK1" s="246" t="s">
        <v>2273</v>
      </c>
      <c r="GL1" s="246" t="s">
        <v>2274</v>
      </c>
      <c r="GM1" s="246" t="s">
        <v>1964</v>
      </c>
      <c r="GN1" s="246" t="s">
        <v>1965</v>
      </c>
      <c r="GO1" s="246" t="s">
        <v>1966</v>
      </c>
      <c r="GP1" s="246" t="s">
        <v>1967</v>
      </c>
      <c r="GQ1" s="246" t="s">
        <v>2275</v>
      </c>
      <c r="GR1" s="246" t="s">
        <v>2276</v>
      </c>
      <c r="GS1" s="246" t="s">
        <v>2277</v>
      </c>
      <c r="GT1" s="246" t="s">
        <v>1984</v>
      </c>
      <c r="GU1" s="246" t="s">
        <v>1997</v>
      </c>
      <c r="GV1" s="246" t="s">
        <v>1968</v>
      </c>
      <c r="GW1" s="246" t="s">
        <v>1969</v>
      </c>
      <c r="GX1" s="246" t="s">
        <v>1970</v>
      </c>
      <c r="GY1" s="246" t="s">
        <v>1971</v>
      </c>
      <c r="GZ1" s="246" t="s">
        <v>2278</v>
      </c>
      <c r="HA1" s="246" t="s">
        <v>2279</v>
      </c>
      <c r="HB1" s="246" t="s">
        <v>2280</v>
      </c>
      <c r="HC1" s="246" t="s">
        <v>1972</v>
      </c>
      <c r="HD1" s="246" t="s">
        <v>1973</v>
      </c>
      <c r="HE1" s="246" t="s">
        <v>1974</v>
      </c>
      <c r="HF1" s="246" t="s">
        <v>1975</v>
      </c>
      <c r="HG1" s="246" t="s">
        <v>2281</v>
      </c>
      <c r="HH1" s="246" t="s">
        <v>2282</v>
      </c>
      <c r="HI1" s="246" t="s">
        <v>2283</v>
      </c>
      <c r="HJ1" s="246" t="s">
        <v>1987</v>
      </c>
      <c r="HK1" s="246" t="s">
        <v>1998</v>
      </c>
      <c r="HL1" s="246" t="s">
        <v>1980</v>
      </c>
      <c r="HM1" s="246" t="s">
        <v>1981</v>
      </c>
      <c r="HN1" s="246" t="s">
        <v>1982</v>
      </c>
      <c r="HO1" s="247" t="s">
        <v>1983</v>
      </c>
      <c r="HP1" s="247" t="s">
        <v>2284</v>
      </c>
      <c r="HQ1" s="247" t="s">
        <v>2285</v>
      </c>
      <c r="HR1" s="247" t="s">
        <v>2286</v>
      </c>
      <c r="HS1" s="246" t="s">
        <v>1986</v>
      </c>
      <c r="HT1" s="246" t="s">
        <v>1999</v>
      </c>
      <c r="HU1" s="246" t="s">
        <v>1976</v>
      </c>
      <c r="HV1" s="246" t="s">
        <v>1977</v>
      </c>
      <c r="HW1" s="246" t="s">
        <v>1978</v>
      </c>
      <c r="HX1" s="246" t="s">
        <v>1979</v>
      </c>
      <c r="HY1" s="248" t="s">
        <v>2287</v>
      </c>
      <c r="HZ1" s="248" t="s">
        <v>2288</v>
      </c>
      <c r="IA1" s="248" t="s">
        <v>2289</v>
      </c>
    </row>
    <row r="2" spans="1:235" x14ac:dyDescent="0.25">
      <c r="A2" s="79" t="s">
        <v>671</v>
      </c>
      <c r="B2" s="79" t="s">
        <v>2290</v>
      </c>
      <c r="C2" s="280">
        <f>Data[[#This Row],[Spring 20 No eCore Low-Cost Sections]]+Data[[#This Row],[Summer 20 No eCore Low-Cost Sections]]+Data[[#This Row],[Fall 20 No eCore Low-Cost Sections]]</f>
        <v>541</v>
      </c>
      <c r="D2" s="281">
        <f>Data[[#This Row],[2020 LC Total]]/(Data[[#This Row],[Spring 20 All Sections]]+Data[[#This Row],[Summer 20 All Sections]]+Data[[#This Row],[Fall 20 All Sections]])</f>
        <v>0.25761904761904764</v>
      </c>
      <c r="E2" s="280">
        <f>Data[[#This Row],[Spring 20 No eCore No-Cost Sections]]+Data[[#This Row],[Summer 20 No eCore No-Cost Sections]]+Data[[#This Row],[Fall 20 No eCore No-Cost Sections]]</f>
        <v>488</v>
      </c>
      <c r="F2" s="281">
        <f>Data[[#This Row],[2020 NC Total]]/(Data[[#This Row],[Spring 20 All Sections]]+Data[[#This Row],[Summer 20 All Sections]]+Data[[#This Row],[Fall 20 All Sections]])</f>
        <v>0.23238095238095238</v>
      </c>
      <c r="G2" s="280">
        <f>Data[[#This Row],[2020 LC Total]]+Data[[#This Row],[2020 NC Total]]</f>
        <v>1029</v>
      </c>
      <c r="H2" s="281">
        <f>Data[[#This Row],[2020 NC+LC Total]]/(Data[[#This Row],[Spring 20 All Sections]]+Data[[#This Row],[Summer 20 All Sections]]+Data[[#This Row],[Fall 20 All Sections]])</f>
        <v>0.49</v>
      </c>
      <c r="I2" s="249">
        <v>1028</v>
      </c>
      <c r="J2" s="250">
        <v>962</v>
      </c>
      <c r="K2" s="251">
        <v>288</v>
      </c>
      <c r="L2" s="82">
        <v>944</v>
      </c>
      <c r="M2" s="82">
        <v>912</v>
      </c>
      <c r="N2" s="82">
        <v>197</v>
      </c>
      <c r="O2" s="82">
        <v>991</v>
      </c>
      <c r="P2" s="82">
        <f>SUM(Data[[#This Row],[Fall 18 All Sections]:[Fall 20 All Sections]])</f>
        <v>5322</v>
      </c>
      <c r="Q2" s="249">
        <v>205</v>
      </c>
      <c r="R2" s="250">
        <v>199</v>
      </c>
      <c r="S2" s="250">
        <v>91</v>
      </c>
      <c r="T2" s="82">
        <v>208</v>
      </c>
      <c r="U2" s="82">
        <v>216</v>
      </c>
      <c r="V2" s="82">
        <v>80</v>
      </c>
      <c r="W2" s="82">
        <v>258</v>
      </c>
      <c r="X2" s="249">
        <v>823</v>
      </c>
      <c r="Y2" s="250">
        <v>763</v>
      </c>
      <c r="Z2" s="84">
        <v>197</v>
      </c>
      <c r="AA2" s="82">
        <v>736</v>
      </c>
      <c r="AB2" s="82">
        <v>696</v>
      </c>
      <c r="AC2" s="82">
        <v>117</v>
      </c>
      <c r="AD2" s="82">
        <v>733</v>
      </c>
      <c r="AE2" s="249">
        <v>306</v>
      </c>
      <c r="AF2" s="82">
        <v>0</v>
      </c>
      <c r="AG2" s="82">
        <v>31</v>
      </c>
      <c r="AH2" s="82">
        <v>150</v>
      </c>
      <c r="AI2" s="82">
        <v>379</v>
      </c>
      <c r="AJ2" s="82">
        <v>15</v>
      </c>
      <c r="AK2" s="82">
        <v>147</v>
      </c>
      <c r="AL2" s="249">
        <v>184</v>
      </c>
      <c r="AM2" s="82">
        <v>199</v>
      </c>
      <c r="AN2" s="82">
        <v>162</v>
      </c>
      <c r="AO2" s="82">
        <v>427</v>
      </c>
      <c r="AP2" s="82">
        <v>435</v>
      </c>
      <c r="AQ2" s="82">
        <v>97</v>
      </c>
      <c r="AR2" s="82">
        <v>510</v>
      </c>
      <c r="AS2" s="249">
        <v>490</v>
      </c>
      <c r="AT2" s="82">
        <v>199</v>
      </c>
      <c r="AU2" s="82">
        <f t="shared" ref="AU2:AY27" si="0">AG2+AN2</f>
        <v>193</v>
      </c>
      <c r="AV2" s="82">
        <f t="shared" si="0"/>
        <v>577</v>
      </c>
      <c r="AW2" s="82">
        <f t="shared" si="0"/>
        <v>814</v>
      </c>
      <c r="AX2" s="82">
        <f t="shared" si="0"/>
        <v>112</v>
      </c>
      <c r="AY2" s="82">
        <f t="shared" si="0"/>
        <v>657</v>
      </c>
      <c r="AZ2" s="249">
        <v>101</v>
      </c>
      <c r="BA2" s="249">
        <v>0</v>
      </c>
      <c r="BB2" s="249">
        <v>31</v>
      </c>
      <c r="BC2" s="82">
        <v>150</v>
      </c>
      <c r="BD2" s="82">
        <v>379</v>
      </c>
      <c r="BE2" s="82">
        <v>15</v>
      </c>
      <c r="BF2" s="82">
        <v>147</v>
      </c>
      <c r="BG2" s="249">
        <v>184</v>
      </c>
      <c r="BH2" s="249">
        <v>0</v>
      </c>
      <c r="BI2" s="249">
        <v>71</v>
      </c>
      <c r="BJ2" s="82">
        <v>219</v>
      </c>
      <c r="BK2" s="82">
        <v>219</v>
      </c>
      <c r="BL2" s="82">
        <v>17</v>
      </c>
      <c r="BM2" s="82">
        <v>252</v>
      </c>
      <c r="BN2" s="249">
        <v>285</v>
      </c>
      <c r="BO2" s="249">
        <v>0</v>
      </c>
      <c r="BP2" s="85">
        <f t="shared" ref="BP2:BQ27" si="1">SUM(BB2+BI2)</f>
        <v>102</v>
      </c>
      <c r="BQ2" s="85">
        <f t="shared" si="1"/>
        <v>369</v>
      </c>
      <c r="BR2" s="85">
        <f>SUM(BD2+BK2)</f>
        <v>598</v>
      </c>
      <c r="BS2" s="85">
        <f>SUM(BE2+BL2)</f>
        <v>32</v>
      </c>
      <c r="BT2" s="85">
        <f>SUM(BF2+BM2)</f>
        <v>399</v>
      </c>
      <c r="BU2" s="252">
        <v>0.29799999999999999</v>
      </c>
      <c r="BV2" s="252">
        <f t="shared" ref="BV2:BV27" si="2">AF2/J2</f>
        <v>0</v>
      </c>
      <c r="BW2" s="252">
        <f t="shared" ref="BW2:BW27" si="3">AG2/K2</f>
        <v>0.1076388888888889</v>
      </c>
      <c r="BX2" s="252">
        <f t="shared" ref="BX2:BX27" si="4">AH2/L2</f>
        <v>0.15889830508474576</v>
      </c>
      <c r="BY2" s="252">
        <f t="shared" ref="BY2:BY27" si="5">AI2/M2</f>
        <v>0.41557017543859648</v>
      </c>
      <c r="BZ2" s="252">
        <f t="shared" ref="BZ2:BZ27" si="6">AJ2/N2</f>
        <v>7.6142131979695438E-2</v>
      </c>
      <c r="CA2" s="252">
        <f t="shared" ref="CA2:CA27" si="7">AK2/O2</f>
        <v>0.14833501513622604</v>
      </c>
      <c r="CB2" s="252">
        <v>0.17899999999999999</v>
      </c>
      <c r="CC2" s="252">
        <f t="shared" ref="CC2:CC27" si="8">AM2/J2</f>
        <v>0.20686070686070687</v>
      </c>
      <c r="CD2" s="252">
        <f t="shared" ref="CD2:CD27" si="9">AN2/K2</f>
        <v>0.5625</v>
      </c>
      <c r="CE2" s="252">
        <f t="shared" ref="CE2:CE27" si="10">AO2/L2</f>
        <v>0.45233050847457629</v>
      </c>
      <c r="CF2" s="252">
        <f t="shared" ref="CF2:CF27" si="11">AP2/M2</f>
        <v>0.47697368421052633</v>
      </c>
      <c r="CG2" s="252">
        <f t="shared" ref="CG2:CG27" si="12">AQ2/N2</f>
        <v>0.49238578680203043</v>
      </c>
      <c r="CH2" s="252">
        <f t="shared" ref="CH2:CH27" si="13">AR2/O2</f>
        <v>0.51463168516649849</v>
      </c>
      <c r="CI2" s="253">
        <v>0.47699999999999998</v>
      </c>
      <c r="CJ2" s="253">
        <f t="shared" ref="CJ2:CJ27" si="14">AT2/J2</f>
        <v>0.20686070686070687</v>
      </c>
      <c r="CK2" s="253">
        <f t="shared" ref="CK2:CK27" si="15">AU2/K2</f>
        <v>0.67013888888888884</v>
      </c>
      <c r="CL2" s="253">
        <f t="shared" ref="CL2:CL27" si="16">AV2/L2</f>
        <v>0.61122881355932202</v>
      </c>
      <c r="CM2" s="253">
        <f t="shared" ref="CM2:CM27" si="17">AW2/M2</f>
        <v>0.89254385964912286</v>
      </c>
      <c r="CN2" s="253">
        <f t="shared" ref="CN2:CN27" si="18">AX2/N2</f>
        <v>0.56852791878172593</v>
      </c>
      <c r="CO2" s="253">
        <f t="shared" ref="CO2:CO27" si="19">AY2/O2</f>
        <v>0.66296670030272453</v>
      </c>
      <c r="CP2" s="253">
        <v>0.123</v>
      </c>
      <c r="CQ2" s="253">
        <f t="shared" ref="CQ2:CV17" si="20">BA2/Y2</f>
        <v>0</v>
      </c>
      <c r="CR2" s="253">
        <f t="shared" si="20"/>
        <v>0.15736040609137056</v>
      </c>
      <c r="CS2" s="253">
        <f t="shared" si="20"/>
        <v>0.20380434782608695</v>
      </c>
      <c r="CT2" s="253">
        <f t="shared" si="20"/>
        <v>0.54454022988505746</v>
      </c>
      <c r="CU2" s="253">
        <f t="shared" si="20"/>
        <v>0.12820512820512819</v>
      </c>
      <c r="CV2" s="253">
        <f t="shared" si="20"/>
        <v>0.20054570259208732</v>
      </c>
      <c r="CW2" s="253">
        <v>0.224</v>
      </c>
      <c r="CX2" s="253">
        <f t="shared" ref="CX2:DC17" si="21">BH2/Y2</f>
        <v>0</v>
      </c>
      <c r="CY2" s="253">
        <f t="shared" si="21"/>
        <v>0.3604060913705584</v>
      </c>
      <c r="CZ2" s="253">
        <f t="shared" si="21"/>
        <v>0.29755434782608697</v>
      </c>
      <c r="DA2" s="253">
        <f t="shared" si="21"/>
        <v>0.31465517241379309</v>
      </c>
      <c r="DB2" s="253">
        <f t="shared" si="21"/>
        <v>0.14529914529914531</v>
      </c>
      <c r="DC2" s="253">
        <f t="shared" si="21"/>
        <v>0.34379263301500684</v>
      </c>
      <c r="DD2" s="253">
        <v>0.34599999999999997</v>
      </c>
      <c r="DE2" s="74">
        <f t="shared" ref="DE2:DJ17" si="22">BO2/Y2</f>
        <v>0</v>
      </c>
      <c r="DF2" s="74">
        <f t="shared" si="22"/>
        <v>0.51776649746192893</v>
      </c>
      <c r="DG2" s="74">
        <f t="shared" si="22"/>
        <v>0.50135869565217395</v>
      </c>
      <c r="DH2" s="74">
        <f t="shared" si="22"/>
        <v>0.85919540229885061</v>
      </c>
      <c r="DI2" s="74">
        <f t="shared" si="22"/>
        <v>0.27350427350427353</v>
      </c>
      <c r="DJ2" s="74">
        <f t="shared" si="22"/>
        <v>0.5443383356070941</v>
      </c>
      <c r="DK2" s="254">
        <v>21117</v>
      </c>
      <c r="DL2" s="254">
        <v>17388</v>
      </c>
      <c r="DM2" s="255">
        <v>3794</v>
      </c>
      <c r="DN2" s="256">
        <v>16671</v>
      </c>
      <c r="DO2" s="256">
        <v>14241</v>
      </c>
      <c r="DP2" s="256">
        <v>2790</v>
      </c>
      <c r="DQ2" s="256">
        <v>16713</v>
      </c>
      <c r="DR2" s="256">
        <f>SUM(Data[[#This Row],[Fall 18 All Enroll]:[Fall 20 All Enroll]])</f>
        <v>92714</v>
      </c>
      <c r="DS2" s="254">
        <v>20623</v>
      </c>
      <c r="DT2" s="255">
        <v>16926</v>
      </c>
      <c r="DU2" s="255">
        <v>3544</v>
      </c>
      <c r="DV2" s="256">
        <v>16199</v>
      </c>
      <c r="DW2" s="256">
        <v>13651</v>
      </c>
      <c r="DX2" s="256">
        <v>2542</v>
      </c>
      <c r="DY2" s="256">
        <v>16121</v>
      </c>
      <c r="DZ2" s="256">
        <f>SUM(Data[[#This Row],[Fall 18 Non-eCore Enroll]:[Fall 20 Non-eCore Enroll]])</f>
        <v>89606</v>
      </c>
      <c r="EA2" s="257">
        <v>2825</v>
      </c>
      <c r="EB2" s="256">
        <v>0</v>
      </c>
      <c r="EC2" s="256">
        <v>501</v>
      </c>
      <c r="ED2" s="256">
        <v>3475</v>
      </c>
      <c r="EE2" s="256">
        <v>8172</v>
      </c>
      <c r="EF2" s="256">
        <v>341</v>
      </c>
      <c r="EG2" s="256">
        <v>3730</v>
      </c>
      <c r="EH2" s="256">
        <f>SUM(Data[[#This Row],[Fall 18 LC All Enroll]:[Fall 20 LC All Enroll]])</f>
        <v>19044</v>
      </c>
      <c r="EI2" s="258">
        <f t="shared" ref="EI2:EI27" si="23">EH2/DR2</f>
        <v>0.20540587182086847</v>
      </c>
      <c r="EJ2" s="259">
        <v>0.13400000000000001</v>
      </c>
      <c r="EK2" s="259">
        <f t="shared" ref="EK2:EP27" si="24">EB2/DL2</f>
        <v>0</v>
      </c>
      <c r="EL2" s="259">
        <f t="shared" si="24"/>
        <v>0.13205060622034792</v>
      </c>
      <c r="EM2" s="259">
        <f t="shared" si="24"/>
        <v>0.20844580409093635</v>
      </c>
      <c r="EN2" s="259">
        <f>EE2/DO2</f>
        <v>0.5738361070149568</v>
      </c>
      <c r="EO2" s="259">
        <f>EF2/DP2</f>
        <v>0.12222222222222222</v>
      </c>
      <c r="EP2" s="259">
        <f>EG2/DQ2</f>
        <v>0.22317956082091786</v>
      </c>
      <c r="EQ2" s="257">
        <v>4062</v>
      </c>
      <c r="ER2" s="256">
        <v>462</v>
      </c>
      <c r="ES2" s="256">
        <v>1439</v>
      </c>
      <c r="ET2" s="256">
        <v>4444</v>
      </c>
      <c r="EU2" s="256">
        <v>4574</v>
      </c>
      <c r="EV2" s="256">
        <v>716</v>
      </c>
      <c r="EW2" s="256">
        <v>5855</v>
      </c>
      <c r="EX2" s="256">
        <f>SUM(Data[[#This Row],[Fall 18 NC All Enroll]:[Fall 20 NC All Enroll]])</f>
        <v>21552</v>
      </c>
      <c r="EY2" s="258">
        <f t="shared" ref="EY2:EY27" si="25">EX2/DR2</f>
        <v>0.23245680264037794</v>
      </c>
      <c r="EZ2" s="259">
        <v>0.192</v>
      </c>
      <c r="FA2" s="259">
        <f t="shared" ref="FA2:FF27" si="26">ER2/DL2</f>
        <v>2.6570048309178744E-2</v>
      </c>
      <c r="FB2" s="259">
        <f t="shared" si="26"/>
        <v>0.37928307854507115</v>
      </c>
      <c r="FC2" s="259">
        <f t="shared" si="26"/>
        <v>0.26657069162017877</v>
      </c>
      <c r="FD2" s="259">
        <f>EU2/DO2</f>
        <v>0.32118531002036371</v>
      </c>
      <c r="FE2" s="259">
        <f>EV2/DP2</f>
        <v>0.25663082437275986</v>
      </c>
      <c r="FF2" s="259">
        <f>EW2/DQ2</f>
        <v>0.35032609346018068</v>
      </c>
      <c r="FG2" s="257">
        <v>6887</v>
      </c>
      <c r="FH2" s="256">
        <v>462</v>
      </c>
      <c r="FI2" s="256">
        <f t="shared" ref="FI2:FI27" si="27">ES2+EC2</f>
        <v>1940</v>
      </c>
      <c r="FJ2" s="256">
        <f>ED2+ET2</f>
        <v>7919</v>
      </c>
      <c r="FK2" s="256">
        <f>EE2+EU2</f>
        <v>12746</v>
      </c>
      <c r="FL2" s="256">
        <f>EF2+EV2</f>
        <v>1057</v>
      </c>
      <c r="FM2" s="256">
        <f>EG2+EW2</f>
        <v>9585</v>
      </c>
      <c r="FN2" s="256">
        <f>SUM(Data[[#This Row],[Fall 18 LC+NC All Enroll]:[Fall 20 LC+NC All Enroll]])</f>
        <v>40596</v>
      </c>
      <c r="FO2" s="258">
        <f t="shared" ref="FO2:FO27" si="28">FN2/DR2</f>
        <v>0.43786267446124644</v>
      </c>
      <c r="FP2" s="259">
        <v>0.32600000000000001</v>
      </c>
      <c r="FQ2" s="260">
        <f t="shared" ref="FQ2:FV27" si="29">FH2/DL2</f>
        <v>2.6570048309178744E-2</v>
      </c>
      <c r="FR2" s="260">
        <f t="shared" si="29"/>
        <v>0.51133368476541907</v>
      </c>
      <c r="FS2" s="260">
        <f t="shared" si="29"/>
        <v>0.47501649571111509</v>
      </c>
      <c r="FT2" s="260">
        <f>FK2/DO2</f>
        <v>0.89502141703532057</v>
      </c>
      <c r="FU2" s="260">
        <f>FL2/DP2</f>
        <v>0.37885304659498209</v>
      </c>
      <c r="FV2" s="260">
        <f>FM2/DQ2</f>
        <v>0.57350565428109856</v>
      </c>
      <c r="FW2" s="257">
        <v>2331</v>
      </c>
      <c r="FX2" s="261">
        <v>0</v>
      </c>
      <c r="FY2" s="256">
        <v>501</v>
      </c>
      <c r="FZ2" s="256">
        <v>3475</v>
      </c>
      <c r="GA2" s="256">
        <v>8172</v>
      </c>
      <c r="GB2" s="256">
        <v>341</v>
      </c>
      <c r="GC2" s="256">
        <v>3730</v>
      </c>
      <c r="GD2" s="256">
        <f>SUM(Data[[#This Row],[Fall 18 LC Non-eCore Enroll]:[Fall 20 LC Non-eCore Enroll]])</f>
        <v>18550</v>
      </c>
      <c r="GE2" s="258">
        <f t="shared" ref="GE2:GE27" si="30">GD2/DZ2</f>
        <v>0.2070173872285338</v>
      </c>
      <c r="GF2" s="259">
        <v>0.113</v>
      </c>
      <c r="GG2" s="259">
        <f t="shared" ref="GG2:GL27" si="31">FX2/DT2</f>
        <v>0</v>
      </c>
      <c r="GH2" s="259">
        <f t="shared" si="31"/>
        <v>0.14136568848758466</v>
      </c>
      <c r="GI2" s="259">
        <f t="shared" si="31"/>
        <v>0.21451941477869005</v>
      </c>
      <c r="GJ2" s="259">
        <f>GA2/DW2</f>
        <v>0.59863746245696281</v>
      </c>
      <c r="GK2" s="259">
        <f>GB2/DX2</f>
        <v>0.13414634146341464</v>
      </c>
      <c r="GL2" s="259">
        <f>GC2/DY2</f>
        <v>0.23137522486198125</v>
      </c>
      <c r="GM2" s="257">
        <v>4062</v>
      </c>
      <c r="GN2" s="262">
        <v>0</v>
      </c>
      <c r="GO2" s="262">
        <v>1189</v>
      </c>
      <c r="GP2" s="256">
        <v>3972</v>
      </c>
      <c r="GQ2" s="256">
        <v>3984</v>
      </c>
      <c r="GR2" s="256">
        <v>468</v>
      </c>
      <c r="GS2" s="256">
        <v>5263</v>
      </c>
      <c r="GT2" s="256">
        <f>SUM(Data[[#This Row],[Fall 18 NC Non-eCore Enroll]:[Fall 20 NC Non-eCore Enroll]])</f>
        <v>18938</v>
      </c>
      <c r="GU2" s="258">
        <f t="shared" ref="GU2:GU27" si="32">GT2/DZ2</f>
        <v>0.21134745441153494</v>
      </c>
      <c r="GV2" s="259">
        <v>0.19700000000000001</v>
      </c>
      <c r="GW2" s="259">
        <f t="shared" ref="GW2:HB17" si="33">GN2/DT2</f>
        <v>0</v>
      </c>
      <c r="GX2" s="259">
        <f t="shared" si="33"/>
        <v>0.3354966139954853</v>
      </c>
      <c r="GY2" s="259">
        <f t="shared" si="33"/>
        <v>0.24520032100746961</v>
      </c>
      <c r="GZ2" s="259">
        <f t="shared" si="33"/>
        <v>0.29184675115376163</v>
      </c>
      <c r="HA2" s="259">
        <f t="shared" si="33"/>
        <v>0.18410700236034619</v>
      </c>
      <c r="HB2" s="259">
        <f t="shared" si="33"/>
        <v>0.32646858135351403</v>
      </c>
      <c r="HC2" s="257">
        <v>6393</v>
      </c>
      <c r="HD2" s="257">
        <v>0</v>
      </c>
      <c r="HE2" s="257">
        <f>FY2+GO2</f>
        <v>1690</v>
      </c>
      <c r="HF2" s="257">
        <f>FZ2+GP2</f>
        <v>7447</v>
      </c>
      <c r="HG2" s="257">
        <f>GA2+GQ2</f>
        <v>12156</v>
      </c>
      <c r="HH2" s="257">
        <f>GB2+GR2</f>
        <v>809</v>
      </c>
      <c r="HI2" s="257">
        <f>GC2+GS2</f>
        <v>8993</v>
      </c>
      <c r="HJ2" s="257">
        <f>SUM(Data[[#This Row],[Fall 18 LC+NC Non-eCore Enroll]:[Fall 20 LC+NC Non-eCore Enroll]])</f>
        <v>37488</v>
      </c>
      <c r="HK2" s="263">
        <f t="shared" ref="HK2:HK27" si="34">HJ2/DZ2</f>
        <v>0.41836484164006876</v>
      </c>
      <c r="HL2" s="256">
        <v>14230</v>
      </c>
      <c r="HM2" s="256">
        <v>16926</v>
      </c>
      <c r="HN2" s="256">
        <v>1854</v>
      </c>
      <c r="HO2" s="82">
        <v>8752</v>
      </c>
      <c r="HP2" s="264">
        <v>1495</v>
      </c>
      <c r="HQ2" s="264">
        <v>1733</v>
      </c>
      <c r="HR2" s="264">
        <v>7128</v>
      </c>
      <c r="HS2" s="256">
        <f>SUM(Data[[#This Row],[Fall 18 Non-eCore None Enroll]:[Fall 20 Non-eCore None Enroll]])</f>
        <v>52118</v>
      </c>
      <c r="HT2" s="258">
        <f t="shared" ref="HT2:HT27" si="35">HS2/DZ2</f>
        <v>0.58163515835993129</v>
      </c>
      <c r="HU2" s="259">
        <v>0.31</v>
      </c>
      <c r="HV2" s="259">
        <f t="shared" ref="HV2:IA17" si="36">HD2/DT2</f>
        <v>0</v>
      </c>
      <c r="HW2" s="259">
        <f t="shared" si="36"/>
        <v>0.47686230248306999</v>
      </c>
      <c r="HX2" s="259">
        <f t="shared" si="36"/>
        <v>0.45971973578615966</v>
      </c>
      <c r="HY2" s="259">
        <f t="shared" si="36"/>
        <v>0.8904842136107245</v>
      </c>
      <c r="HZ2" s="259">
        <f t="shared" si="36"/>
        <v>0.3182533438237608</v>
      </c>
      <c r="IA2" s="259">
        <f t="shared" si="36"/>
        <v>0.55784380621549534</v>
      </c>
    </row>
    <row r="3" spans="1:235" x14ac:dyDescent="0.25">
      <c r="A3" s="79" t="s">
        <v>250</v>
      </c>
      <c r="B3" s="79" t="s">
        <v>2291</v>
      </c>
      <c r="C3" s="280">
        <f>Data[[#This Row],[Spring 20 No eCore Low-Cost Sections]]+Data[[#This Row],[Summer 20 No eCore Low-Cost Sections]]+Data[[#This Row],[Fall 20 No eCore Low-Cost Sections]]</f>
        <v>4</v>
      </c>
      <c r="D3" s="281">
        <f>Data[[#This Row],[2020 LC Total]]/(Data[[#This Row],[Spring 20 All Sections]]+Data[[#This Row],[Summer 20 All Sections]]+Data[[#This Row],[Fall 20 All Sections]])</f>
        <v>1.1584129742253113E-3</v>
      </c>
      <c r="E3" s="280">
        <f>Data[[#This Row],[Spring 20 No eCore No-Cost Sections]]+Data[[#This Row],[Summer 20 No eCore No-Cost Sections]]+Data[[#This Row],[Fall 20 No eCore No-Cost Sections]]</f>
        <v>193</v>
      </c>
      <c r="F3" s="281">
        <f>Data[[#This Row],[2020 NC Total]]/(Data[[#This Row],[Spring 20 All Sections]]+Data[[#This Row],[Summer 20 All Sections]]+Data[[#This Row],[Fall 20 All Sections]])</f>
        <v>5.5893426006371275E-2</v>
      </c>
      <c r="G3" s="280">
        <f>Data[[#This Row],[2020 LC Total]]+Data[[#This Row],[2020 NC Total]]</f>
        <v>197</v>
      </c>
      <c r="H3" s="281">
        <f>Data[[#This Row],[2020 NC+LC Total]]/(Data[[#This Row],[Spring 20 All Sections]]+Data[[#This Row],[Summer 20 All Sections]]+Data[[#This Row],[Fall 20 All Sections]])</f>
        <v>5.7051838980596584E-2</v>
      </c>
      <c r="I3" s="249">
        <v>1538</v>
      </c>
      <c r="J3" s="250">
        <v>1424</v>
      </c>
      <c r="K3" s="251">
        <v>504</v>
      </c>
      <c r="L3" s="82">
        <v>1509</v>
      </c>
      <c r="M3" s="82">
        <v>1384</v>
      </c>
      <c r="N3" s="82">
        <v>448</v>
      </c>
      <c r="O3" s="82">
        <v>1621</v>
      </c>
      <c r="P3" s="82">
        <f>SUM(Data[[#This Row],[Fall 18 All Sections]:[Fall 20 All Sections]])</f>
        <v>8428</v>
      </c>
      <c r="Q3" s="249">
        <v>49</v>
      </c>
      <c r="R3" s="250">
        <v>53</v>
      </c>
      <c r="S3" s="250">
        <v>20</v>
      </c>
      <c r="T3" s="82">
        <v>56</v>
      </c>
      <c r="U3" s="82">
        <v>53</v>
      </c>
      <c r="V3" s="82">
        <v>20</v>
      </c>
      <c r="W3" s="82">
        <v>224</v>
      </c>
      <c r="X3" s="249">
        <v>1489</v>
      </c>
      <c r="Y3" s="250">
        <v>1371</v>
      </c>
      <c r="Z3" s="84">
        <v>484</v>
      </c>
      <c r="AA3" s="82">
        <v>1453</v>
      </c>
      <c r="AB3" s="82">
        <v>1331</v>
      </c>
      <c r="AC3" s="82">
        <v>428</v>
      </c>
      <c r="AD3" s="82">
        <v>1397</v>
      </c>
      <c r="AE3" s="265">
        <v>0</v>
      </c>
      <c r="AF3" s="82">
        <v>1</v>
      </c>
      <c r="AG3" s="82">
        <v>0</v>
      </c>
      <c r="AH3" s="82">
        <v>1</v>
      </c>
      <c r="AI3" s="82">
        <v>2</v>
      </c>
      <c r="AJ3" s="82">
        <v>1</v>
      </c>
      <c r="AK3" s="82">
        <v>1</v>
      </c>
      <c r="AL3" s="249">
        <v>45</v>
      </c>
      <c r="AM3" s="82">
        <v>80</v>
      </c>
      <c r="AN3" s="82">
        <v>47</v>
      </c>
      <c r="AO3" s="82">
        <v>143</v>
      </c>
      <c r="AP3" s="82">
        <v>125</v>
      </c>
      <c r="AQ3" s="82">
        <v>41</v>
      </c>
      <c r="AR3" s="82">
        <v>209</v>
      </c>
      <c r="AS3" s="249">
        <v>45</v>
      </c>
      <c r="AT3" s="82">
        <v>81</v>
      </c>
      <c r="AU3" s="82">
        <f t="shared" si="0"/>
        <v>47</v>
      </c>
      <c r="AV3" s="82">
        <f t="shared" si="0"/>
        <v>144</v>
      </c>
      <c r="AW3" s="82">
        <f t="shared" si="0"/>
        <v>127</v>
      </c>
      <c r="AX3" s="82">
        <f t="shared" si="0"/>
        <v>42</v>
      </c>
      <c r="AY3" s="82">
        <f t="shared" si="0"/>
        <v>210</v>
      </c>
      <c r="AZ3" s="265">
        <v>0</v>
      </c>
      <c r="BA3" s="82">
        <v>1</v>
      </c>
      <c r="BB3" s="82">
        <v>0</v>
      </c>
      <c r="BC3" s="82">
        <v>1</v>
      </c>
      <c r="BD3" s="82">
        <v>2</v>
      </c>
      <c r="BE3" s="82">
        <v>1</v>
      </c>
      <c r="BF3" s="82">
        <v>1</v>
      </c>
      <c r="BG3" s="249">
        <v>45</v>
      </c>
      <c r="BH3" s="82">
        <v>60</v>
      </c>
      <c r="BI3" s="82">
        <v>27</v>
      </c>
      <c r="BJ3" s="82">
        <v>87</v>
      </c>
      <c r="BK3" s="82">
        <v>72</v>
      </c>
      <c r="BL3" s="82">
        <v>22</v>
      </c>
      <c r="BM3" s="82">
        <v>99</v>
      </c>
      <c r="BN3" s="249">
        <v>45</v>
      </c>
      <c r="BO3" s="82">
        <v>61</v>
      </c>
      <c r="BP3" s="85">
        <f t="shared" si="1"/>
        <v>27</v>
      </c>
      <c r="BQ3" s="85">
        <f t="shared" ref="BQ3:BQ27" si="37">BC3+BJ3</f>
        <v>88</v>
      </c>
      <c r="BR3" s="85">
        <f t="shared" ref="BR3:BR27" si="38">SUM(BD3+BK3)</f>
        <v>74</v>
      </c>
      <c r="BS3" s="85">
        <f t="shared" ref="BS3:BT27" si="39">SUM(BE3+BL3)</f>
        <v>23</v>
      </c>
      <c r="BT3" s="85">
        <f t="shared" si="39"/>
        <v>100</v>
      </c>
      <c r="BU3" s="252">
        <v>0</v>
      </c>
      <c r="BV3" s="252">
        <f t="shared" si="2"/>
        <v>7.0224719101123594E-4</v>
      </c>
      <c r="BW3" s="252">
        <f t="shared" si="3"/>
        <v>0</v>
      </c>
      <c r="BX3" s="252">
        <f t="shared" si="4"/>
        <v>6.6269052352551359E-4</v>
      </c>
      <c r="BY3" s="252">
        <f t="shared" si="5"/>
        <v>1.4450867052023121E-3</v>
      </c>
      <c r="BZ3" s="252">
        <f t="shared" si="6"/>
        <v>2.232142857142857E-3</v>
      </c>
      <c r="CA3" s="252">
        <f t="shared" si="7"/>
        <v>6.1690314620604567E-4</v>
      </c>
      <c r="CB3" s="252">
        <v>2.9000000000000001E-2</v>
      </c>
      <c r="CC3" s="252">
        <f t="shared" si="8"/>
        <v>5.6179775280898875E-2</v>
      </c>
      <c r="CD3" s="252">
        <f t="shared" si="9"/>
        <v>9.3253968253968256E-2</v>
      </c>
      <c r="CE3" s="252">
        <f t="shared" si="10"/>
        <v>9.4764744864148445E-2</v>
      </c>
      <c r="CF3" s="252">
        <f t="shared" si="11"/>
        <v>9.0317919075144512E-2</v>
      </c>
      <c r="CG3" s="252">
        <f t="shared" si="12"/>
        <v>9.1517857142857137E-2</v>
      </c>
      <c r="CH3" s="252">
        <f t="shared" si="13"/>
        <v>0.12893275755706354</v>
      </c>
      <c r="CI3" s="253">
        <v>2.9000000000000001E-2</v>
      </c>
      <c r="CJ3" s="253">
        <f t="shared" si="14"/>
        <v>5.6882022471910113E-2</v>
      </c>
      <c r="CK3" s="253">
        <f t="shared" si="15"/>
        <v>9.3253968253968256E-2</v>
      </c>
      <c r="CL3" s="253">
        <f t="shared" si="16"/>
        <v>9.5427435387673953E-2</v>
      </c>
      <c r="CM3" s="253">
        <f t="shared" si="17"/>
        <v>9.1763005780346824E-2</v>
      </c>
      <c r="CN3" s="253">
        <f t="shared" si="18"/>
        <v>9.375E-2</v>
      </c>
      <c r="CO3" s="253">
        <f t="shared" si="19"/>
        <v>0.12954966070326959</v>
      </c>
      <c r="CP3" s="253">
        <v>0</v>
      </c>
      <c r="CQ3" s="253">
        <f t="shared" si="20"/>
        <v>7.2939460247994166E-4</v>
      </c>
      <c r="CR3" s="253">
        <f t="shared" si="20"/>
        <v>0</v>
      </c>
      <c r="CS3" s="253">
        <f t="shared" si="20"/>
        <v>6.8823124569855469E-4</v>
      </c>
      <c r="CT3" s="253">
        <f t="shared" si="20"/>
        <v>1.5026296018031556E-3</v>
      </c>
      <c r="CU3" s="253">
        <f t="shared" si="20"/>
        <v>2.3364485981308409E-3</v>
      </c>
      <c r="CV3" s="253">
        <f t="shared" si="20"/>
        <v>7.158196134574087E-4</v>
      </c>
      <c r="CW3" s="253">
        <v>0.03</v>
      </c>
      <c r="CX3" s="253">
        <f t="shared" si="21"/>
        <v>4.3763676148796497E-2</v>
      </c>
      <c r="CY3" s="253">
        <f t="shared" si="21"/>
        <v>5.578512396694215E-2</v>
      </c>
      <c r="CZ3" s="253">
        <f t="shared" si="21"/>
        <v>5.9876118375774258E-2</v>
      </c>
      <c r="DA3" s="253">
        <f t="shared" si="21"/>
        <v>5.4094665664913597E-2</v>
      </c>
      <c r="DB3" s="253">
        <f t="shared" si="21"/>
        <v>5.1401869158878503E-2</v>
      </c>
      <c r="DC3" s="253">
        <f t="shared" si="21"/>
        <v>7.0866141732283464E-2</v>
      </c>
      <c r="DD3" s="253">
        <v>0.03</v>
      </c>
      <c r="DE3" s="74">
        <f t="shared" si="22"/>
        <v>4.449307075127644E-2</v>
      </c>
      <c r="DF3" s="74">
        <f t="shared" si="22"/>
        <v>5.578512396694215E-2</v>
      </c>
      <c r="DG3" s="74">
        <f t="shared" si="22"/>
        <v>6.0564349621472814E-2</v>
      </c>
      <c r="DH3" s="74">
        <f t="shared" si="22"/>
        <v>5.5597295266716758E-2</v>
      </c>
      <c r="DI3" s="74">
        <f t="shared" si="22"/>
        <v>5.3738317757009345E-2</v>
      </c>
      <c r="DJ3" s="74">
        <f t="shared" si="22"/>
        <v>7.158196134574088E-2</v>
      </c>
      <c r="DK3" s="266">
        <v>27475</v>
      </c>
      <c r="DL3" s="266">
        <v>24256</v>
      </c>
      <c r="DM3" s="267">
        <v>6151</v>
      </c>
      <c r="DN3" s="268">
        <v>25406</v>
      </c>
      <c r="DO3" s="268">
        <v>22804</v>
      </c>
      <c r="DP3" s="268">
        <v>6269</v>
      </c>
      <c r="DQ3" s="268">
        <v>25606</v>
      </c>
      <c r="DR3" s="268">
        <f>SUM(Data[[#This Row],[Fall 18 All Enroll]:[Fall 20 All Enroll]])</f>
        <v>137967</v>
      </c>
      <c r="DS3" s="266">
        <v>27404</v>
      </c>
      <c r="DT3" s="267">
        <v>24180</v>
      </c>
      <c r="DU3" s="267">
        <v>6123</v>
      </c>
      <c r="DV3" s="268">
        <v>25298</v>
      </c>
      <c r="DW3" s="268">
        <v>22735</v>
      </c>
      <c r="DX3" s="268">
        <v>6247</v>
      </c>
      <c r="DY3" s="268">
        <v>25088</v>
      </c>
      <c r="DZ3" s="268">
        <f>SUM(Data[[#This Row],[Fall 18 Non-eCore Enroll]:[Fall 20 Non-eCore Enroll]])</f>
        <v>137075</v>
      </c>
      <c r="EA3" s="269">
        <v>0</v>
      </c>
      <c r="EB3" s="268">
        <v>10</v>
      </c>
      <c r="EC3" s="268">
        <v>0</v>
      </c>
      <c r="ED3" s="268">
        <v>1</v>
      </c>
      <c r="EE3" s="268">
        <v>2</v>
      </c>
      <c r="EF3" s="268">
        <v>2</v>
      </c>
      <c r="EG3" s="268">
        <v>6</v>
      </c>
      <c r="EH3" s="268">
        <f>SUM(Data[[#This Row],[Fall 18 LC All Enroll]:[Fall 20 LC All Enroll]])</f>
        <v>21</v>
      </c>
      <c r="EI3" s="89">
        <f t="shared" si="23"/>
        <v>1.5221031116136467E-4</v>
      </c>
      <c r="EJ3" s="252">
        <v>0</v>
      </c>
      <c r="EK3" s="252">
        <f t="shared" si="24"/>
        <v>4.1226912928759896E-4</v>
      </c>
      <c r="EL3" s="252">
        <f t="shared" si="24"/>
        <v>0</v>
      </c>
      <c r="EM3" s="252">
        <f t="shared" si="24"/>
        <v>3.9360780917893409E-5</v>
      </c>
      <c r="EN3" s="259">
        <f t="shared" si="24"/>
        <v>8.7703911594457117E-5</v>
      </c>
      <c r="EO3" s="259">
        <f t="shared" si="24"/>
        <v>3.1903014834901898E-4</v>
      </c>
      <c r="EP3" s="259">
        <f t="shared" si="24"/>
        <v>2.3432008123096148E-4</v>
      </c>
      <c r="EQ3" s="269">
        <v>1245</v>
      </c>
      <c r="ER3" s="268">
        <v>1336</v>
      </c>
      <c r="ES3" s="268">
        <v>267</v>
      </c>
      <c r="ET3" s="268">
        <v>1738</v>
      </c>
      <c r="EU3" s="268">
        <v>1236</v>
      </c>
      <c r="EV3" s="268">
        <v>219</v>
      </c>
      <c r="EW3" s="268">
        <v>1917</v>
      </c>
      <c r="EX3" s="268">
        <f>SUM(Data[[#This Row],[Fall 18 NC All Enroll]:[Fall 20 NC All Enroll]])</f>
        <v>7958</v>
      </c>
      <c r="EY3" s="89">
        <f t="shared" si="25"/>
        <v>5.7680459820101906E-2</v>
      </c>
      <c r="EZ3" s="252">
        <v>4.4999999999999998E-2</v>
      </c>
      <c r="FA3" s="252">
        <f t="shared" si="26"/>
        <v>5.5079155672823218E-2</v>
      </c>
      <c r="FB3" s="252">
        <f t="shared" si="26"/>
        <v>4.3407576003901806E-2</v>
      </c>
      <c r="FC3" s="252">
        <f t="shared" si="26"/>
        <v>6.8409037235298745E-2</v>
      </c>
      <c r="FD3" s="259">
        <f t="shared" si="26"/>
        <v>5.4201017365374499E-2</v>
      </c>
      <c r="FE3" s="259">
        <f t="shared" si="26"/>
        <v>3.4933801244217577E-2</v>
      </c>
      <c r="FF3" s="259">
        <f t="shared" si="26"/>
        <v>7.4865265953292195E-2</v>
      </c>
      <c r="FG3" s="269">
        <v>1245</v>
      </c>
      <c r="FH3" s="268">
        <v>1346</v>
      </c>
      <c r="FI3" s="268">
        <f t="shared" si="27"/>
        <v>267</v>
      </c>
      <c r="FJ3" s="268">
        <f t="shared" ref="FJ3:FM27" si="40">ED3+ET3</f>
        <v>1739</v>
      </c>
      <c r="FK3" s="256">
        <f t="shared" si="40"/>
        <v>1238</v>
      </c>
      <c r="FL3" s="256">
        <f t="shared" si="40"/>
        <v>221</v>
      </c>
      <c r="FM3" s="256">
        <f t="shared" si="40"/>
        <v>1923</v>
      </c>
      <c r="FN3" s="268">
        <f>SUM(Data[[#This Row],[Fall 18 LC+NC All Enroll]:[Fall 20 LC+NC All Enroll]])</f>
        <v>7979</v>
      </c>
      <c r="FO3" s="89">
        <f t="shared" si="28"/>
        <v>5.7832670131263274E-2</v>
      </c>
      <c r="FP3" s="252">
        <v>4.4999999999999998E-2</v>
      </c>
      <c r="FQ3" s="75">
        <f t="shared" si="29"/>
        <v>5.549142480211082E-2</v>
      </c>
      <c r="FR3" s="75">
        <f t="shared" si="29"/>
        <v>4.3407576003901806E-2</v>
      </c>
      <c r="FS3" s="75">
        <f t="shared" si="29"/>
        <v>6.8448398016216647E-2</v>
      </c>
      <c r="FT3" s="260">
        <f t="shared" si="29"/>
        <v>5.4288721276968953E-2</v>
      </c>
      <c r="FU3" s="260">
        <f t="shared" si="29"/>
        <v>3.5252831392566596E-2</v>
      </c>
      <c r="FV3" s="260">
        <f t="shared" si="29"/>
        <v>7.5099586034523158E-2</v>
      </c>
      <c r="FW3" s="269">
        <v>0</v>
      </c>
      <c r="FX3" s="268">
        <v>10</v>
      </c>
      <c r="FY3" s="268">
        <v>0</v>
      </c>
      <c r="FZ3" s="268">
        <v>1</v>
      </c>
      <c r="GA3" s="268">
        <v>2</v>
      </c>
      <c r="GB3" s="268">
        <v>2</v>
      </c>
      <c r="GC3" s="268">
        <v>6</v>
      </c>
      <c r="GD3" s="268">
        <f>SUM(Data[[#This Row],[Fall 18 LC Non-eCore Enroll]:[Fall 20 LC Non-eCore Enroll]])</f>
        <v>21</v>
      </c>
      <c r="GE3" s="89">
        <f t="shared" si="30"/>
        <v>1.5320080248039394E-4</v>
      </c>
      <c r="GF3" s="252">
        <v>0</v>
      </c>
      <c r="GG3" s="252">
        <f t="shared" si="31"/>
        <v>4.1356492969396195E-4</v>
      </c>
      <c r="GH3" s="252">
        <f t="shared" si="31"/>
        <v>0</v>
      </c>
      <c r="GI3" s="252">
        <f t="shared" si="31"/>
        <v>3.9528816507233772E-5</v>
      </c>
      <c r="GJ3" s="259">
        <f t="shared" si="31"/>
        <v>8.7970090169342424E-5</v>
      </c>
      <c r="GK3" s="259">
        <f t="shared" si="31"/>
        <v>3.2015367376340644E-4</v>
      </c>
      <c r="GL3" s="259">
        <f t="shared" si="31"/>
        <v>2.3915816326530612E-4</v>
      </c>
      <c r="GM3" s="269">
        <v>1245</v>
      </c>
      <c r="GN3" s="268">
        <v>1302</v>
      </c>
      <c r="GO3" s="268">
        <v>239</v>
      </c>
      <c r="GP3" s="268">
        <v>1630</v>
      </c>
      <c r="GQ3" s="268">
        <v>1167</v>
      </c>
      <c r="GR3" s="268">
        <v>198</v>
      </c>
      <c r="GS3" s="268">
        <v>1703</v>
      </c>
      <c r="GT3" s="268">
        <f>SUM(Data[[#This Row],[Fall 18 NC Non-eCore Enroll]:[Fall 20 NC Non-eCore Enroll]])</f>
        <v>7484</v>
      </c>
      <c r="GU3" s="89">
        <f t="shared" si="32"/>
        <v>5.4597847893488968E-2</v>
      </c>
      <c r="GV3" s="252">
        <v>4.4999999999999998E-2</v>
      </c>
      <c r="GW3" s="252">
        <f t="shared" si="33"/>
        <v>5.3846153846153849E-2</v>
      </c>
      <c r="GX3" s="252">
        <f t="shared" si="33"/>
        <v>3.9033153682835213E-2</v>
      </c>
      <c r="GY3" s="252">
        <f t="shared" si="33"/>
        <v>6.443197090679105E-2</v>
      </c>
      <c r="GZ3" s="259">
        <f t="shared" si="33"/>
        <v>5.1330547613811305E-2</v>
      </c>
      <c r="HA3" s="259">
        <f t="shared" si="33"/>
        <v>3.1695213702577239E-2</v>
      </c>
      <c r="HB3" s="259">
        <f t="shared" si="33"/>
        <v>6.7881058673469385E-2</v>
      </c>
      <c r="HC3" s="269">
        <v>1245</v>
      </c>
      <c r="HD3" s="268">
        <v>1312</v>
      </c>
      <c r="HE3" s="269">
        <f t="shared" ref="HE3:HI27" si="41">FY3+GO3</f>
        <v>239</v>
      </c>
      <c r="HF3" s="269">
        <f t="shared" si="41"/>
        <v>1631</v>
      </c>
      <c r="HG3" s="257">
        <f t="shared" si="41"/>
        <v>1169</v>
      </c>
      <c r="HH3" s="257">
        <f t="shared" si="41"/>
        <v>200</v>
      </c>
      <c r="HI3" s="257">
        <f t="shared" si="41"/>
        <v>1709</v>
      </c>
      <c r="HJ3" s="269">
        <f>SUM(Data[[#This Row],[Fall 18 LC+NC Non-eCore Enroll]:[Fall 20 LC+NC Non-eCore Enroll]])</f>
        <v>7505</v>
      </c>
      <c r="HK3" s="91">
        <f t="shared" si="34"/>
        <v>5.4751048695969362E-2</v>
      </c>
      <c r="HL3" s="268">
        <v>26159</v>
      </c>
      <c r="HM3" s="268">
        <v>22868</v>
      </c>
      <c r="HN3" s="268">
        <v>5884</v>
      </c>
      <c r="HO3" s="82">
        <v>23667</v>
      </c>
      <c r="HP3" s="82">
        <v>21566</v>
      </c>
      <c r="HQ3" s="82">
        <v>6047</v>
      </c>
      <c r="HR3" s="82">
        <v>23379</v>
      </c>
      <c r="HS3" s="256">
        <f>SUM(Data[[#This Row],[Fall 18 Non-eCore None Enroll]:[Fall 20 Non-eCore None Enroll]])</f>
        <v>129570</v>
      </c>
      <c r="HT3" s="89">
        <f t="shared" si="35"/>
        <v>0.94524895130403064</v>
      </c>
      <c r="HU3" s="252">
        <v>4.4999999999999998E-2</v>
      </c>
      <c r="HV3" s="252">
        <f t="shared" si="36"/>
        <v>5.4259718775847808E-2</v>
      </c>
      <c r="HW3" s="252">
        <f t="shared" si="36"/>
        <v>3.9033153682835213E-2</v>
      </c>
      <c r="HX3" s="252">
        <f t="shared" si="36"/>
        <v>6.4471499723298284E-2</v>
      </c>
      <c r="HY3" s="259">
        <f t="shared" si="36"/>
        <v>5.1418517703980648E-2</v>
      </c>
      <c r="HZ3" s="259">
        <f t="shared" si="36"/>
        <v>3.2015367376340642E-2</v>
      </c>
      <c r="IA3" s="259">
        <f t="shared" si="36"/>
        <v>6.8120216836734693E-2</v>
      </c>
    </row>
    <row r="4" spans="1:235" x14ac:dyDescent="0.25">
      <c r="A4" s="79" t="s">
        <v>677</v>
      </c>
      <c r="B4" s="79" t="s">
        <v>2290</v>
      </c>
      <c r="C4" s="280">
        <f>Data[[#This Row],[Spring 20 No eCore Low-Cost Sections]]+Data[[#This Row],[Summer 20 No eCore Low-Cost Sections]]+Data[[#This Row],[Fall 20 No eCore Low-Cost Sections]]</f>
        <v>2</v>
      </c>
      <c r="D4" s="281">
        <f>Data[[#This Row],[2020 LC Total]]/(Data[[#This Row],[Spring 20 All Sections]]+Data[[#This Row],[Summer 20 All Sections]]+Data[[#This Row],[Fall 20 All Sections]])</f>
        <v>1.7809439002671415E-3</v>
      </c>
      <c r="E4" s="280">
        <f>Data[[#This Row],[Spring 20 No eCore No-Cost Sections]]+Data[[#This Row],[Summer 20 No eCore No-Cost Sections]]+Data[[#This Row],[Fall 20 No eCore No-Cost Sections]]</f>
        <v>66</v>
      </c>
      <c r="F4" s="281">
        <f>Data[[#This Row],[2020 NC Total]]/(Data[[#This Row],[Spring 20 All Sections]]+Data[[#This Row],[Summer 20 All Sections]]+Data[[#This Row],[Fall 20 All Sections]])</f>
        <v>5.8771148708815675E-2</v>
      </c>
      <c r="G4" s="280">
        <f>Data[[#This Row],[2020 LC Total]]+Data[[#This Row],[2020 NC Total]]</f>
        <v>68</v>
      </c>
      <c r="H4" s="281">
        <f>Data[[#This Row],[2020 NC+LC Total]]/(Data[[#This Row],[Spring 20 All Sections]]+Data[[#This Row],[Summer 20 All Sections]]+Data[[#This Row],[Fall 20 All Sections]])</f>
        <v>6.0552092609082814E-2</v>
      </c>
      <c r="I4" s="249">
        <v>603</v>
      </c>
      <c r="J4" s="250">
        <v>553</v>
      </c>
      <c r="K4" s="251">
        <v>223</v>
      </c>
      <c r="L4" s="82">
        <v>494</v>
      </c>
      <c r="M4" s="82">
        <v>442</v>
      </c>
      <c r="N4" s="82">
        <v>183</v>
      </c>
      <c r="O4" s="82">
        <v>498</v>
      </c>
      <c r="P4" s="82">
        <f>SUM(Data[[#This Row],[Fall 18 All Sections]:[Fall 20 All Sections]])</f>
        <v>2996</v>
      </c>
      <c r="Q4" s="249">
        <v>100</v>
      </c>
      <c r="R4" s="250">
        <v>84</v>
      </c>
      <c r="S4" s="250">
        <v>75</v>
      </c>
      <c r="T4" s="82">
        <v>143</v>
      </c>
      <c r="U4" s="82">
        <v>133</v>
      </c>
      <c r="V4" s="82">
        <v>59</v>
      </c>
      <c r="W4" s="82">
        <v>203</v>
      </c>
      <c r="X4" s="249">
        <v>503</v>
      </c>
      <c r="Y4" s="250">
        <v>469</v>
      </c>
      <c r="Z4" s="84">
        <v>148</v>
      </c>
      <c r="AA4" s="82">
        <v>351</v>
      </c>
      <c r="AB4" s="82">
        <v>309</v>
      </c>
      <c r="AC4" s="82">
        <v>124</v>
      </c>
      <c r="AD4" s="82">
        <v>295</v>
      </c>
      <c r="AE4" s="265">
        <v>0</v>
      </c>
      <c r="AF4" s="82">
        <v>1</v>
      </c>
      <c r="AG4" s="82">
        <v>1</v>
      </c>
      <c r="AH4" s="82">
        <v>0</v>
      </c>
      <c r="AI4" s="82">
        <v>1</v>
      </c>
      <c r="AJ4" s="82">
        <v>0</v>
      </c>
      <c r="AK4" s="82">
        <v>1</v>
      </c>
      <c r="AL4" s="249">
        <v>74</v>
      </c>
      <c r="AM4" s="82">
        <v>20</v>
      </c>
      <c r="AN4" s="82">
        <v>21</v>
      </c>
      <c r="AO4" s="82">
        <v>129</v>
      </c>
      <c r="AP4" s="82">
        <v>158</v>
      </c>
      <c r="AQ4" s="82">
        <v>70</v>
      </c>
      <c r="AR4" s="82">
        <v>228</v>
      </c>
      <c r="AS4" s="249">
        <v>74</v>
      </c>
      <c r="AT4" s="82">
        <v>21</v>
      </c>
      <c r="AU4" s="82">
        <f t="shared" si="0"/>
        <v>22</v>
      </c>
      <c r="AV4" s="82">
        <f t="shared" si="0"/>
        <v>129</v>
      </c>
      <c r="AW4" s="82">
        <f t="shared" si="0"/>
        <v>159</v>
      </c>
      <c r="AX4" s="82">
        <f t="shared" si="0"/>
        <v>70</v>
      </c>
      <c r="AY4" s="82">
        <f t="shared" si="0"/>
        <v>229</v>
      </c>
      <c r="AZ4" s="265">
        <v>0</v>
      </c>
      <c r="BA4" s="82">
        <v>1</v>
      </c>
      <c r="BB4" s="82">
        <v>1</v>
      </c>
      <c r="BC4" s="82">
        <v>0</v>
      </c>
      <c r="BD4" s="82">
        <v>1</v>
      </c>
      <c r="BE4" s="82">
        <v>0</v>
      </c>
      <c r="BF4" s="82">
        <v>1</v>
      </c>
      <c r="BG4" s="249">
        <v>15</v>
      </c>
      <c r="BH4" s="82">
        <v>20</v>
      </c>
      <c r="BI4" s="82">
        <v>10</v>
      </c>
      <c r="BJ4" s="82">
        <v>21</v>
      </c>
      <c r="BK4" s="82">
        <v>28</v>
      </c>
      <c r="BL4" s="82">
        <v>11</v>
      </c>
      <c r="BM4" s="82">
        <v>27</v>
      </c>
      <c r="BN4" s="249">
        <v>15</v>
      </c>
      <c r="BO4" s="82">
        <v>21</v>
      </c>
      <c r="BP4" s="85">
        <f t="shared" si="1"/>
        <v>11</v>
      </c>
      <c r="BQ4" s="85">
        <f t="shared" si="37"/>
        <v>21</v>
      </c>
      <c r="BR4" s="85">
        <f t="shared" si="38"/>
        <v>29</v>
      </c>
      <c r="BS4" s="85">
        <f t="shared" si="39"/>
        <v>11</v>
      </c>
      <c r="BT4" s="85">
        <f t="shared" si="39"/>
        <v>28</v>
      </c>
      <c r="BU4" s="252">
        <v>0</v>
      </c>
      <c r="BV4" s="252">
        <f t="shared" si="2"/>
        <v>1.8083182640144665E-3</v>
      </c>
      <c r="BW4" s="252">
        <f t="shared" si="3"/>
        <v>4.4843049327354259E-3</v>
      </c>
      <c r="BX4" s="252">
        <f t="shared" si="4"/>
        <v>0</v>
      </c>
      <c r="BY4" s="252">
        <f t="shared" si="5"/>
        <v>2.2624434389140274E-3</v>
      </c>
      <c r="BZ4" s="252">
        <f t="shared" si="6"/>
        <v>0</v>
      </c>
      <c r="CA4" s="252">
        <f t="shared" si="7"/>
        <v>2.008032128514056E-3</v>
      </c>
      <c r="CB4" s="252">
        <v>0.123</v>
      </c>
      <c r="CC4" s="252">
        <f t="shared" si="8"/>
        <v>3.6166365280289332E-2</v>
      </c>
      <c r="CD4" s="252">
        <f t="shared" si="9"/>
        <v>9.417040358744394E-2</v>
      </c>
      <c r="CE4" s="252">
        <f t="shared" si="10"/>
        <v>0.26113360323886642</v>
      </c>
      <c r="CF4" s="252">
        <f t="shared" si="11"/>
        <v>0.3574660633484163</v>
      </c>
      <c r="CG4" s="252">
        <f t="shared" si="12"/>
        <v>0.38251366120218577</v>
      </c>
      <c r="CH4" s="252">
        <f t="shared" si="13"/>
        <v>0.45783132530120479</v>
      </c>
      <c r="CI4" s="253">
        <v>0.123</v>
      </c>
      <c r="CJ4" s="253">
        <f t="shared" si="14"/>
        <v>3.7974683544303799E-2</v>
      </c>
      <c r="CK4" s="253">
        <f t="shared" si="15"/>
        <v>9.8654708520179366E-2</v>
      </c>
      <c r="CL4" s="253">
        <f t="shared" si="16"/>
        <v>0.26113360323886642</v>
      </c>
      <c r="CM4" s="253">
        <f t="shared" si="17"/>
        <v>0.35972850678733032</v>
      </c>
      <c r="CN4" s="253">
        <f t="shared" si="18"/>
        <v>0.38251366120218577</v>
      </c>
      <c r="CO4" s="253">
        <f t="shared" si="19"/>
        <v>0.45983935742971888</v>
      </c>
      <c r="CP4" s="253">
        <v>0</v>
      </c>
      <c r="CQ4" s="253">
        <f t="shared" si="20"/>
        <v>2.1321961620469083E-3</v>
      </c>
      <c r="CR4" s="253">
        <f t="shared" si="20"/>
        <v>6.7567567567567571E-3</v>
      </c>
      <c r="CS4" s="253">
        <f t="shared" si="20"/>
        <v>0</v>
      </c>
      <c r="CT4" s="253">
        <f t="shared" si="20"/>
        <v>3.2362459546925568E-3</v>
      </c>
      <c r="CU4" s="253">
        <f t="shared" si="20"/>
        <v>0</v>
      </c>
      <c r="CV4" s="253">
        <f t="shared" si="20"/>
        <v>3.3898305084745762E-3</v>
      </c>
      <c r="CW4" s="253">
        <v>0.03</v>
      </c>
      <c r="CX4" s="253">
        <f t="shared" si="21"/>
        <v>4.2643923240938165E-2</v>
      </c>
      <c r="CY4" s="253">
        <f t="shared" si="21"/>
        <v>6.7567567567567571E-2</v>
      </c>
      <c r="CZ4" s="253">
        <f t="shared" si="21"/>
        <v>5.9829059829059832E-2</v>
      </c>
      <c r="DA4" s="253">
        <f t="shared" si="21"/>
        <v>9.0614886731391592E-2</v>
      </c>
      <c r="DB4" s="253">
        <f t="shared" si="21"/>
        <v>8.8709677419354843E-2</v>
      </c>
      <c r="DC4" s="253">
        <f t="shared" si="21"/>
        <v>9.152542372881356E-2</v>
      </c>
      <c r="DD4" s="253">
        <v>0.03</v>
      </c>
      <c r="DE4" s="74">
        <f t="shared" si="22"/>
        <v>4.4776119402985072E-2</v>
      </c>
      <c r="DF4" s="74">
        <f t="shared" si="22"/>
        <v>7.4324324324324328E-2</v>
      </c>
      <c r="DG4" s="74">
        <f t="shared" si="22"/>
        <v>5.9829059829059832E-2</v>
      </c>
      <c r="DH4" s="74">
        <f t="shared" si="22"/>
        <v>9.3851132686084138E-2</v>
      </c>
      <c r="DI4" s="74">
        <f t="shared" si="22"/>
        <v>8.8709677419354843E-2</v>
      </c>
      <c r="DJ4" s="74">
        <f t="shared" si="22"/>
        <v>9.4915254237288138E-2</v>
      </c>
      <c r="DK4" s="266">
        <v>9620</v>
      </c>
      <c r="DL4" s="266">
        <v>8807</v>
      </c>
      <c r="DM4" s="267">
        <v>2441</v>
      </c>
      <c r="DN4" s="268">
        <v>6530</v>
      </c>
      <c r="DO4" s="268">
        <v>5704</v>
      </c>
      <c r="DP4" s="268">
        <v>2023</v>
      </c>
      <c r="DQ4" s="268">
        <v>6203</v>
      </c>
      <c r="DR4" s="268">
        <f>SUM(Data[[#This Row],[Fall 18 All Enroll]:[Fall 20 All Enroll]])</f>
        <v>41328</v>
      </c>
      <c r="DS4" s="266">
        <v>9416</v>
      </c>
      <c r="DT4" s="267">
        <v>8668</v>
      </c>
      <c r="DU4" s="267">
        <v>2272</v>
      </c>
      <c r="DV4" s="268">
        <v>6288</v>
      </c>
      <c r="DW4" s="268">
        <v>5442</v>
      </c>
      <c r="DX4" s="268">
        <v>1920</v>
      </c>
      <c r="DY4" s="268">
        <v>5880</v>
      </c>
      <c r="DZ4" s="268">
        <f>SUM(Data[[#This Row],[Fall 18 Non-eCore Enroll]:[Fall 20 Non-eCore Enroll]])</f>
        <v>39886</v>
      </c>
      <c r="EA4" s="269">
        <v>0</v>
      </c>
      <c r="EB4" s="268">
        <v>2</v>
      </c>
      <c r="EC4" s="268">
        <v>3</v>
      </c>
      <c r="ED4" s="268">
        <v>0</v>
      </c>
      <c r="EE4" s="268">
        <v>1</v>
      </c>
      <c r="EF4" s="268">
        <v>0</v>
      </c>
      <c r="EG4" s="268">
        <v>4</v>
      </c>
      <c r="EH4" s="268">
        <f>SUM(Data[[#This Row],[Fall 18 LC All Enroll]:[Fall 20 LC All Enroll]])</f>
        <v>10</v>
      </c>
      <c r="EI4" s="89">
        <f t="shared" si="23"/>
        <v>2.4196670538133953E-4</v>
      </c>
      <c r="EJ4" s="252">
        <v>0</v>
      </c>
      <c r="EK4" s="252">
        <f t="shared" si="24"/>
        <v>2.2709208584080845E-4</v>
      </c>
      <c r="EL4" s="252">
        <f t="shared" si="24"/>
        <v>1.2290045063498567E-3</v>
      </c>
      <c r="EM4" s="252">
        <f t="shared" si="24"/>
        <v>0</v>
      </c>
      <c r="EN4" s="259">
        <f t="shared" si="24"/>
        <v>1.7531556802244039E-4</v>
      </c>
      <c r="EO4" s="259">
        <f t="shared" si="24"/>
        <v>0</v>
      </c>
      <c r="EP4" s="259">
        <f t="shared" si="24"/>
        <v>6.4484926648395932E-4</v>
      </c>
      <c r="EQ4" s="269">
        <v>167</v>
      </c>
      <c r="ER4" s="268">
        <v>67</v>
      </c>
      <c r="ES4" s="268">
        <v>53</v>
      </c>
      <c r="ET4" s="268">
        <v>289</v>
      </c>
      <c r="EU4" s="268">
        <v>485</v>
      </c>
      <c r="EV4" s="268">
        <v>158</v>
      </c>
      <c r="EW4" s="268">
        <v>454</v>
      </c>
      <c r="EX4" s="268">
        <f>SUM(Data[[#This Row],[Fall 18 NC All Enroll]:[Fall 20 NC All Enroll]])</f>
        <v>1673</v>
      </c>
      <c r="EY4" s="89">
        <f t="shared" si="25"/>
        <v>4.0481029810298101E-2</v>
      </c>
      <c r="EZ4" s="252">
        <v>1.7000000000000001E-2</v>
      </c>
      <c r="FA4" s="252">
        <f t="shared" si="26"/>
        <v>7.6075848756670828E-3</v>
      </c>
      <c r="FB4" s="252">
        <f t="shared" si="26"/>
        <v>2.1712412945514133E-2</v>
      </c>
      <c r="FC4" s="252">
        <f t="shared" si="26"/>
        <v>4.42572741194487E-2</v>
      </c>
      <c r="FD4" s="259">
        <f t="shared" si="26"/>
        <v>8.5028050490883592E-2</v>
      </c>
      <c r="FE4" s="259">
        <f t="shared" si="26"/>
        <v>7.8101828966880865E-2</v>
      </c>
      <c r="FF4" s="259">
        <f t="shared" si="26"/>
        <v>7.3190391745929395E-2</v>
      </c>
      <c r="FG4" s="269">
        <v>167</v>
      </c>
      <c r="FH4" s="268">
        <v>69</v>
      </c>
      <c r="FI4" s="268">
        <f t="shared" si="27"/>
        <v>56</v>
      </c>
      <c r="FJ4" s="268">
        <f t="shared" si="40"/>
        <v>289</v>
      </c>
      <c r="FK4" s="256">
        <f t="shared" si="40"/>
        <v>486</v>
      </c>
      <c r="FL4" s="256">
        <f t="shared" si="40"/>
        <v>158</v>
      </c>
      <c r="FM4" s="256">
        <f t="shared" si="40"/>
        <v>458</v>
      </c>
      <c r="FN4" s="268">
        <f>SUM(Data[[#This Row],[Fall 18 LC+NC All Enroll]:[Fall 20 LC+NC All Enroll]])</f>
        <v>1683</v>
      </c>
      <c r="FO4" s="89">
        <f t="shared" si="28"/>
        <v>4.0722996515679441E-2</v>
      </c>
      <c r="FP4" s="252">
        <v>1.7000000000000001E-2</v>
      </c>
      <c r="FQ4" s="75">
        <f t="shared" si="29"/>
        <v>7.8346769615078912E-3</v>
      </c>
      <c r="FR4" s="75">
        <f t="shared" si="29"/>
        <v>2.2941417451863989E-2</v>
      </c>
      <c r="FS4" s="75">
        <f t="shared" si="29"/>
        <v>4.42572741194487E-2</v>
      </c>
      <c r="FT4" s="260">
        <f t="shared" si="29"/>
        <v>8.5203366058906035E-2</v>
      </c>
      <c r="FU4" s="260">
        <f t="shared" si="29"/>
        <v>7.8101828966880865E-2</v>
      </c>
      <c r="FV4" s="260">
        <f t="shared" si="29"/>
        <v>7.3835241012413344E-2</v>
      </c>
      <c r="FW4" s="269">
        <v>0</v>
      </c>
      <c r="FX4" s="268">
        <v>2</v>
      </c>
      <c r="FY4" s="268">
        <v>3</v>
      </c>
      <c r="FZ4" s="268">
        <v>0</v>
      </c>
      <c r="GA4" s="268">
        <v>1</v>
      </c>
      <c r="GB4" s="268">
        <v>0</v>
      </c>
      <c r="GC4" s="268">
        <v>4</v>
      </c>
      <c r="GD4" s="268">
        <f>SUM(Data[[#This Row],[Fall 18 LC Non-eCore Enroll]:[Fall 20 LC Non-eCore Enroll]])</f>
        <v>10</v>
      </c>
      <c r="GE4" s="89">
        <f t="shared" si="30"/>
        <v>2.5071453642882212E-4</v>
      </c>
      <c r="GF4" s="252">
        <v>0</v>
      </c>
      <c r="GG4" s="252">
        <f t="shared" si="31"/>
        <v>2.3073373327180433E-4</v>
      </c>
      <c r="GH4" s="252">
        <f t="shared" si="31"/>
        <v>1.3204225352112676E-3</v>
      </c>
      <c r="GI4" s="252">
        <f t="shared" si="31"/>
        <v>0</v>
      </c>
      <c r="GJ4" s="259">
        <f t="shared" si="31"/>
        <v>1.8375597206909226E-4</v>
      </c>
      <c r="GK4" s="259">
        <f t="shared" si="31"/>
        <v>0</v>
      </c>
      <c r="GL4" s="259">
        <f t="shared" si="31"/>
        <v>6.8027210884353737E-4</v>
      </c>
      <c r="GM4" s="269">
        <v>78</v>
      </c>
      <c r="GN4" s="268">
        <v>67</v>
      </c>
      <c r="GO4" s="268">
        <v>30</v>
      </c>
      <c r="GP4" s="268">
        <v>120</v>
      </c>
      <c r="GQ4" s="268">
        <v>228</v>
      </c>
      <c r="GR4" s="268">
        <v>55</v>
      </c>
      <c r="GS4" s="268">
        <v>134</v>
      </c>
      <c r="GT4" s="268">
        <f>SUM(Data[[#This Row],[Fall 18 NC Non-eCore Enroll]:[Fall 20 NC Non-eCore Enroll]])</f>
        <v>712</v>
      </c>
      <c r="GU4" s="89">
        <f t="shared" si="32"/>
        <v>1.7850874993732137E-2</v>
      </c>
      <c r="GV4" s="252">
        <v>8.0000000000000002E-3</v>
      </c>
      <c r="GW4" s="252">
        <f t="shared" si="33"/>
        <v>7.7295800646054449E-3</v>
      </c>
      <c r="GX4" s="252">
        <f t="shared" si="33"/>
        <v>1.3204225352112676E-2</v>
      </c>
      <c r="GY4" s="252">
        <f t="shared" si="33"/>
        <v>1.9083969465648856E-2</v>
      </c>
      <c r="GZ4" s="259">
        <f t="shared" si="33"/>
        <v>4.1896361631753032E-2</v>
      </c>
      <c r="HA4" s="259">
        <f t="shared" si="33"/>
        <v>2.8645833333333332E-2</v>
      </c>
      <c r="HB4" s="259">
        <f t="shared" si="33"/>
        <v>2.2789115646258504E-2</v>
      </c>
      <c r="HC4" s="269">
        <v>78</v>
      </c>
      <c r="HD4" s="268">
        <v>69</v>
      </c>
      <c r="HE4" s="269">
        <f t="shared" si="41"/>
        <v>33</v>
      </c>
      <c r="HF4" s="269">
        <f t="shared" si="41"/>
        <v>120</v>
      </c>
      <c r="HG4" s="257">
        <f t="shared" si="41"/>
        <v>229</v>
      </c>
      <c r="HH4" s="257">
        <f t="shared" si="41"/>
        <v>55</v>
      </c>
      <c r="HI4" s="257">
        <f t="shared" si="41"/>
        <v>138</v>
      </c>
      <c r="HJ4" s="269">
        <f>SUM(Data[[#This Row],[Fall 18 LC+NC Non-eCore Enroll]:[Fall 20 LC+NC Non-eCore Enroll]])</f>
        <v>722</v>
      </c>
      <c r="HK4" s="91">
        <f t="shared" si="34"/>
        <v>1.8101589530160958E-2</v>
      </c>
      <c r="HL4" s="268">
        <v>9338</v>
      </c>
      <c r="HM4" s="268">
        <v>8599</v>
      </c>
      <c r="HN4" s="268">
        <v>2239</v>
      </c>
      <c r="HO4" s="82">
        <v>6168</v>
      </c>
      <c r="HP4" s="82">
        <v>5213</v>
      </c>
      <c r="HQ4" s="82">
        <v>1865</v>
      </c>
      <c r="HR4" s="82">
        <v>5742</v>
      </c>
      <c r="HS4" s="256">
        <f>SUM(Data[[#This Row],[Fall 18 Non-eCore None Enroll]:[Fall 20 Non-eCore None Enroll]])</f>
        <v>39164</v>
      </c>
      <c r="HT4" s="89">
        <f t="shared" si="35"/>
        <v>0.98189841046983906</v>
      </c>
      <c r="HU4" s="252">
        <v>8.0000000000000002E-3</v>
      </c>
      <c r="HV4" s="252">
        <f t="shared" si="36"/>
        <v>7.9603137978772505E-3</v>
      </c>
      <c r="HW4" s="252">
        <f t="shared" si="36"/>
        <v>1.4524647887323943E-2</v>
      </c>
      <c r="HX4" s="252">
        <f t="shared" si="36"/>
        <v>1.9083969465648856E-2</v>
      </c>
      <c r="HY4" s="259">
        <f t="shared" si="36"/>
        <v>4.2080117603822124E-2</v>
      </c>
      <c r="HZ4" s="259">
        <f t="shared" si="36"/>
        <v>2.8645833333333332E-2</v>
      </c>
      <c r="IA4" s="259">
        <f t="shared" si="36"/>
        <v>2.3469387755102041E-2</v>
      </c>
    </row>
    <row r="5" spans="1:235" x14ac:dyDescent="0.25">
      <c r="A5" s="79" t="s">
        <v>282</v>
      </c>
      <c r="B5" s="79" t="s">
        <v>2292</v>
      </c>
      <c r="C5" s="280">
        <f>Data[[#This Row],[Spring 20 No eCore Low-Cost Sections]]+Data[[#This Row],[Summer 20 No eCore Low-Cost Sections]]+Data[[#This Row],[Fall 20 No eCore Low-Cost Sections]]</f>
        <v>380</v>
      </c>
      <c r="D5" s="281">
        <f>Data[[#This Row],[2020 LC Total]]/(Data[[#This Row],[Spring 20 All Sections]]+Data[[#This Row],[Summer 20 All Sections]]+Data[[#This Row],[Fall 20 All Sections]])</f>
        <v>7.4847350797715193E-2</v>
      </c>
      <c r="E5" s="280">
        <f>Data[[#This Row],[Spring 20 No eCore No-Cost Sections]]+Data[[#This Row],[Summer 20 No eCore No-Cost Sections]]+Data[[#This Row],[Fall 20 No eCore No-Cost Sections]]</f>
        <v>476</v>
      </c>
      <c r="F5" s="281">
        <f>Data[[#This Row],[2020 NC Total]]/(Data[[#This Row],[Spring 20 All Sections]]+Data[[#This Row],[Summer 20 All Sections]]+Data[[#This Row],[Fall 20 All Sections]])</f>
        <v>9.3756155209769543E-2</v>
      </c>
      <c r="G5" s="280">
        <f>Data[[#This Row],[2020 LC Total]]+Data[[#This Row],[2020 NC Total]]</f>
        <v>856</v>
      </c>
      <c r="H5" s="281">
        <f>Data[[#This Row],[2020 NC+LC Total]]/(Data[[#This Row],[Spring 20 All Sections]]+Data[[#This Row],[Summer 20 All Sections]]+Data[[#This Row],[Fall 20 All Sections]])</f>
        <v>0.16860350600748472</v>
      </c>
      <c r="I5" s="249">
        <v>2449</v>
      </c>
      <c r="J5" s="250">
        <v>2302</v>
      </c>
      <c r="K5" s="251">
        <v>652</v>
      </c>
      <c r="L5" s="82">
        <v>2357</v>
      </c>
      <c r="M5" s="82">
        <v>2138</v>
      </c>
      <c r="N5" s="82">
        <v>574</v>
      </c>
      <c r="O5" s="82">
        <v>2365</v>
      </c>
      <c r="P5" s="82">
        <f>SUM(Data[[#This Row],[Fall 18 All Sections]:[Fall 20 All Sections]])</f>
        <v>12837</v>
      </c>
      <c r="Q5" s="265">
        <v>0</v>
      </c>
      <c r="R5" s="265">
        <v>0</v>
      </c>
      <c r="S5" s="270">
        <v>0</v>
      </c>
      <c r="T5" s="82">
        <v>0</v>
      </c>
      <c r="U5" s="82">
        <v>0</v>
      </c>
      <c r="V5" s="82">
        <v>0</v>
      </c>
      <c r="W5" s="82">
        <v>0</v>
      </c>
      <c r="X5" s="249">
        <v>2449</v>
      </c>
      <c r="Y5" s="250">
        <v>2302</v>
      </c>
      <c r="Z5" s="84">
        <v>652</v>
      </c>
      <c r="AA5" s="82">
        <v>2357</v>
      </c>
      <c r="AB5" s="82">
        <v>2138</v>
      </c>
      <c r="AC5" s="82">
        <v>574</v>
      </c>
      <c r="AD5" s="82">
        <v>2365</v>
      </c>
      <c r="AE5" s="249">
        <v>79</v>
      </c>
      <c r="AF5" s="82">
        <v>71</v>
      </c>
      <c r="AG5" s="82">
        <v>27</v>
      </c>
      <c r="AH5" s="82">
        <v>27</v>
      </c>
      <c r="AI5" s="82">
        <v>199</v>
      </c>
      <c r="AJ5" s="82">
        <v>50</v>
      </c>
      <c r="AK5" s="82">
        <v>131</v>
      </c>
      <c r="AL5" s="249">
        <v>76</v>
      </c>
      <c r="AM5" s="82">
        <v>77</v>
      </c>
      <c r="AN5" s="82">
        <v>37</v>
      </c>
      <c r="AO5" s="82">
        <v>98</v>
      </c>
      <c r="AP5" s="82">
        <v>193</v>
      </c>
      <c r="AQ5" s="82">
        <v>86</v>
      </c>
      <c r="AR5" s="82">
        <v>197</v>
      </c>
      <c r="AS5" s="249">
        <v>155</v>
      </c>
      <c r="AT5" s="82">
        <v>148</v>
      </c>
      <c r="AU5" s="82">
        <f t="shared" si="0"/>
        <v>64</v>
      </c>
      <c r="AV5" s="82">
        <f t="shared" si="0"/>
        <v>125</v>
      </c>
      <c r="AW5" s="82">
        <f t="shared" si="0"/>
        <v>392</v>
      </c>
      <c r="AX5" s="82">
        <f t="shared" si="0"/>
        <v>136</v>
      </c>
      <c r="AY5" s="82">
        <f t="shared" si="0"/>
        <v>328</v>
      </c>
      <c r="AZ5" s="249">
        <v>79</v>
      </c>
      <c r="BA5" s="82">
        <v>71</v>
      </c>
      <c r="BB5" s="82">
        <v>27</v>
      </c>
      <c r="BC5" s="82">
        <v>27</v>
      </c>
      <c r="BD5" s="82">
        <v>199</v>
      </c>
      <c r="BE5" s="82">
        <v>50</v>
      </c>
      <c r="BF5" s="82">
        <v>131</v>
      </c>
      <c r="BG5" s="249">
        <v>76</v>
      </c>
      <c r="BH5" s="82">
        <v>77</v>
      </c>
      <c r="BI5" s="82">
        <v>37</v>
      </c>
      <c r="BJ5" s="82">
        <v>98</v>
      </c>
      <c r="BK5" s="82">
        <v>193</v>
      </c>
      <c r="BL5" s="82">
        <v>86</v>
      </c>
      <c r="BM5" s="82">
        <v>197</v>
      </c>
      <c r="BN5" s="249">
        <v>155</v>
      </c>
      <c r="BO5" s="82">
        <v>148</v>
      </c>
      <c r="BP5" s="85">
        <f t="shared" si="1"/>
        <v>64</v>
      </c>
      <c r="BQ5" s="85">
        <f t="shared" si="37"/>
        <v>125</v>
      </c>
      <c r="BR5" s="85">
        <f t="shared" si="38"/>
        <v>392</v>
      </c>
      <c r="BS5" s="85">
        <f t="shared" si="39"/>
        <v>136</v>
      </c>
      <c r="BT5" s="85">
        <f t="shared" si="39"/>
        <v>328</v>
      </c>
      <c r="BU5" s="252">
        <v>3.2000000000000001E-2</v>
      </c>
      <c r="BV5" s="252">
        <f t="shared" si="2"/>
        <v>3.0842745438748913E-2</v>
      </c>
      <c r="BW5" s="252">
        <f t="shared" si="3"/>
        <v>4.1411042944785273E-2</v>
      </c>
      <c r="BX5" s="252">
        <f t="shared" si="4"/>
        <v>1.1455239711497667E-2</v>
      </c>
      <c r="BY5" s="252">
        <f t="shared" si="5"/>
        <v>9.3077642656688497E-2</v>
      </c>
      <c r="BZ5" s="252">
        <f t="shared" si="6"/>
        <v>8.7108013937282236E-2</v>
      </c>
      <c r="CA5" s="252">
        <f t="shared" si="7"/>
        <v>5.5391120507399576E-2</v>
      </c>
      <c r="CB5" s="252">
        <v>3.1E-2</v>
      </c>
      <c r="CC5" s="252">
        <f t="shared" si="8"/>
        <v>3.3449174630755862E-2</v>
      </c>
      <c r="CD5" s="252">
        <f t="shared" si="9"/>
        <v>5.674846625766871E-2</v>
      </c>
      <c r="CE5" s="252">
        <f t="shared" si="10"/>
        <v>4.1578277471361898E-2</v>
      </c>
      <c r="CF5" s="252">
        <f t="shared" si="11"/>
        <v>9.0271281571562209E-2</v>
      </c>
      <c r="CG5" s="252">
        <f t="shared" si="12"/>
        <v>0.14982578397212543</v>
      </c>
      <c r="CH5" s="252">
        <f t="shared" si="13"/>
        <v>8.3298097251585629E-2</v>
      </c>
      <c r="CI5" s="253">
        <v>6.3E-2</v>
      </c>
      <c r="CJ5" s="253">
        <f t="shared" si="14"/>
        <v>6.4291920069504779E-2</v>
      </c>
      <c r="CK5" s="253">
        <f t="shared" si="15"/>
        <v>9.815950920245399E-2</v>
      </c>
      <c r="CL5" s="253">
        <f t="shared" si="16"/>
        <v>5.303351718285957E-2</v>
      </c>
      <c r="CM5" s="253">
        <f t="shared" si="17"/>
        <v>0.18334892422825069</v>
      </c>
      <c r="CN5" s="253">
        <f t="shared" si="18"/>
        <v>0.23693379790940766</v>
      </c>
      <c r="CO5" s="253">
        <f t="shared" si="19"/>
        <v>0.13868921775898521</v>
      </c>
      <c r="CP5" s="253">
        <v>3.2000000000000001E-2</v>
      </c>
      <c r="CQ5" s="253">
        <f t="shared" si="20"/>
        <v>3.0842745438748913E-2</v>
      </c>
      <c r="CR5" s="253">
        <f t="shared" si="20"/>
        <v>4.1411042944785273E-2</v>
      </c>
      <c r="CS5" s="253">
        <f t="shared" si="20"/>
        <v>1.1455239711497667E-2</v>
      </c>
      <c r="CT5" s="253">
        <f t="shared" si="20"/>
        <v>9.3077642656688497E-2</v>
      </c>
      <c r="CU5" s="253">
        <f t="shared" si="20"/>
        <v>8.7108013937282236E-2</v>
      </c>
      <c r="CV5" s="253">
        <f t="shared" si="20"/>
        <v>5.5391120507399576E-2</v>
      </c>
      <c r="CW5" s="253">
        <v>3.1E-2</v>
      </c>
      <c r="CX5" s="253">
        <f t="shared" si="21"/>
        <v>3.3449174630755862E-2</v>
      </c>
      <c r="CY5" s="253">
        <f t="shared" si="21"/>
        <v>5.674846625766871E-2</v>
      </c>
      <c r="CZ5" s="253">
        <f t="shared" si="21"/>
        <v>4.1578277471361898E-2</v>
      </c>
      <c r="DA5" s="253">
        <f t="shared" si="21"/>
        <v>9.0271281571562209E-2</v>
      </c>
      <c r="DB5" s="253">
        <f t="shared" si="21"/>
        <v>0.14982578397212543</v>
      </c>
      <c r="DC5" s="253">
        <f t="shared" si="21"/>
        <v>8.3298097251585629E-2</v>
      </c>
      <c r="DD5" s="253">
        <v>6.3E-2</v>
      </c>
      <c r="DE5" s="74">
        <f t="shared" si="22"/>
        <v>6.4291920069504779E-2</v>
      </c>
      <c r="DF5" s="74">
        <f t="shared" si="22"/>
        <v>9.815950920245399E-2</v>
      </c>
      <c r="DG5" s="74">
        <f t="shared" si="22"/>
        <v>5.303351718285957E-2</v>
      </c>
      <c r="DH5" s="74">
        <f t="shared" si="22"/>
        <v>0.18334892422825069</v>
      </c>
      <c r="DI5" s="74">
        <f t="shared" si="22"/>
        <v>0.23693379790940766</v>
      </c>
      <c r="DJ5" s="74">
        <f t="shared" si="22"/>
        <v>0.13868921775898521</v>
      </c>
      <c r="DK5" s="266">
        <v>44894</v>
      </c>
      <c r="DL5" s="266">
        <v>41121</v>
      </c>
      <c r="DM5" s="267">
        <v>9445</v>
      </c>
      <c r="DN5" s="268">
        <v>43463</v>
      </c>
      <c r="DO5" s="268">
        <v>40934</v>
      </c>
      <c r="DP5" s="268">
        <v>10298</v>
      </c>
      <c r="DQ5" s="268">
        <v>44141</v>
      </c>
      <c r="DR5" s="268">
        <f>SUM(Data[[#This Row],[Fall 18 All Enroll]:[Fall 20 All Enroll]])</f>
        <v>234296</v>
      </c>
      <c r="DS5" s="266">
        <v>44894</v>
      </c>
      <c r="DT5" s="267">
        <v>41121</v>
      </c>
      <c r="DU5" s="267">
        <v>9445</v>
      </c>
      <c r="DV5" s="268">
        <v>43463</v>
      </c>
      <c r="DW5" s="268">
        <v>40934</v>
      </c>
      <c r="DX5" s="268">
        <v>10298</v>
      </c>
      <c r="DY5" s="268">
        <v>44141</v>
      </c>
      <c r="DZ5" s="268">
        <f>SUM(Data[[#This Row],[Fall 18 Non-eCore Enroll]:[Fall 20 Non-eCore Enroll]])</f>
        <v>234296</v>
      </c>
      <c r="EA5" s="269">
        <v>2213</v>
      </c>
      <c r="EB5" s="268">
        <v>1891</v>
      </c>
      <c r="EC5" s="268">
        <v>103</v>
      </c>
      <c r="ED5" s="268">
        <v>785</v>
      </c>
      <c r="EE5" s="268">
        <v>3780</v>
      </c>
      <c r="EF5" s="268">
        <v>991</v>
      </c>
      <c r="EG5" s="268">
        <v>2502</v>
      </c>
      <c r="EH5" s="268">
        <f>SUM(Data[[#This Row],[Fall 18 LC All Enroll]:[Fall 20 LC All Enroll]])</f>
        <v>12265</v>
      </c>
      <c r="EI5" s="89">
        <f t="shared" si="23"/>
        <v>5.2348311537542255E-2</v>
      </c>
      <c r="EJ5" s="252">
        <v>4.9000000000000002E-2</v>
      </c>
      <c r="EK5" s="252">
        <f t="shared" si="24"/>
        <v>4.5986235743294183E-2</v>
      </c>
      <c r="EL5" s="252">
        <f t="shared" si="24"/>
        <v>1.0905240868184224E-2</v>
      </c>
      <c r="EM5" s="252">
        <f t="shared" si="24"/>
        <v>1.8061339530175091E-2</v>
      </c>
      <c r="EN5" s="259">
        <f t="shared" si="24"/>
        <v>9.2343772902721458E-2</v>
      </c>
      <c r="EO5" s="259">
        <f t="shared" si="24"/>
        <v>9.6232278112254807E-2</v>
      </c>
      <c r="EP5" s="259">
        <f t="shared" si="24"/>
        <v>5.6681996329942683E-2</v>
      </c>
      <c r="EQ5" s="269">
        <v>1727</v>
      </c>
      <c r="ER5" s="268">
        <v>1707</v>
      </c>
      <c r="ES5" s="268">
        <v>485</v>
      </c>
      <c r="ET5" s="268">
        <v>2060</v>
      </c>
      <c r="EU5" s="268">
        <v>3511</v>
      </c>
      <c r="EV5" s="268">
        <v>1077</v>
      </c>
      <c r="EW5" s="268">
        <v>3642</v>
      </c>
      <c r="EX5" s="268">
        <f>SUM(Data[[#This Row],[Fall 18 NC All Enroll]:[Fall 20 NC All Enroll]])</f>
        <v>14209</v>
      </c>
      <c r="EY5" s="89">
        <f t="shared" si="25"/>
        <v>6.0645508245979446E-2</v>
      </c>
      <c r="EZ5" s="252">
        <v>3.7999999999999999E-2</v>
      </c>
      <c r="FA5" s="252">
        <f t="shared" si="26"/>
        <v>4.1511636390165606E-2</v>
      </c>
      <c r="FB5" s="252">
        <f t="shared" si="26"/>
        <v>5.1349920592906301E-2</v>
      </c>
      <c r="FC5" s="252">
        <f t="shared" si="26"/>
        <v>4.7396636219312976E-2</v>
      </c>
      <c r="FD5" s="259">
        <f t="shared" si="26"/>
        <v>8.5772218693506624E-2</v>
      </c>
      <c r="FE5" s="259">
        <f t="shared" si="26"/>
        <v>0.10458341425519518</v>
      </c>
      <c r="FF5" s="259">
        <f t="shared" si="26"/>
        <v>8.2508325592986112E-2</v>
      </c>
      <c r="FG5" s="269">
        <v>3940</v>
      </c>
      <c r="FH5" s="268">
        <v>3598</v>
      </c>
      <c r="FI5" s="268">
        <f t="shared" si="27"/>
        <v>588</v>
      </c>
      <c r="FJ5" s="268">
        <f t="shared" si="40"/>
        <v>2845</v>
      </c>
      <c r="FK5" s="256">
        <f t="shared" si="40"/>
        <v>7291</v>
      </c>
      <c r="FL5" s="256">
        <f t="shared" si="40"/>
        <v>2068</v>
      </c>
      <c r="FM5" s="256">
        <f t="shared" si="40"/>
        <v>6144</v>
      </c>
      <c r="FN5" s="268">
        <f>SUM(Data[[#This Row],[Fall 18 LC+NC All Enroll]:[Fall 20 LC+NC All Enroll]])</f>
        <v>26474</v>
      </c>
      <c r="FO5" s="89">
        <f t="shared" si="28"/>
        <v>0.1129938197835217</v>
      </c>
      <c r="FP5" s="252">
        <v>8.7999999999999995E-2</v>
      </c>
      <c r="FQ5" s="75">
        <f t="shared" si="29"/>
        <v>8.7497872133459789E-2</v>
      </c>
      <c r="FR5" s="75">
        <f t="shared" si="29"/>
        <v>6.2255161461090523E-2</v>
      </c>
      <c r="FS5" s="75">
        <f t="shared" si="29"/>
        <v>6.545797574948807E-2</v>
      </c>
      <c r="FT5" s="260">
        <f t="shared" si="29"/>
        <v>0.17811599159622807</v>
      </c>
      <c r="FU5" s="260">
        <f t="shared" si="29"/>
        <v>0.20081569236744998</v>
      </c>
      <c r="FV5" s="260">
        <f t="shared" si="29"/>
        <v>0.13919032192292879</v>
      </c>
      <c r="FW5" s="269">
        <v>2213</v>
      </c>
      <c r="FX5" s="268">
        <v>1891</v>
      </c>
      <c r="FY5" s="268">
        <v>103</v>
      </c>
      <c r="FZ5" s="268">
        <v>785</v>
      </c>
      <c r="GA5" s="268">
        <v>3780</v>
      </c>
      <c r="GB5" s="268">
        <v>991</v>
      </c>
      <c r="GC5" s="268">
        <v>2502</v>
      </c>
      <c r="GD5" s="268">
        <f>SUM(Data[[#This Row],[Fall 18 LC Non-eCore Enroll]:[Fall 20 LC Non-eCore Enroll]])</f>
        <v>12265</v>
      </c>
      <c r="GE5" s="89">
        <f t="shared" si="30"/>
        <v>5.2348311537542255E-2</v>
      </c>
      <c r="GF5" s="252">
        <v>4.9000000000000002E-2</v>
      </c>
      <c r="GG5" s="252">
        <f t="shared" si="31"/>
        <v>4.5986235743294183E-2</v>
      </c>
      <c r="GH5" s="252">
        <f t="shared" si="31"/>
        <v>1.0905240868184224E-2</v>
      </c>
      <c r="GI5" s="252">
        <f t="shared" si="31"/>
        <v>1.8061339530175091E-2</v>
      </c>
      <c r="GJ5" s="259">
        <f t="shared" si="31"/>
        <v>9.2343772902721458E-2</v>
      </c>
      <c r="GK5" s="259">
        <f t="shared" si="31"/>
        <v>9.6232278112254807E-2</v>
      </c>
      <c r="GL5" s="259">
        <f t="shared" si="31"/>
        <v>5.6681996329942683E-2</v>
      </c>
      <c r="GM5" s="269">
        <v>1727</v>
      </c>
      <c r="GN5" s="268">
        <v>1707</v>
      </c>
      <c r="GO5" s="268">
        <v>485</v>
      </c>
      <c r="GP5" s="268">
        <v>2060</v>
      </c>
      <c r="GQ5" s="268">
        <v>3511</v>
      </c>
      <c r="GR5" s="268">
        <v>1077</v>
      </c>
      <c r="GS5" s="268">
        <v>3642</v>
      </c>
      <c r="GT5" s="268">
        <f>SUM(Data[[#This Row],[Fall 18 NC Non-eCore Enroll]:[Fall 20 NC Non-eCore Enroll]])</f>
        <v>14209</v>
      </c>
      <c r="GU5" s="89">
        <f t="shared" si="32"/>
        <v>6.0645508245979446E-2</v>
      </c>
      <c r="GV5" s="252">
        <v>3.7999999999999999E-2</v>
      </c>
      <c r="GW5" s="252">
        <f t="shared" si="33"/>
        <v>4.1511636390165606E-2</v>
      </c>
      <c r="GX5" s="252">
        <f t="shared" si="33"/>
        <v>5.1349920592906301E-2</v>
      </c>
      <c r="GY5" s="252">
        <f t="shared" si="33"/>
        <v>4.7396636219312976E-2</v>
      </c>
      <c r="GZ5" s="259">
        <f t="shared" si="33"/>
        <v>8.5772218693506624E-2</v>
      </c>
      <c r="HA5" s="259">
        <f t="shared" si="33"/>
        <v>0.10458341425519518</v>
      </c>
      <c r="HB5" s="259">
        <f t="shared" si="33"/>
        <v>8.2508325592986112E-2</v>
      </c>
      <c r="HC5" s="269">
        <v>3940</v>
      </c>
      <c r="HD5" s="268">
        <v>3598</v>
      </c>
      <c r="HE5" s="269">
        <f t="shared" si="41"/>
        <v>588</v>
      </c>
      <c r="HF5" s="269">
        <f t="shared" si="41"/>
        <v>2845</v>
      </c>
      <c r="HG5" s="257">
        <f t="shared" si="41"/>
        <v>7291</v>
      </c>
      <c r="HH5" s="257">
        <f t="shared" si="41"/>
        <v>2068</v>
      </c>
      <c r="HI5" s="257">
        <f t="shared" si="41"/>
        <v>6144</v>
      </c>
      <c r="HJ5" s="269">
        <f>SUM(Data[[#This Row],[Fall 18 LC+NC Non-eCore Enroll]:[Fall 20 LC+NC Non-eCore Enroll]])</f>
        <v>26474</v>
      </c>
      <c r="HK5" s="91">
        <f t="shared" si="34"/>
        <v>0.1129938197835217</v>
      </c>
      <c r="HL5" s="268">
        <v>40954</v>
      </c>
      <c r="HM5" s="268">
        <v>37523</v>
      </c>
      <c r="HN5" s="268">
        <v>8857</v>
      </c>
      <c r="HO5" s="82">
        <v>40618</v>
      </c>
      <c r="HP5" s="82">
        <v>33643</v>
      </c>
      <c r="HQ5" s="82">
        <v>8230</v>
      </c>
      <c r="HR5" s="82">
        <v>37997</v>
      </c>
      <c r="HS5" s="256">
        <f>SUM(Data[[#This Row],[Fall 18 Non-eCore None Enroll]:[Fall 20 Non-eCore None Enroll]])</f>
        <v>207822</v>
      </c>
      <c r="HT5" s="89">
        <f t="shared" si="35"/>
        <v>0.88700618021647826</v>
      </c>
      <c r="HU5" s="252">
        <v>8.7999999999999995E-2</v>
      </c>
      <c r="HV5" s="252">
        <f t="shared" si="36"/>
        <v>8.7497872133459789E-2</v>
      </c>
      <c r="HW5" s="252">
        <f t="shared" si="36"/>
        <v>6.2255161461090523E-2</v>
      </c>
      <c r="HX5" s="252">
        <f t="shared" si="36"/>
        <v>6.545797574948807E-2</v>
      </c>
      <c r="HY5" s="259">
        <f t="shared" si="36"/>
        <v>0.17811599159622807</v>
      </c>
      <c r="HZ5" s="259">
        <f t="shared" si="36"/>
        <v>0.20081569236744998</v>
      </c>
      <c r="IA5" s="259">
        <f t="shared" si="36"/>
        <v>0.13919032192292879</v>
      </c>
    </row>
    <row r="6" spans="1:235" x14ac:dyDescent="0.25">
      <c r="A6" s="79" t="s">
        <v>388</v>
      </c>
      <c r="B6" s="79" t="s">
        <v>2291</v>
      </c>
      <c r="C6" s="280">
        <f>Data[[#This Row],[Spring 20 No eCore Low-Cost Sections]]+Data[[#This Row],[Summer 20 No eCore Low-Cost Sections]]+Data[[#This Row],[Fall 20 No eCore Low-Cost Sections]]</f>
        <v>133</v>
      </c>
      <c r="D6" s="281">
        <f>Data[[#This Row],[2020 LC Total]]/(Data[[#This Row],[Spring 20 All Sections]]+Data[[#This Row],[Summer 20 All Sections]]+Data[[#This Row],[Fall 20 All Sections]])</f>
        <v>3.6141304347826086E-2</v>
      </c>
      <c r="E6" s="280">
        <f>Data[[#This Row],[Spring 20 No eCore No-Cost Sections]]+Data[[#This Row],[Summer 20 No eCore No-Cost Sections]]+Data[[#This Row],[Fall 20 No eCore No-Cost Sections]]</f>
        <v>344</v>
      </c>
      <c r="F6" s="281">
        <f>Data[[#This Row],[2020 NC Total]]/(Data[[#This Row],[Spring 20 All Sections]]+Data[[#This Row],[Summer 20 All Sections]]+Data[[#This Row],[Fall 20 All Sections]])</f>
        <v>9.3478260869565219E-2</v>
      </c>
      <c r="G6" s="280">
        <f>Data[[#This Row],[2020 LC Total]]+Data[[#This Row],[2020 NC Total]]</f>
        <v>477</v>
      </c>
      <c r="H6" s="281">
        <f>Data[[#This Row],[2020 NC+LC Total]]/(Data[[#This Row],[Spring 20 All Sections]]+Data[[#This Row],[Summer 20 All Sections]]+Data[[#This Row],[Fall 20 All Sections]])</f>
        <v>0.12961956521739129</v>
      </c>
      <c r="I6" s="249">
        <v>1535</v>
      </c>
      <c r="J6" s="250">
        <v>1487</v>
      </c>
      <c r="K6" s="251">
        <v>544</v>
      </c>
      <c r="L6" s="82">
        <v>1494</v>
      </c>
      <c r="M6" s="82">
        <v>1427</v>
      </c>
      <c r="N6" s="82">
        <v>453</v>
      </c>
      <c r="O6" s="82">
        <v>1800</v>
      </c>
      <c r="P6" s="82">
        <f>SUM(Data[[#This Row],[Fall 18 All Sections]:[Fall 20 All Sections]])</f>
        <v>8740</v>
      </c>
      <c r="Q6" s="249">
        <v>222</v>
      </c>
      <c r="R6" s="250">
        <v>170</v>
      </c>
      <c r="S6" s="250">
        <v>69</v>
      </c>
      <c r="T6" s="82">
        <v>206</v>
      </c>
      <c r="U6" s="82">
        <v>180</v>
      </c>
      <c r="V6" s="82">
        <v>32</v>
      </c>
      <c r="W6" s="82">
        <v>198</v>
      </c>
      <c r="X6" s="249">
        <v>1313</v>
      </c>
      <c r="Y6" s="250">
        <v>1317</v>
      </c>
      <c r="Z6" s="84">
        <v>475</v>
      </c>
      <c r="AA6" s="82">
        <v>1288</v>
      </c>
      <c r="AB6" s="82">
        <v>1247</v>
      </c>
      <c r="AC6" s="82">
        <v>421</v>
      </c>
      <c r="AD6" s="82">
        <v>1602</v>
      </c>
      <c r="AE6" s="249">
        <v>108</v>
      </c>
      <c r="AF6" s="82">
        <v>55</v>
      </c>
      <c r="AG6" s="82">
        <v>15</v>
      </c>
      <c r="AH6" s="82">
        <v>43</v>
      </c>
      <c r="AI6" s="82">
        <v>41</v>
      </c>
      <c r="AJ6" s="82">
        <v>8</v>
      </c>
      <c r="AK6" s="82">
        <v>84</v>
      </c>
      <c r="AL6" s="249">
        <v>166</v>
      </c>
      <c r="AM6" s="82">
        <v>353</v>
      </c>
      <c r="AN6" s="82">
        <v>111</v>
      </c>
      <c r="AO6" s="82">
        <v>323</v>
      </c>
      <c r="AP6" s="82">
        <v>290</v>
      </c>
      <c r="AQ6" s="82">
        <v>65</v>
      </c>
      <c r="AR6" s="82">
        <v>392</v>
      </c>
      <c r="AS6" s="249">
        <v>274</v>
      </c>
      <c r="AT6" s="82">
        <v>408</v>
      </c>
      <c r="AU6" s="82">
        <f t="shared" si="0"/>
        <v>126</v>
      </c>
      <c r="AV6" s="82">
        <f t="shared" si="0"/>
        <v>366</v>
      </c>
      <c r="AW6" s="82">
        <f t="shared" si="0"/>
        <v>331</v>
      </c>
      <c r="AX6" s="82">
        <f t="shared" si="0"/>
        <v>73</v>
      </c>
      <c r="AY6" s="82">
        <f t="shared" si="0"/>
        <v>476</v>
      </c>
      <c r="AZ6" s="249">
        <v>108</v>
      </c>
      <c r="BA6" s="82">
        <v>55</v>
      </c>
      <c r="BB6" s="82">
        <v>15</v>
      </c>
      <c r="BC6" s="82">
        <v>43</v>
      </c>
      <c r="BD6" s="82">
        <v>41</v>
      </c>
      <c r="BE6" s="82">
        <v>8</v>
      </c>
      <c r="BF6" s="82">
        <v>84</v>
      </c>
      <c r="BG6" s="249">
        <v>159</v>
      </c>
      <c r="BH6" s="82">
        <v>183</v>
      </c>
      <c r="BI6" s="82">
        <v>43</v>
      </c>
      <c r="BJ6" s="82">
        <v>118</v>
      </c>
      <c r="BK6" s="82">
        <v>110</v>
      </c>
      <c r="BL6" s="82">
        <v>33</v>
      </c>
      <c r="BM6" s="82">
        <v>201</v>
      </c>
      <c r="BN6" s="249">
        <v>267</v>
      </c>
      <c r="BO6" s="82">
        <v>238</v>
      </c>
      <c r="BP6" s="85">
        <f t="shared" si="1"/>
        <v>58</v>
      </c>
      <c r="BQ6" s="85">
        <f t="shared" si="37"/>
        <v>161</v>
      </c>
      <c r="BR6" s="85">
        <f t="shared" si="38"/>
        <v>151</v>
      </c>
      <c r="BS6" s="85">
        <f t="shared" si="39"/>
        <v>41</v>
      </c>
      <c r="BT6" s="85">
        <f t="shared" si="39"/>
        <v>285</v>
      </c>
      <c r="BU6" s="252">
        <v>7.0000000000000007E-2</v>
      </c>
      <c r="BV6" s="252">
        <f t="shared" si="2"/>
        <v>3.6987222595830531E-2</v>
      </c>
      <c r="BW6" s="252">
        <f t="shared" si="3"/>
        <v>2.7573529411764705E-2</v>
      </c>
      <c r="BX6" s="252">
        <f t="shared" si="4"/>
        <v>2.8781793842034806E-2</v>
      </c>
      <c r="BY6" s="252">
        <f t="shared" si="5"/>
        <v>2.8731604765241767E-2</v>
      </c>
      <c r="BZ6" s="252">
        <f t="shared" si="6"/>
        <v>1.7660044150110375E-2</v>
      </c>
      <c r="CA6" s="252">
        <f t="shared" si="7"/>
        <v>4.6666666666666669E-2</v>
      </c>
      <c r="CB6" s="252">
        <v>0.108</v>
      </c>
      <c r="CC6" s="252">
        <f t="shared" si="8"/>
        <v>0.23739071956960323</v>
      </c>
      <c r="CD6" s="252">
        <f t="shared" si="9"/>
        <v>0.20404411764705882</v>
      </c>
      <c r="CE6" s="252">
        <f t="shared" si="10"/>
        <v>0.21619812583668005</v>
      </c>
      <c r="CF6" s="252">
        <f t="shared" si="11"/>
        <v>0.20322354590049055</v>
      </c>
      <c r="CG6" s="252">
        <f t="shared" si="12"/>
        <v>0.14348785871964681</v>
      </c>
      <c r="CH6" s="252">
        <f t="shared" si="13"/>
        <v>0.21777777777777776</v>
      </c>
      <c r="CI6" s="253">
        <v>0.17899999999999999</v>
      </c>
      <c r="CJ6" s="253">
        <f t="shared" si="14"/>
        <v>0.27437794216543376</v>
      </c>
      <c r="CK6" s="253">
        <f t="shared" si="15"/>
        <v>0.23161764705882354</v>
      </c>
      <c r="CL6" s="253">
        <f t="shared" si="16"/>
        <v>0.24497991967871485</v>
      </c>
      <c r="CM6" s="253">
        <f t="shared" si="17"/>
        <v>0.2319551506657323</v>
      </c>
      <c r="CN6" s="253">
        <f t="shared" si="18"/>
        <v>0.16114790286975716</v>
      </c>
      <c r="CO6" s="253">
        <f t="shared" si="19"/>
        <v>0.26444444444444443</v>
      </c>
      <c r="CP6" s="253">
        <v>8.2000000000000003E-2</v>
      </c>
      <c r="CQ6" s="253">
        <f t="shared" si="20"/>
        <v>4.1761579347000762E-2</v>
      </c>
      <c r="CR6" s="253">
        <f t="shared" si="20"/>
        <v>3.1578947368421054E-2</v>
      </c>
      <c r="CS6" s="253">
        <f t="shared" si="20"/>
        <v>3.3385093167701864E-2</v>
      </c>
      <c r="CT6" s="253">
        <f t="shared" si="20"/>
        <v>3.2878909382518043E-2</v>
      </c>
      <c r="CU6" s="253">
        <f t="shared" si="20"/>
        <v>1.9002375296912115E-2</v>
      </c>
      <c r="CV6" s="253">
        <f t="shared" si="20"/>
        <v>5.2434456928838954E-2</v>
      </c>
      <c r="CW6" s="253">
        <v>0.121</v>
      </c>
      <c r="CX6" s="253">
        <f t="shared" si="21"/>
        <v>0.13895216400911162</v>
      </c>
      <c r="CY6" s="253">
        <f t="shared" si="21"/>
        <v>9.0526315789473691E-2</v>
      </c>
      <c r="CZ6" s="253">
        <f t="shared" si="21"/>
        <v>9.1614906832298143E-2</v>
      </c>
      <c r="DA6" s="253">
        <f t="shared" si="21"/>
        <v>8.8211708099438652E-2</v>
      </c>
      <c r="DB6" s="253">
        <f t="shared" si="21"/>
        <v>7.8384798099762468E-2</v>
      </c>
      <c r="DC6" s="253">
        <f t="shared" si="21"/>
        <v>0.12546816479400749</v>
      </c>
      <c r="DD6" s="253">
        <v>0.20300000000000001</v>
      </c>
      <c r="DE6" s="74">
        <f t="shared" si="22"/>
        <v>0.18071374335611237</v>
      </c>
      <c r="DF6" s="74">
        <f t="shared" si="22"/>
        <v>0.12210526315789473</v>
      </c>
      <c r="DG6" s="74">
        <f t="shared" si="22"/>
        <v>0.125</v>
      </c>
      <c r="DH6" s="74">
        <f t="shared" si="22"/>
        <v>0.12109061748195669</v>
      </c>
      <c r="DI6" s="74">
        <f t="shared" si="22"/>
        <v>9.7387173396674589E-2</v>
      </c>
      <c r="DJ6" s="74">
        <f t="shared" si="22"/>
        <v>0.17790262172284643</v>
      </c>
      <c r="DK6" s="266">
        <v>28447</v>
      </c>
      <c r="DL6" s="266">
        <v>26690</v>
      </c>
      <c r="DM6" s="267">
        <v>8440</v>
      </c>
      <c r="DN6" s="268">
        <v>26417</v>
      </c>
      <c r="DO6" s="268">
        <v>24901</v>
      </c>
      <c r="DP6" s="268">
        <v>8298</v>
      </c>
      <c r="DQ6" s="268">
        <v>26227</v>
      </c>
      <c r="DR6" s="268">
        <f>SUM(Data[[#This Row],[Fall 18 All Enroll]:[Fall 20 All Enroll]])</f>
        <v>149420</v>
      </c>
      <c r="DS6" s="266">
        <v>27940</v>
      </c>
      <c r="DT6" s="267">
        <v>26269</v>
      </c>
      <c r="DU6" s="267">
        <v>8312</v>
      </c>
      <c r="DV6" s="268">
        <v>26036</v>
      </c>
      <c r="DW6" s="268">
        <v>24567</v>
      </c>
      <c r="DX6" s="268">
        <v>8239</v>
      </c>
      <c r="DY6" s="268">
        <v>25855</v>
      </c>
      <c r="DZ6" s="268">
        <f>SUM(Data[[#This Row],[Fall 18 Non-eCore Enroll]:[Fall 20 Non-eCore Enroll]])</f>
        <v>147218</v>
      </c>
      <c r="EA6" s="269">
        <v>2358</v>
      </c>
      <c r="EB6" s="268">
        <v>1140</v>
      </c>
      <c r="EC6" s="268">
        <v>264</v>
      </c>
      <c r="ED6" s="268">
        <v>821</v>
      </c>
      <c r="EE6" s="268">
        <v>801</v>
      </c>
      <c r="EF6" s="268">
        <v>165</v>
      </c>
      <c r="EG6" s="268">
        <v>1197</v>
      </c>
      <c r="EH6" s="268">
        <f>SUM(Data[[#This Row],[Fall 18 LC All Enroll]:[Fall 20 LC All Enroll]])</f>
        <v>6746</v>
      </c>
      <c r="EI6" s="89">
        <f t="shared" si="23"/>
        <v>4.5147905233569804E-2</v>
      </c>
      <c r="EJ6" s="252">
        <v>8.3000000000000004E-2</v>
      </c>
      <c r="EK6" s="252">
        <f t="shared" si="24"/>
        <v>4.2712626451854627E-2</v>
      </c>
      <c r="EL6" s="252">
        <f t="shared" si="24"/>
        <v>3.1279620853080566E-2</v>
      </c>
      <c r="EM6" s="252">
        <f t="shared" si="24"/>
        <v>3.1078472195934435E-2</v>
      </c>
      <c r="EN6" s="259">
        <f t="shared" si="24"/>
        <v>3.2167382836030683E-2</v>
      </c>
      <c r="EO6" s="259">
        <f t="shared" si="24"/>
        <v>1.9884309472161965E-2</v>
      </c>
      <c r="EP6" s="259">
        <f t="shared" si="24"/>
        <v>4.5639989323979106E-2</v>
      </c>
      <c r="EQ6" s="269">
        <v>2741</v>
      </c>
      <c r="ER6" s="268">
        <v>3654</v>
      </c>
      <c r="ES6" s="268">
        <v>639</v>
      </c>
      <c r="ET6" s="268">
        <v>2600</v>
      </c>
      <c r="EU6" s="268">
        <v>2446</v>
      </c>
      <c r="EV6" s="268">
        <v>688</v>
      </c>
      <c r="EW6" s="268">
        <v>3736</v>
      </c>
      <c r="EX6" s="268">
        <f>SUM(Data[[#This Row],[Fall 18 NC All Enroll]:[Fall 20 NC All Enroll]])</f>
        <v>16504</v>
      </c>
      <c r="EY6" s="89">
        <f t="shared" si="25"/>
        <v>0.11045375451746754</v>
      </c>
      <c r="EZ6" s="252">
        <v>9.6000000000000002E-2</v>
      </c>
      <c r="FA6" s="252">
        <f t="shared" si="26"/>
        <v>0.13690520794304983</v>
      </c>
      <c r="FB6" s="252">
        <f t="shared" si="26"/>
        <v>7.5710900473933654E-2</v>
      </c>
      <c r="FC6" s="252">
        <f t="shared" si="26"/>
        <v>9.8421471022447665E-2</v>
      </c>
      <c r="FD6" s="259">
        <f t="shared" si="26"/>
        <v>9.8228986787679204E-2</v>
      </c>
      <c r="FE6" s="259">
        <f t="shared" si="26"/>
        <v>8.2911544950590499E-2</v>
      </c>
      <c r="FF6" s="259">
        <f t="shared" si="26"/>
        <v>0.14244862164944522</v>
      </c>
      <c r="FG6" s="269">
        <v>5099</v>
      </c>
      <c r="FH6" s="268">
        <v>4794</v>
      </c>
      <c r="FI6" s="268">
        <f t="shared" si="27"/>
        <v>903</v>
      </c>
      <c r="FJ6" s="268">
        <f t="shared" si="40"/>
        <v>3421</v>
      </c>
      <c r="FK6" s="256">
        <f t="shared" si="40"/>
        <v>3247</v>
      </c>
      <c r="FL6" s="256">
        <f t="shared" si="40"/>
        <v>853</v>
      </c>
      <c r="FM6" s="256">
        <f t="shared" si="40"/>
        <v>4933</v>
      </c>
      <c r="FN6" s="268">
        <f>SUM(Data[[#This Row],[Fall 18 LC+NC All Enroll]:[Fall 20 LC+NC All Enroll]])</f>
        <v>23250</v>
      </c>
      <c r="FO6" s="89">
        <f t="shared" si="28"/>
        <v>0.15560165975103735</v>
      </c>
      <c r="FP6" s="252">
        <v>0.17899999999999999</v>
      </c>
      <c r="FQ6" s="75">
        <f t="shared" si="29"/>
        <v>0.17961783439490445</v>
      </c>
      <c r="FR6" s="75">
        <f t="shared" si="29"/>
        <v>0.10699052132701421</v>
      </c>
      <c r="FS6" s="75">
        <f t="shared" si="29"/>
        <v>0.1294999432183821</v>
      </c>
      <c r="FT6" s="260">
        <f t="shared" si="29"/>
        <v>0.1303963696237099</v>
      </c>
      <c r="FU6" s="260">
        <f t="shared" si="29"/>
        <v>0.10279585442275246</v>
      </c>
      <c r="FV6" s="260">
        <f t="shared" si="29"/>
        <v>0.18808861097342433</v>
      </c>
      <c r="FW6" s="269">
        <v>2358</v>
      </c>
      <c r="FX6" s="268">
        <v>1140</v>
      </c>
      <c r="FY6" s="268">
        <v>264</v>
      </c>
      <c r="FZ6" s="268">
        <v>821</v>
      </c>
      <c r="GA6" s="268">
        <v>801</v>
      </c>
      <c r="GB6" s="268">
        <v>165</v>
      </c>
      <c r="GC6" s="268">
        <v>1197</v>
      </c>
      <c r="GD6" s="268">
        <f>SUM(Data[[#This Row],[Fall 18 LC Non-eCore Enroll]:[Fall 20 LC Non-eCore Enroll]])</f>
        <v>6746</v>
      </c>
      <c r="GE6" s="89">
        <f t="shared" si="30"/>
        <v>4.5823200967273027E-2</v>
      </c>
      <c r="GF6" s="252">
        <v>8.4000000000000005E-2</v>
      </c>
      <c r="GG6" s="252">
        <f t="shared" si="31"/>
        <v>4.3397160150748029E-2</v>
      </c>
      <c r="GH6" s="252">
        <f t="shared" si="31"/>
        <v>3.1761308950914342E-2</v>
      </c>
      <c r="GI6" s="252">
        <f t="shared" si="31"/>
        <v>3.1533261637732374E-2</v>
      </c>
      <c r="GJ6" s="259">
        <f t="shared" si="31"/>
        <v>3.2604713640249118E-2</v>
      </c>
      <c r="GK6" s="259">
        <f t="shared" si="31"/>
        <v>2.0026702269692925E-2</v>
      </c>
      <c r="GL6" s="259">
        <f t="shared" si="31"/>
        <v>4.629665441887449E-2</v>
      </c>
      <c r="GM6" s="269">
        <v>2727</v>
      </c>
      <c r="GN6" s="268">
        <v>3233</v>
      </c>
      <c r="GO6" s="268">
        <v>512</v>
      </c>
      <c r="GP6" s="268">
        <v>2220</v>
      </c>
      <c r="GQ6" s="268">
        <v>2112</v>
      </c>
      <c r="GR6" s="268">
        <v>629</v>
      </c>
      <c r="GS6" s="268">
        <v>3374</v>
      </c>
      <c r="GT6" s="268">
        <f>SUM(Data[[#This Row],[Fall 18 NC Non-eCore Enroll]:[Fall 20 NC Non-eCore Enroll]])</f>
        <v>14807</v>
      </c>
      <c r="GU6" s="89">
        <f t="shared" si="32"/>
        <v>0.10057873357877434</v>
      </c>
      <c r="GV6" s="252">
        <v>9.8000000000000004E-2</v>
      </c>
      <c r="GW6" s="252">
        <f t="shared" si="33"/>
        <v>0.1230728234801477</v>
      </c>
      <c r="GX6" s="252">
        <f t="shared" si="33"/>
        <v>6.1597690086621755E-2</v>
      </c>
      <c r="GY6" s="252">
        <f t="shared" si="33"/>
        <v>8.5266554002150871E-2</v>
      </c>
      <c r="GZ6" s="259">
        <f t="shared" si="33"/>
        <v>8.5968982781780431E-2</v>
      </c>
      <c r="HA6" s="259">
        <f t="shared" si="33"/>
        <v>7.6344216531132422E-2</v>
      </c>
      <c r="HB6" s="259">
        <f t="shared" si="33"/>
        <v>0.13049700251402049</v>
      </c>
      <c r="HC6" s="269">
        <v>5085</v>
      </c>
      <c r="HD6" s="268">
        <v>4373</v>
      </c>
      <c r="HE6" s="269">
        <f t="shared" si="41"/>
        <v>776</v>
      </c>
      <c r="HF6" s="269">
        <f t="shared" si="41"/>
        <v>3041</v>
      </c>
      <c r="HG6" s="257">
        <f t="shared" si="41"/>
        <v>2913</v>
      </c>
      <c r="HH6" s="257">
        <f t="shared" si="41"/>
        <v>794</v>
      </c>
      <c r="HI6" s="257">
        <f t="shared" si="41"/>
        <v>4571</v>
      </c>
      <c r="HJ6" s="269">
        <f>SUM(Data[[#This Row],[Fall 18 LC+NC Non-eCore Enroll]:[Fall 20 LC+NC Non-eCore Enroll]])</f>
        <v>21553</v>
      </c>
      <c r="HK6" s="91">
        <f t="shared" si="34"/>
        <v>0.14640193454604736</v>
      </c>
      <c r="HL6" s="268">
        <v>22855</v>
      </c>
      <c r="HM6" s="268">
        <v>21896</v>
      </c>
      <c r="HN6" s="268">
        <v>7536</v>
      </c>
      <c r="HO6" s="82">
        <v>22995</v>
      </c>
      <c r="HP6" s="82">
        <v>21654</v>
      </c>
      <c r="HQ6" s="82">
        <v>7445</v>
      </c>
      <c r="HR6" s="82">
        <v>21284</v>
      </c>
      <c r="HS6" s="256">
        <f>SUM(Data[[#This Row],[Fall 18 Non-eCore None Enroll]:[Fall 20 Non-eCore None Enroll]])</f>
        <v>125665</v>
      </c>
      <c r="HT6" s="89">
        <f t="shared" si="35"/>
        <v>0.85359806545395267</v>
      </c>
      <c r="HU6" s="252">
        <v>0.182</v>
      </c>
      <c r="HV6" s="252">
        <f t="shared" si="36"/>
        <v>0.16646998363089574</v>
      </c>
      <c r="HW6" s="252">
        <f t="shared" si="36"/>
        <v>9.3358999037536097E-2</v>
      </c>
      <c r="HX6" s="252">
        <f t="shared" si="36"/>
        <v>0.11679981563988324</v>
      </c>
      <c r="HY6" s="259">
        <f t="shared" si="36"/>
        <v>0.11857369642202956</v>
      </c>
      <c r="HZ6" s="259">
        <f t="shared" si="36"/>
        <v>9.6370918800825336E-2</v>
      </c>
      <c r="IA6" s="259">
        <f t="shared" si="36"/>
        <v>0.176793656932895</v>
      </c>
    </row>
    <row r="7" spans="1:235" x14ac:dyDescent="0.25">
      <c r="A7" s="79" t="s">
        <v>426</v>
      </c>
      <c r="B7" s="79" t="s">
        <v>2290</v>
      </c>
      <c r="C7" s="280">
        <f>Data[[#This Row],[Spring 20 No eCore Low-Cost Sections]]+Data[[#This Row],[Summer 20 No eCore Low-Cost Sections]]+Data[[#This Row],[Fall 20 No eCore Low-Cost Sections]]</f>
        <v>43</v>
      </c>
      <c r="D7" s="281">
        <f>Data[[#This Row],[2020 LC Total]]/(Data[[#This Row],[Spring 20 All Sections]]+Data[[#This Row],[Summer 20 All Sections]]+Data[[#This Row],[Fall 20 All Sections]])</f>
        <v>2.3382272974442633E-2</v>
      </c>
      <c r="E7" s="280">
        <f>Data[[#This Row],[Spring 20 No eCore No-Cost Sections]]+Data[[#This Row],[Summer 20 No eCore No-Cost Sections]]+Data[[#This Row],[Fall 20 No eCore No-Cost Sections]]</f>
        <v>223</v>
      </c>
      <c r="F7" s="281">
        <f>Data[[#This Row],[2020 NC Total]]/(Data[[#This Row],[Spring 20 All Sections]]+Data[[#This Row],[Summer 20 All Sections]]+Data[[#This Row],[Fall 20 All Sections]])</f>
        <v>0.1212615551930397</v>
      </c>
      <c r="G7" s="280">
        <f>Data[[#This Row],[2020 LC Total]]+Data[[#This Row],[2020 NC Total]]</f>
        <v>266</v>
      </c>
      <c r="H7" s="281">
        <f>Data[[#This Row],[2020 NC+LC Total]]/(Data[[#This Row],[Spring 20 All Sections]]+Data[[#This Row],[Summer 20 All Sections]]+Data[[#This Row],[Fall 20 All Sections]])</f>
        <v>0.14464382816748234</v>
      </c>
      <c r="I7" s="249">
        <v>842</v>
      </c>
      <c r="J7" s="250">
        <v>801</v>
      </c>
      <c r="K7" s="251">
        <v>289</v>
      </c>
      <c r="L7" s="82">
        <v>808</v>
      </c>
      <c r="M7" s="82">
        <v>792</v>
      </c>
      <c r="N7" s="82">
        <v>230</v>
      </c>
      <c r="O7" s="82">
        <v>817</v>
      </c>
      <c r="P7" s="82">
        <f>SUM(Data[[#This Row],[Fall 18 All Sections]:[Fall 20 All Sections]])</f>
        <v>4579</v>
      </c>
      <c r="Q7" s="249">
        <v>155</v>
      </c>
      <c r="R7" s="250">
        <v>108</v>
      </c>
      <c r="S7" s="250">
        <v>62</v>
      </c>
      <c r="T7" s="82">
        <v>210</v>
      </c>
      <c r="U7" s="82">
        <v>197</v>
      </c>
      <c r="V7" s="82">
        <v>45</v>
      </c>
      <c r="W7" s="82">
        <v>200</v>
      </c>
      <c r="X7" s="249">
        <v>687</v>
      </c>
      <c r="Y7" s="250">
        <v>693</v>
      </c>
      <c r="Z7" s="84">
        <v>227</v>
      </c>
      <c r="AA7" s="82">
        <v>598</v>
      </c>
      <c r="AB7" s="82">
        <v>595</v>
      </c>
      <c r="AC7" s="82">
        <v>185</v>
      </c>
      <c r="AD7" s="82">
        <v>617</v>
      </c>
      <c r="AE7" s="249">
        <v>27</v>
      </c>
      <c r="AF7" s="82">
        <v>13</v>
      </c>
      <c r="AG7" s="82">
        <v>3</v>
      </c>
      <c r="AH7" s="82">
        <v>19</v>
      </c>
      <c r="AI7" s="82">
        <v>16</v>
      </c>
      <c r="AJ7" s="82">
        <v>3</v>
      </c>
      <c r="AK7" s="82">
        <v>24</v>
      </c>
      <c r="AL7" s="249">
        <v>146</v>
      </c>
      <c r="AM7" s="82">
        <v>154</v>
      </c>
      <c r="AN7" s="82">
        <v>119</v>
      </c>
      <c r="AO7" s="82">
        <v>326</v>
      </c>
      <c r="AP7" s="82">
        <v>266</v>
      </c>
      <c r="AQ7" s="82">
        <v>69</v>
      </c>
      <c r="AR7" s="82">
        <v>330</v>
      </c>
      <c r="AS7" s="249">
        <v>173</v>
      </c>
      <c r="AT7" s="82">
        <v>167</v>
      </c>
      <c r="AU7" s="82">
        <f t="shared" si="0"/>
        <v>122</v>
      </c>
      <c r="AV7" s="82">
        <f t="shared" si="0"/>
        <v>345</v>
      </c>
      <c r="AW7" s="82">
        <f t="shared" si="0"/>
        <v>282</v>
      </c>
      <c r="AX7" s="82">
        <f t="shared" si="0"/>
        <v>72</v>
      </c>
      <c r="AY7" s="82">
        <f t="shared" si="0"/>
        <v>354</v>
      </c>
      <c r="AZ7" s="249">
        <v>27</v>
      </c>
      <c r="BA7" s="82">
        <v>13</v>
      </c>
      <c r="BB7" s="82">
        <v>3</v>
      </c>
      <c r="BC7" s="82">
        <v>19</v>
      </c>
      <c r="BD7" s="82">
        <v>16</v>
      </c>
      <c r="BE7" s="82">
        <v>3</v>
      </c>
      <c r="BF7" s="82">
        <v>24</v>
      </c>
      <c r="BG7" s="249">
        <v>70</v>
      </c>
      <c r="BH7" s="82">
        <v>85</v>
      </c>
      <c r="BI7" s="82">
        <v>57</v>
      </c>
      <c r="BJ7" s="82">
        <v>116</v>
      </c>
      <c r="BK7" s="82">
        <v>69</v>
      </c>
      <c r="BL7" s="82">
        <v>24</v>
      </c>
      <c r="BM7" s="82">
        <v>130</v>
      </c>
      <c r="BN7" s="249">
        <v>97</v>
      </c>
      <c r="BO7" s="82">
        <v>98</v>
      </c>
      <c r="BP7" s="85">
        <f t="shared" si="1"/>
        <v>60</v>
      </c>
      <c r="BQ7" s="85">
        <f t="shared" si="37"/>
        <v>135</v>
      </c>
      <c r="BR7" s="85">
        <f t="shared" si="38"/>
        <v>85</v>
      </c>
      <c r="BS7" s="85">
        <f t="shared" si="39"/>
        <v>27</v>
      </c>
      <c r="BT7" s="85">
        <f t="shared" si="39"/>
        <v>154</v>
      </c>
      <c r="BU7" s="252">
        <v>3.2000000000000001E-2</v>
      </c>
      <c r="BV7" s="252">
        <f t="shared" si="2"/>
        <v>1.6229712858926344E-2</v>
      </c>
      <c r="BW7" s="252">
        <f t="shared" si="3"/>
        <v>1.0380622837370242E-2</v>
      </c>
      <c r="BX7" s="252">
        <f t="shared" si="4"/>
        <v>2.3514851485148515E-2</v>
      </c>
      <c r="BY7" s="252">
        <f t="shared" si="5"/>
        <v>2.0202020202020204E-2</v>
      </c>
      <c r="BZ7" s="252">
        <f t="shared" si="6"/>
        <v>1.3043478260869565E-2</v>
      </c>
      <c r="CA7" s="252">
        <f t="shared" si="7"/>
        <v>2.937576499388005E-2</v>
      </c>
      <c r="CB7" s="252">
        <v>0.17299999999999999</v>
      </c>
      <c r="CC7" s="252">
        <f t="shared" si="8"/>
        <v>0.19225967540574282</v>
      </c>
      <c r="CD7" s="252">
        <f t="shared" si="9"/>
        <v>0.41176470588235292</v>
      </c>
      <c r="CE7" s="252">
        <f t="shared" si="10"/>
        <v>0.40346534653465349</v>
      </c>
      <c r="CF7" s="252">
        <f t="shared" si="11"/>
        <v>0.33585858585858586</v>
      </c>
      <c r="CG7" s="252">
        <f t="shared" si="12"/>
        <v>0.3</v>
      </c>
      <c r="CH7" s="252">
        <f t="shared" si="13"/>
        <v>0.40391676866585069</v>
      </c>
      <c r="CI7" s="253">
        <v>0.20499999999999999</v>
      </c>
      <c r="CJ7" s="253">
        <f t="shared" si="14"/>
        <v>0.20848938826466917</v>
      </c>
      <c r="CK7" s="253">
        <f t="shared" si="15"/>
        <v>0.42214532871972316</v>
      </c>
      <c r="CL7" s="253">
        <f t="shared" si="16"/>
        <v>0.42698019801980197</v>
      </c>
      <c r="CM7" s="253">
        <f t="shared" si="17"/>
        <v>0.35606060606060608</v>
      </c>
      <c r="CN7" s="253">
        <f t="shared" si="18"/>
        <v>0.31304347826086959</v>
      </c>
      <c r="CO7" s="253">
        <f t="shared" si="19"/>
        <v>0.43329253365973075</v>
      </c>
      <c r="CP7" s="253">
        <v>3.9E-2</v>
      </c>
      <c r="CQ7" s="253">
        <f t="shared" si="20"/>
        <v>1.875901875901876E-2</v>
      </c>
      <c r="CR7" s="253">
        <f t="shared" si="20"/>
        <v>1.3215859030837005E-2</v>
      </c>
      <c r="CS7" s="253">
        <f t="shared" si="20"/>
        <v>3.177257525083612E-2</v>
      </c>
      <c r="CT7" s="253">
        <f t="shared" si="20"/>
        <v>2.689075630252101E-2</v>
      </c>
      <c r="CU7" s="253">
        <f t="shared" si="20"/>
        <v>1.6216216216216217E-2</v>
      </c>
      <c r="CV7" s="253">
        <f t="shared" si="20"/>
        <v>3.8897893030794169E-2</v>
      </c>
      <c r="CW7" s="253">
        <v>0.10199999999999999</v>
      </c>
      <c r="CX7" s="253">
        <f t="shared" si="21"/>
        <v>0.12265512265512266</v>
      </c>
      <c r="CY7" s="253">
        <f t="shared" si="21"/>
        <v>0.25110132158590309</v>
      </c>
      <c r="CZ7" s="253">
        <f t="shared" si="21"/>
        <v>0.1939799331103679</v>
      </c>
      <c r="DA7" s="253">
        <f t="shared" si="21"/>
        <v>0.11596638655462185</v>
      </c>
      <c r="DB7" s="253">
        <f t="shared" si="21"/>
        <v>0.12972972972972974</v>
      </c>
      <c r="DC7" s="253">
        <f t="shared" si="21"/>
        <v>0.21069692058346839</v>
      </c>
      <c r="DD7" s="253">
        <v>0.14099999999999999</v>
      </c>
      <c r="DE7" s="74">
        <f t="shared" si="22"/>
        <v>0.14141414141414141</v>
      </c>
      <c r="DF7" s="74">
        <f t="shared" si="22"/>
        <v>0.26431718061674009</v>
      </c>
      <c r="DG7" s="74">
        <f t="shared" si="22"/>
        <v>0.225752508361204</v>
      </c>
      <c r="DH7" s="74">
        <f t="shared" si="22"/>
        <v>0.14285714285714285</v>
      </c>
      <c r="DI7" s="74">
        <f t="shared" si="22"/>
        <v>0.14594594594594595</v>
      </c>
      <c r="DJ7" s="74">
        <f t="shared" si="22"/>
        <v>0.24959481361426256</v>
      </c>
      <c r="DK7" s="266">
        <v>15832</v>
      </c>
      <c r="DL7" s="266">
        <v>14036</v>
      </c>
      <c r="DM7" s="267">
        <v>3540</v>
      </c>
      <c r="DN7" s="268">
        <v>13412</v>
      </c>
      <c r="DO7" s="268">
        <v>12405</v>
      </c>
      <c r="DP7" s="268">
        <v>3366</v>
      </c>
      <c r="DQ7" s="268">
        <v>12730</v>
      </c>
      <c r="DR7" s="268">
        <f>SUM(Data[[#This Row],[Fall 18 All Enroll]:[Fall 20 All Enroll]])</f>
        <v>75321</v>
      </c>
      <c r="DS7" s="266">
        <v>15579</v>
      </c>
      <c r="DT7" s="267">
        <v>13862</v>
      </c>
      <c r="DU7" s="267">
        <v>3435</v>
      </c>
      <c r="DV7" s="268">
        <v>12997</v>
      </c>
      <c r="DW7" s="268">
        <v>12034</v>
      </c>
      <c r="DX7" s="268">
        <v>3279</v>
      </c>
      <c r="DY7" s="268">
        <v>12392</v>
      </c>
      <c r="DZ7" s="268">
        <f>SUM(Data[[#This Row],[Fall 18 Non-eCore Enroll]:[Fall 20 Non-eCore Enroll]])</f>
        <v>73578</v>
      </c>
      <c r="EA7" s="269">
        <v>694</v>
      </c>
      <c r="EB7" s="268">
        <v>185</v>
      </c>
      <c r="EC7" s="268">
        <v>51</v>
      </c>
      <c r="ED7" s="268">
        <v>412</v>
      </c>
      <c r="EE7" s="268">
        <v>459</v>
      </c>
      <c r="EF7" s="268">
        <v>85</v>
      </c>
      <c r="EG7" s="268">
        <v>584</v>
      </c>
      <c r="EH7" s="268">
        <f>SUM(Data[[#This Row],[Fall 18 LC All Enroll]:[Fall 20 LC All Enroll]])</f>
        <v>2470</v>
      </c>
      <c r="EI7" s="89">
        <f t="shared" si="23"/>
        <v>3.279297938158017E-2</v>
      </c>
      <c r="EJ7" s="252">
        <v>4.3999999999999997E-2</v>
      </c>
      <c r="EK7" s="252">
        <f t="shared" si="24"/>
        <v>1.3180393274437161E-2</v>
      </c>
      <c r="EL7" s="252">
        <f t="shared" si="24"/>
        <v>1.4406779661016949E-2</v>
      </c>
      <c r="EM7" s="252">
        <f t="shared" si="24"/>
        <v>3.0718759320011928E-2</v>
      </c>
      <c r="EN7" s="259">
        <f t="shared" si="24"/>
        <v>3.7001209189842808E-2</v>
      </c>
      <c r="EO7" s="259">
        <f t="shared" si="24"/>
        <v>2.5252525252525252E-2</v>
      </c>
      <c r="EP7" s="259">
        <f t="shared" si="24"/>
        <v>4.5875883739198743E-2</v>
      </c>
      <c r="EQ7" s="269">
        <v>1551</v>
      </c>
      <c r="ER7" s="268">
        <v>1738</v>
      </c>
      <c r="ES7" s="268">
        <v>995</v>
      </c>
      <c r="ET7" s="268">
        <v>2663</v>
      </c>
      <c r="EU7" s="268">
        <v>1726</v>
      </c>
      <c r="EV7" s="268">
        <v>445</v>
      </c>
      <c r="EW7" s="268">
        <v>2705</v>
      </c>
      <c r="EX7" s="268">
        <f>SUM(Data[[#This Row],[Fall 18 NC All Enroll]:[Fall 20 NC All Enroll]])</f>
        <v>11823</v>
      </c>
      <c r="EY7" s="89">
        <f t="shared" si="25"/>
        <v>0.156968176205839</v>
      </c>
      <c r="EZ7" s="252">
        <v>9.8000000000000004E-2</v>
      </c>
      <c r="FA7" s="252">
        <f t="shared" si="26"/>
        <v>0.1238244514106583</v>
      </c>
      <c r="FB7" s="252">
        <f t="shared" si="26"/>
        <v>0.28107344632768361</v>
      </c>
      <c r="FC7" s="252">
        <f t="shared" si="26"/>
        <v>0.1985535341485237</v>
      </c>
      <c r="FD7" s="259">
        <f t="shared" si="26"/>
        <v>0.13913744457879887</v>
      </c>
      <c r="FE7" s="259">
        <f t="shared" si="26"/>
        <v>0.13220439691027927</v>
      </c>
      <c r="FF7" s="259">
        <f t="shared" si="26"/>
        <v>0.21249018067556952</v>
      </c>
      <c r="FG7" s="269">
        <v>2245</v>
      </c>
      <c r="FH7" s="268">
        <v>1923</v>
      </c>
      <c r="FI7" s="268">
        <f t="shared" si="27"/>
        <v>1046</v>
      </c>
      <c r="FJ7" s="268">
        <f t="shared" si="40"/>
        <v>3075</v>
      </c>
      <c r="FK7" s="256">
        <f t="shared" si="40"/>
        <v>2185</v>
      </c>
      <c r="FL7" s="256">
        <f t="shared" si="40"/>
        <v>530</v>
      </c>
      <c r="FM7" s="256">
        <f t="shared" si="40"/>
        <v>3289</v>
      </c>
      <c r="FN7" s="268">
        <f>SUM(Data[[#This Row],[Fall 18 LC+NC All Enroll]:[Fall 20 LC+NC All Enroll]])</f>
        <v>14293</v>
      </c>
      <c r="FO7" s="89">
        <f t="shared" si="28"/>
        <v>0.18976115558741918</v>
      </c>
      <c r="FP7" s="252">
        <v>0.14199999999999999</v>
      </c>
      <c r="FQ7" s="75">
        <f t="shared" si="29"/>
        <v>0.13700484468509547</v>
      </c>
      <c r="FR7" s="75">
        <f t="shared" si="29"/>
        <v>0.29548022598870055</v>
      </c>
      <c r="FS7" s="75">
        <f t="shared" si="29"/>
        <v>0.22927229346853564</v>
      </c>
      <c r="FT7" s="260">
        <f t="shared" si="29"/>
        <v>0.17613865376864168</v>
      </c>
      <c r="FU7" s="260">
        <f t="shared" si="29"/>
        <v>0.15745692216280452</v>
      </c>
      <c r="FV7" s="260">
        <f t="shared" si="29"/>
        <v>0.25836606441476828</v>
      </c>
      <c r="FW7" s="269">
        <v>694</v>
      </c>
      <c r="FX7" s="268">
        <v>185</v>
      </c>
      <c r="FY7" s="268">
        <v>51</v>
      </c>
      <c r="FZ7" s="268">
        <v>412</v>
      </c>
      <c r="GA7" s="268">
        <v>459</v>
      </c>
      <c r="GB7" s="268">
        <v>85</v>
      </c>
      <c r="GC7" s="268">
        <v>584</v>
      </c>
      <c r="GD7" s="268">
        <f>SUM(Data[[#This Row],[Fall 18 LC Non-eCore Enroll]:[Fall 20 LC Non-eCore Enroll]])</f>
        <v>2470</v>
      </c>
      <c r="GE7" s="89">
        <f t="shared" si="30"/>
        <v>3.3569817064883524E-2</v>
      </c>
      <c r="GF7" s="252">
        <v>4.4999999999999998E-2</v>
      </c>
      <c r="GG7" s="252">
        <f t="shared" si="31"/>
        <v>1.3345837541480306E-2</v>
      </c>
      <c r="GH7" s="252">
        <f t="shared" si="31"/>
        <v>1.4847161572052401E-2</v>
      </c>
      <c r="GI7" s="252">
        <f t="shared" si="31"/>
        <v>3.1699622989920753E-2</v>
      </c>
      <c r="GJ7" s="259">
        <f t="shared" si="31"/>
        <v>3.8141931194947645E-2</v>
      </c>
      <c r="GK7" s="259">
        <f t="shared" si="31"/>
        <v>2.5922537358950899E-2</v>
      </c>
      <c r="GL7" s="259">
        <f t="shared" si="31"/>
        <v>4.7127178825048417E-2</v>
      </c>
      <c r="GM7" s="269">
        <v>1426</v>
      </c>
      <c r="GN7" s="268">
        <v>1631</v>
      </c>
      <c r="GO7" s="268">
        <v>890</v>
      </c>
      <c r="GP7" s="268">
        <v>2248</v>
      </c>
      <c r="GQ7" s="268">
        <v>1355</v>
      </c>
      <c r="GR7" s="268">
        <v>358</v>
      </c>
      <c r="GS7" s="268">
        <v>2367</v>
      </c>
      <c r="GT7" s="268">
        <f>SUM(Data[[#This Row],[Fall 18 NC Non-eCore Enroll]:[Fall 20 NC Non-eCore Enroll]])</f>
        <v>10275</v>
      </c>
      <c r="GU7" s="89">
        <f t="shared" si="32"/>
        <v>0.13964772078610455</v>
      </c>
      <c r="GV7" s="252">
        <v>9.1999999999999998E-2</v>
      </c>
      <c r="GW7" s="252">
        <f t="shared" si="33"/>
        <v>0.11765978935218584</v>
      </c>
      <c r="GX7" s="252">
        <f t="shared" si="33"/>
        <v>0.2590975254730713</v>
      </c>
      <c r="GY7" s="252">
        <f t="shared" si="33"/>
        <v>0.17296299145956759</v>
      </c>
      <c r="GZ7" s="259">
        <f t="shared" si="33"/>
        <v>0.11259764001994349</v>
      </c>
      <c r="HA7" s="259">
        <f t="shared" si="33"/>
        <v>0.10917962793534614</v>
      </c>
      <c r="HB7" s="259">
        <f t="shared" si="33"/>
        <v>0.19101032924467398</v>
      </c>
      <c r="HC7" s="269">
        <v>2120</v>
      </c>
      <c r="HD7" s="268">
        <v>1816</v>
      </c>
      <c r="HE7" s="269">
        <f t="shared" si="41"/>
        <v>941</v>
      </c>
      <c r="HF7" s="269">
        <f t="shared" si="41"/>
        <v>2660</v>
      </c>
      <c r="HG7" s="257">
        <f t="shared" si="41"/>
        <v>1814</v>
      </c>
      <c r="HH7" s="257">
        <f t="shared" si="41"/>
        <v>443</v>
      </c>
      <c r="HI7" s="257">
        <f t="shared" si="41"/>
        <v>2951</v>
      </c>
      <c r="HJ7" s="269">
        <f>SUM(Data[[#This Row],[Fall 18 LC+NC Non-eCore Enroll]:[Fall 20 LC+NC Non-eCore Enroll]])</f>
        <v>12745</v>
      </c>
      <c r="HK7" s="91">
        <f t="shared" si="34"/>
        <v>0.17321753785098806</v>
      </c>
      <c r="HL7" s="268">
        <v>13459</v>
      </c>
      <c r="HM7" s="268">
        <v>12046</v>
      </c>
      <c r="HN7" s="268">
        <v>2494</v>
      </c>
      <c r="HO7" s="82">
        <v>10337</v>
      </c>
      <c r="HP7" s="82">
        <v>10220</v>
      </c>
      <c r="HQ7" s="82">
        <v>2836</v>
      </c>
      <c r="HR7" s="82">
        <v>9441</v>
      </c>
      <c r="HS7" s="256">
        <f>SUM(Data[[#This Row],[Fall 18 Non-eCore None Enroll]:[Fall 20 Non-eCore None Enroll]])</f>
        <v>60833</v>
      </c>
      <c r="HT7" s="89">
        <f t="shared" si="35"/>
        <v>0.82678246214901197</v>
      </c>
      <c r="HU7" s="252">
        <v>0.13600000000000001</v>
      </c>
      <c r="HV7" s="252">
        <f t="shared" si="36"/>
        <v>0.13100562689366613</v>
      </c>
      <c r="HW7" s="252">
        <f t="shared" si="36"/>
        <v>0.2739446870451237</v>
      </c>
      <c r="HX7" s="252">
        <f t="shared" si="36"/>
        <v>0.20466261444948836</v>
      </c>
      <c r="HY7" s="259">
        <f t="shared" si="36"/>
        <v>0.15073957121489115</v>
      </c>
      <c r="HZ7" s="259">
        <f t="shared" si="36"/>
        <v>0.13510216529429706</v>
      </c>
      <c r="IA7" s="259">
        <f t="shared" si="36"/>
        <v>0.23813750806972239</v>
      </c>
    </row>
    <row r="8" spans="1:235" x14ac:dyDescent="0.25">
      <c r="A8" s="79" t="s">
        <v>243</v>
      </c>
      <c r="B8" s="79" t="s">
        <v>2291</v>
      </c>
      <c r="C8" s="280">
        <f>Data[[#This Row],[Spring 20 No eCore Low-Cost Sections]]+Data[[#This Row],[Summer 20 No eCore Low-Cost Sections]]+Data[[#This Row],[Fall 20 No eCore Low-Cost Sections]]</f>
        <v>218</v>
      </c>
      <c r="D8" s="281">
        <f>Data[[#This Row],[2020 LC Total]]/(Data[[#This Row],[Spring 20 All Sections]]+Data[[#This Row],[Summer 20 All Sections]]+Data[[#This Row],[Fall 20 All Sections]])</f>
        <v>3.998532648569332E-2</v>
      </c>
      <c r="E8" s="280">
        <f>Data[[#This Row],[Spring 20 No eCore No-Cost Sections]]+Data[[#This Row],[Summer 20 No eCore No-Cost Sections]]+Data[[#This Row],[Fall 20 No eCore No-Cost Sections]]</f>
        <v>1228</v>
      </c>
      <c r="F8" s="281">
        <f>Data[[#This Row],[2020 NC Total]]/(Data[[#This Row],[Spring 20 All Sections]]+Data[[#This Row],[Summer 20 All Sections]]+Data[[#This Row],[Fall 20 All Sections]])</f>
        <v>0.22523844460748349</v>
      </c>
      <c r="G8" s="280">
        <f>Data[[#This Row],[2020 LC Total]]+Data[[#This Row],[2020 NC Total]]</f>
        <v>1446</v>
      </c>
      <c r="H8" s="281">
        <f>Data[[#This Row],[2020 NC+LC Total]]/(Data[[#This Row],[Spring 20 All Sections]]+Data[[#This Row],[Summer 20 All Sections]]+Data[[#This Row],[Fall 20 All Sections]])</f>
        <v>0.2652237710931768</v>
      </c>
      <c r="I8" s="249">
        <v>2350</v>
      </c>
      <c r="J8" s="250">
        <v>2540</v>
      </c>
      <c r="K8" s="251">
        <v>794</v>
      </c>
      <c r="L8" s="82">
        <v>2358</v>
      </c>
      <c r="M8" s="82">
        <v>2284</v>
      </c>
      <c r="N8" s="82">
        <v>704</v>
      </c>
      <c r="O8" s="82">
        <v>2464</v>
      </c>
      <c r="P8" s="82">
        <f>SUM(Data[[#This Row],[Fall 18 All Sections]:[Fall 20 All Sections]])</f>
        <v>13494</v>
      </c>
      <c r="Q8" s="249">
        <v>268</v>
      </c>
      <c r="R8" s="250">
        <v>240</v>
      </c>
      <c r="S8" s="250">
        <v>72</v>
      </c>
      <c r="T8" s="82">
        <v>275</v>
      </c>
      <c r="U8" s="82">
        <v>249</v>
      </c>
      <c r="V8" s="82">
        <v>80</v>
      </c>
      <c r="W8" s="82">
        <v>441</v>
      </c>
      <c r="X8" s="249">
        <v>2082</v>
      </c>
      <c r="Y8" s="250">
        <v>2300</v>
      </c>
      <c r="Z8" s="84">
        <v>722</v>
      </c>
      <c r="AA8" s="82">
        <v>2083</v>
      </c>
      <c r="AB8" s="82">
        <v>2035</v>
      </c>
      <c r="AC8" s="82">
        <v>624</v>
      </c>
      <c r="AD8" s="82">
        <v>2023</v>
      </c>
      <c r="AE8" s="249">
        <v>133</v>
      </c>
      <c r="AF8" s="82">
        <v>339</v>
      </c>
      <c r="AG8" s="82">
        <v>28</v>
      </c>
      <c r="AH8" s="82">
        <v>149</v>
      </c>
      <c r="AI8" s="82">
        <v>124</v>
      </c>
      <c r="AJ8" s="82">
        <v>21</v>
      </c>
      <c r="AK8" s="82">
        <v>73</v>
      </c>
      <c r="AL8" s="249">
        <v>661</v>
      </c>
      <c r="AM8" s="82">
        <v>1161</v>
      </c>
      <c r="AN8" s="82">
        <v>230</v>
      </c>
      <c r="AO8" s="82">
        <v>1059</v>
      </c>
      <c r="AP8" s="82">
        <v>1013</v>
      </c>
      <c r="AQ8" s="82">
        <v>205</v>
      </c>
      <c r="AR8" s="82">
        <v>750</v>
      </c>
      <c r="AS8" s="249">
        <v>794</v>
      </c>
      <c r="AT8" s="82">
        <v>1500</v>
      </c>
      <c r="AU8" s="82">
        <f t="shared" si="0"/>
        <v>258</v>
      </c>
      <c r="AV8" s="82">
        <f t="shared" si="0"/>
        <v>1208</v>
      </c>
      <c r="AW8" s="82">
        <f t="shared" si="0"/>
        <v>1137</v>
      </c>
      <c r="AX8" s="82">
        <f t="shared" si="0"/>
        <v>226</v>
      </c>
      <c r="AY8" s="82">
        <f t="shared" si="0"/>
        <v>823</v>
      </c>
      <c r="AZ8" s="249">
        <v>133</v>
      </c>
      <c r="BA8" s="82">
        <v>339</v>
      </c>
      <c r="BB8" s="82">
        <v>28</v>
      </c>
      <c r="BC8" s="82">
        <v>149</v>
      </c>
      <c r="BD8" s="82">
        <v>124</v>
      </c>
      <c r="BE8" s="82">
        <v>21</v>
      </c>
      <c r="BF8" s="82">
        <v>73</v>
      </c>
      <c r="BG8" s="249">
        <v>395</v>
      </c>
      <c r="BH8" s="82">
        <v>922</v>
      </c>
      <c r="BI8" s="82">
        <v>159</v>
      </c>
      <c r="BJ8" s="82">
        <v>799</v>
      </c>
      <c r="BK8" s="82">
        <v>764</v>
      </c>
      <c r="BL8" s="82">
        <v>125</v>
      </c>
      <c r="BM8" s="82">
        <v>339</v>
      </c>
      <c r="BN8" s="249">
        <v>528</v>
      </c>
      <c r="BO8" s="82">
        <v>1261</v>
      </c>
      <c r="BP8" s="85">
        <f t="shared" si="1"/>
        <v>187</v>
      </c>
      <c r="BQ8" s="85">
        <f t="shared" si="37"/>
        <v>948</v>
      </c>
      <c r="BR8" s="85">
        <f t="shared" si="38"/>
        <v>888</v>
      </c>
      <c r="BS8" s="85">
        <f t="shared" si="39"/>
        <v>146</v>
      </c>
      <c r="BT8" s="85">
        <f t="shared" si="39"/>
        <v>412</v>
      </c>
      <c r="BU8" s="252">
        <v>5.7000000000000002E-2</v>
      </c>
      <c r="BV8" s="252">
        <f t="shared" si="2"/>
        <v>0.13346456692913386</v>
      </c>
      <c r="BW8" s="252">
        <f t="shared" si="3"/>
        <v>3.5264483627204031E-2</v>
      </c>
      <c r="BX8" s="252">
        <f t="shared" si="4"/>
        <v>6.3189143341815093E-2</v>
      </c>
      <c r="BY8" s="252">
        <f t="shared" si="5"/>
        <v>5.4290718038528897E-2</v>
      </c>
      <c r="BZ8" s="252">
        <f t="shared" si="6"/>
        <v>2.9829545454545456E-2</v>
      </c>
      <c r="CA8" s="252">
        <f t="shared" si="7"/>
        <v>2.9626623376623376E-2</v>
      </c>
      <c r="CB8" s="252">
        <v>0.28100000000000003</v>
      </c>
      <c r="CC8" s="252">
        <f t="shared" si="8"/>
        <v>0.45708661417322832</v>
      </c>
      <c r="CD8" s="252">
        <f t="shared" si="9"/>
        <v>0.28967254408060455</v>
      </c>
      <c r="CE8" s="252">
        <f t="shared" si="10"/>
        <v>0.44910941475826971</v>
      </c>
      <c r="CF8" s="252">
        <f t="shared" si="11"/>
        <v>0.44352014010507879</v>
      </c>
      <c r="CG8" s="252">
        <f t="shared" si="12"/>
        <v>0.29119318181818182</v>
      </c>
      <c r="CH8" s="252">
        <f t="shared" si="13"/>
        <v>0.30438311688311687</v>
      </c>
      <c r="CI8" s="253">
        <v>0.33800000000000002</v>
      </c>
      <c r="CJ8" s="253">
        <f t="shared" si="14"/>
        <v>0.59055118110236215</v>
      </c>
      <c r="CK8" s="253">
        <f t="shared" si="15"/>
        <v>0.32493702770780858</v>
      </c>
      <c r="CL8" s="253">
        <f t="shared" si="16"/>
        <v>0.51229855810008484</v>
      </c>
      <c r="CM8" s="253">
        <f t="shared" si="17"/>
        <v>0.4978108581436077</v>
      </c>
      <c r="CN8" s="253">
        <f t="shared" si="18"/>
        <v>0.32102272727272729</v>
      </c>
      <c r="CO8" s="253">
        <f t="shared" si="19"/>
        <v>0.33400974025974028</v>
      </c>
      <c r="CP8" s="253">
        <v>6.4000000000000001E-2</v>
      </c>
      <c r="CQ8" s="253">
        <f t="shared" si="20"/>
        <v>0.14739130434782607</v>
      </c>
      <c r="CR8" s="253">
        <f t="shared" si="20"/>
        <v>3.8781163434903045E-2</v>
      </c>
      <c r="CS8" s="253">
        <f t="shared" si="20"/>
        <v>7.1531445031204996E-2</v>
      </c>
      <c r="CT8" s="253">
        <f t="shared" si="20"/>
        <v>6.0933660933660934E-2</v>
      </c>
      <c r="CU8" s="253">
        <f t="shared" si="20"/>
        <v>3.3653846153846152E-2</v>
      </c>
      <c r="CV8" s="253">
        <f t="shared" si="20"/>
        <v>3.6085022244191793E-2</v>
      </c>
      <c r="CW8" s="253">
        <v>0.19</v>
      </c>
      <c r="CX8" s="253">
        <f t="shared" si="21"/>
        <v>0.40086956521739131</v>
      </c>
      <c r="CY8" s="253">
        <f t="shared" si="21"/>
        <v>0.22022160664819945</v>
      </c>
      <c r="CZ8" s="253">
        <f t="shared" si="21"/>
        <v>0.38358137301968315</v>
      </c>
      <c r="DA8" s="253">
        <f t="shared" si="21"/>
        <v>0.37542997542997542</v>
      </c>
      <c r="DB8" s="253">
        <f t="shared" si="21"/>
        <v>0.20032051282051283</v>
      </c>
      <c r="DC8" s="253">
        <f t="shared" si="21"/>
        <v>0.16757291151754819</v>
      </c>
      <c r="DD8" s="253">
        <v>0.254</v>
      </c>
      <c r="DE8" s="74">
        <f t="shared" si="22"/>
        <v>0.54826086956521736</v>
      </c>
      <c r="DF8" s="74">
        <f t="shared" si="22"/>
        <v>0.25900277008310252</v>
      </c>
      <c r="DG8" s="74">
        <f t="shared" si="22"/>
        <v>0.45511281805088816</v>
      </c>
      <c r="DH8" s="74">
        <f t="shared" si="22"/>
        <v>0.43636363636363634</v>
      </c>
      <c r="DI8" s="74">
        <f t="shared" si="22"/>
        <v>0.23397435897435898</v>
      </c>
      <c r="DJ8" s="74">
        <f t="shared" si="22"/>
        <v>0.20365793376173999</v>
      </c>
      <c r="DK8" s="266">
        <v>34264</v>
      </c>
      <c r="DL8" s="266">
        <v>33260</v>
      </c>
      <c r="DM8" s="267">
        <v>7679</v>
      </c>
      <c r="DN8" s="268">
        <v>31759</v>
      </c>
      <c r="DO8" s="268">
        <v>29266</v>
      </c>
      <c r="DP8" s="268">
        <v>8829</v>
      </c>
      <c r="DQ8" s="268">
        <v>32787</v>
      </c>
      <c r="DR8" s="268">
        <f>SUM(Data[[#This Row],[Fall 18 All Enroll]:[Fall 20 All Enroll]])</f>
        <v>177844</v>
      </c>
      <c r="DS8" s="266">
        <v>33329</v>
      </c>
      <c r="DT8" s="267">
        <v>32430</v>
      </c>
      <c r="DU8" s="267">
        <v>7506</v>
      </c>
      <c r="DV8" s="268">
        <v>30911</v>
      </c>
      <c r="DW8" s="268">
        <v>28493</v>
      </c>
      <c r="DX8" s="268">
        <v>8641</v>
      </c>
      <c r="DY8" s="268">
        <v>31114</v>
      </c>
      <c r="DZ8" s="268">
        <f>SUM(Data[[#This Row],[Fall 18 Non-eCore Enroll]:[Fall 20 Non-eCore Enroll]])</f>
        <v>172424</v>
      </c>
      <c r="EA8" s="269">
        <v>2619</v>
      </c>
      <c r="EB8" s="268">
        <v>3854</v>
      </c>
      <c r="EC8" s="268">
        <v>340</v>
      </c>
      <c r="ED8" s="268">
        <v>2312</v>
      </c>
      <c r="EE8" s="268">
        <v>2071</v>
      </c>
      <c r="EF8" s="268">
        <v>428</v>
      </c>
      <c r="EG8" s="268">
        <v>1306</v>
      </c>
      <c r="EH8" s="268">
        <f>SUM(Data[[#This Row],[Fall 18 LC All Enroll]:[Fall 20 LC All Enroll]])</f>
        <v>12930</v>
      </c>
      <c r="EI8" s="89">
        <f t="shared" si="23"/>
        <v>7.2704167697532671E-2</v>
      </c>
      <c r="EJ8" s="252">
        <v>7.5999999999999998E-2</v>
      </c>
      <c r="EK8" s="252">
        <f t="shared" si="24"/>
        <v>0.1158749248346362</v>
      </c>
      <c r="EL8" s="252">
        <f t="shared" si="24"/>
        <v>4.4276598515431698E-2</v>
      </c>
      <c r="EM8" s="252">
        <f t="shared" si="24"/>
        <v>7.2798261910009765E-2</v>
      </c>
      <c r="EN8" s="259">
        <f t="shared" si="24"/>
        <v>7.076470990227568E-2</v>
      </c>
      <c r="EO8" s="259">
        <f t="shared" si="24"/>
        <v>4.8476611167742663E-2</v>
      </c>
      <c r="EP8" s="259">
        <f t="shared" si="24"/>
        <v>3.9832860584987952E-2</v>
      </c>
      <c r="EQ8" s="269">
        <v>5676</v>
      </c>
      <c r="ER8" s="268">
        <v>10581</v>
      </c>
      <c r="ES8" s="268">
        <v>1410</v>
      </c>
      <c r="ET8" s="268">
        <v>9752</v>
      </c>
      <c r="EU8" s="268">
        <v>8049</v>
      </c>
      <c r="EV8" s="268">
        <v>1393</v>
      </c>
      <c r="EW8" s="268">
        <v>5233</v>
      </c>
      <c r="EX8" s="268">
        <f>SUM(Data[[#This Row],[Fall 18 NC All Enroll]:[Fall 20 NC All Enroll]])</f>
        <v>42094</v>
      </c>
      <c r="EY8" s="89">
        <f t="shared" si="25"/>
        <v>0.23669058275792268</v>
      </c>
      <c r="EZ8" s="252">
        <v>0.16600000000000001</v>
      </c>
      <c r="FA8" s="252">
        <f t="shared" si="26"/>
        <v>0.31812988574864703</v>
      </c>
      <c r="FB8" s="252">
        <f t="shared" si="26"/>
        <v>0.18361765854929027</v>
      </c>
      <c r="FC8" s="252">
        <f t="shared" si="26"/>
        <v>0.30706256494222112</v>
      </c>
      <c r="FD8" s="259">
        <f t="shared" si="26"/>
        <v>0.27502904394177546</v>
      </c>
      <c r="FE8" s="259">
        <f t="shared" si="26"/>
        <v>0.15777551251557367</v>
      </c>
      <c r="FF8" s="259">
        <f t="shared" si="26"/>
        <v>0.15960594137920517</v>
      </c>
      <c r="FG8" s="269">
        <v>8295</v>
      </c>
      <c r="FH8" s="268">
        <v>14435</v>
      </c>
      <c r="FI8" s="268">
        <f t="shared" si="27"/>
        <v>1750</v>
      </c>
      <c r="FJ8" s="268">
        <f t="shared" si="40"/>
        <v>12064</v>
      </c>
      <c r="FK8" s="256">
        <f t="shared" si="40"/>
        <v>10120</v>
      </c>
      <c r="FL8" s="256">
        <f t="shared" si="40"/>
        <v>1821</v>
      </c>
      <c r="FM8" s="256">
        <f t="shared" si="40"/>
        <v>6539</v>
      </c>
      <c r="FN8" s="268">
        <f>SUM(Data[[#This Row],[Fall 18 LC+NC All Enroll]:[Fall 20 LC+NC All Enroll]])</f>
        <v>55024</v>
      </c>
      <c r="FO8" s="89">
        <f t="shared" si="28"/>
        <v>0.30939475045545534</v>
      </c>
      <c r="FP8" s="252">
        <v>0.24199999999999999</v>
      </c>
      <c r="FQ8" s="75">
        <f t="shared" si="29"/>
        <v>0.43400481058328322</v>
      </c>
      <c r="FR8" s="75">
        <f t="shared" si="29"/>
        <v>0.22789425706472197</v>
      </c>
      <c r="FS8" s="75">
        <f t="shared" si="29"/>
        <v>0.37986082685223088</v>
      </c>
      <c r="FT8" s="260">
        <f t="shared" si="29"/>
        <v>0.34579375384405114</v>
      </c>
      <c r="FU8" s="260">
        <f t="shared" si="29"/>
        <v>0.20625212368331636</v>
      </c>
      <c r="FV8" s="260">
        <f t="shared" si="29"/>
        <v>0.19943880196419311</v>
      </c>
      <c r="FW8" s="269">
        <v>2619</v>
      </c>
      <c r="FX8" s="268">
        <v>3854</v>
      </c>
      <c r="FY8" s="268">
        <v>340</v>
      </c>
      <c r="FZ8" s="268">
        <v>2312</v>
      </c>
      <c r="GA8" s="268">
        <v>2071</v>
      </c>
      <c r="GB8" s="268">
        <v>428</v>
      </c>
      <c r="GC8" s="268">
        <v>1306</v>
      </c>
      <c r="GD8" s="268">
        <f>SUM(Data[[#This Row],[Fall 18 LC Non-eCore Enroll]:[Fall 20 LC Non-eCore Enroll]])</f>
        <v>12930</v>
      </c>
      <c r="GE8" s="89">
        <f t="shared" si="30"/>
        <v>7.4989560618011417E-2</v>
      </c>
      <c r="GF8" s="252">
        <v>7.9000000000000001E-2</v>
      </c>
      <c r="GG8" s="252">
        <f t="shared" si="31"/>
        <v>0.11884057971014493</v>
      </c>
      <c r="GH8" s="252">
        <f t="shared" si="31"/>
        <v>4.5297095656807888E-2</v>
      </c>
      <c r="GI8" s="252">
        <f t="shared" si="31"/>
        <v>7.4795380285335319E-2</v>
      </c>
      <c r="GJ8" s="259">
        <f t="shared" si="31"/>
        <v>7.2684519004667811E-2</v>
      </c>
      <c r="GK8" s="259">
        <f t="shared" si="31"/>
        <v>4.9531304247193611E-2</v>
      </c>
      <c r="GL8" s="259">
        <f t="shared" si="31"/>
        <v>4.1974673780291828E-2</v>
      </c>
      <c r="GM8" s="269">
        <v>4751</v>
      </c>
      <c r="GN8" s="268">
        <v>9753</v>
      </c>
      <c r="GO8" s="268">
        <v>1239</v>
      </c>
      <c r="GP8" s="268">
        <v>8960</v>
      </c>
      <c r="GQ8" s="268">
        <v>7276</v>
      </c>
      <c r="GR8" s="268">
        <v>1205</v>
      </c>
      <c r="GS8" s="268">
        <v>3687</v>
      </c>
      <c r="GT8" s="268">
        <f>SUM(Data[[#This Row],[Fall 18 NC Non-eCore Enroll]:[Fall 20 NC Non-eCore Enroll]])</f>
        <v>36871</v>
      </c>
      <c r="GU8" s="89">
        <f t="shared" si="32"/>
        <v>0.21383914072286922</v>
      </c>
      <c r="GV8" s="252">
        <v>0.14299999999999999</v>
      </c>
      <c r="GW8" s="252">
        <f t="shared" si="33"/>
        <v>0.30074005550416283</v>
      </c>
      <c r="GX8" s="252">
        <f t="shared" si="33"/>
        <v>0.1650679456434852</v>
      </c>
      <c r="GY8" s="252">
        <f t="shared" si="33"/>
        <v>0.28986444954870433</v>
      </c>
      <c r="GZ8" s="259">
        <f t="shared" si="33"/>
        <v>0.25536096585126172</v>
      </c>
      <c r="HA8" s="259">
        <f t="shared" si="33"/>
        <v>0.13945145237819698</v>
      </c>
      <c r="HB8" s="259">
        <f t="shared" si="33"/>
        <v>0.11849971074114546</v>
      </c>
      <c r="HC8" s="269">
        <v>7370</v>
      </c>
      <c r="HD8" s="268">
        <v>13607</v>
      </c>
      <c r="HE8" s="269">
        <f t="shared" si="41"/>
        <v>1579</v>
      </c>
      <c r="HF8" s="269">
        <f t="shared" si="41"/>
        <v>11272</v>
      </c>
      <c r="HG8" s="257">
        <f t="shared" si="41"/>
        <v>9347</v>
      </c>
      <c r="HH8" s="257">
        <f t="shared" si="41"/>
        <v>1633</v>
      </c>
      <c r="HI8" s="257">
        <f t="shared" si="41"/>
        <v>4993</v>
      </c>
      <c r="HJ8" s="269">
        <f>SUM(Data[[#This Row],[Fall 18 LC+NC Non-eCore Enroll]:[Fall 20 LC+NC Non-eCore Enroll]])</f>
        <v>49801</v>
      </c>
      <c r="HK8" s="91">
        <f t="shared" si="34"/>
        <v>0.28882870134088062</v>
      </c>
      <c r="HL8" s="268">
        <v>25959</v>
      </c>
      <c r="HM8" s="268">
        <v>18823</v>
      </c>
      <c r="HN8" s="268">
        <v>5927</v>
      </c>
      <c r="HO8" s="82">
        <v>19639</v>
      </c>
      <c r="HP8" s="82">
        <v>19146</v>
      </c>
      <c r="HQ8" s="82">
        <v>7008</v>
      </c>
      <c r="HR8" s="82">
        <v>26121</v>
      </c>
      <c r="HS8" s="256">
        <f>SUM(Data[[#This Row],[Fall 18 Non-eCore None Enroll]:[Fall 20 Non-eCore None Enroll]])</f>
        <v>122623</v>
      </c>
      <c r="HT8" s="89">
        <f t="shared" si="35"/>
        <v>0.71117129865911943</v>
      </c>
      <c r="HU8" s="252">
        <v>0.221</v>
      </c>
      <c r="HV8" s="252">
        <f t="shared" si="36"/>
        <v>0.41958063521430772</v>
      </c>
      <c r="HW8" s="252">
        <f t="shared" si="36"/>
        <v>0.2103650413002931</v>
      </c>
      <c r="HX8" s="252">
        <f t="shared" si="36"/>
        <v>0.36465982983403966</v>
      </c>
      <c r="HY8" s="259">
        <f t="shared" si="36"/>
        <v>0.32804548485592955</v>
      </c>
      <c r="HZ8" s="259">
        <f t="shared" si="36"/>
        <v>0.18898275662539057</v>
      </c>
      <c r="IA8" s="259">
        <f t="shared" si="36"/>
        <v>0.16047438452143731</v>
      </c>
    </row>
    <row r="9" spans="1:235" x14ac:dyDescent="0.25">
      <c r="A9" s="79" t="s">
        <v>166</v>
      </c>
      <c r="B9" s="79" t="s">
        <v>2290</v>
      </c>
      <c r="C9" s="280">
        <f>Data[[#This Row],[Spring 20 No eCore Low-Cost Sections]]+Data[[#This Row],[Summer 20 No eCore Low-Cost Sections]]+Data[[#This Row],[Fall 20 No eCore Low-Cost Sections]]</f>
        <v>212</v>
      </c>
      <c r="D9" s="281">
        <f>Data[[#This Row],[2020 LC Total]]/(Data[[#This Row],[Spring 20 All Sections]]+Data[[#This Row],[Summer 20 All Sections]]+Data[[#This Row],[Fall 20 All Sections]])</f>
        <v>8.1979891724671308E-2</v>
      </c>
      <c r="E9" s="280">
        <f>Data[[#This Row],[Spring 20 No eCore No-Cost Sections]]+Data[[#This Row],[Summer 20 No eCore No-Cost Sections]]+Data[[#This Row],[Fall 20 No eCore No-Cost Sections]]</f>
        <v>437</v>
      </c>
      <c r="F9" s="281">
        <f>Data[[#This Row],[2020 NC Total]]/(Data[[#This Row],[Spring 20 All Sections]]+Data[[#This Row],[Summer 20 All Sections]]+Data[[#This Row],[Fall 20 All Sections]])</f>
        <v>0.16898685228151586</v>
      </c>
      <c r="G9" s="280">
        <f>Data[[#This Row],[2020 LC Total]]+Data[[#This Row],[2020 NC Total]]</f>
        <v>649</v>
      </c>
      <c r="H9" s="281">
        <f>Data[[#This Row],[2020 NC+LC Total]]/(Data[[#This Row],[Spring 20 All Sections]]+Data[[#This Row],[Summer 20 All Sections]]+Data[[#This Row],[Fall 20 All Sections]])</f>
        <v>0.25096674400618718</v>
      </c>
      <c r="I9" s="249">
        <v>1116</v>
      </c>
      <c r="J9" s="250">
        <v>1077</v>
      </c>
      <c r="K9" s="251">
        <v>345</v>
      </c>
      <c r="L9" s="82">
        <v>1169</v>
      </c>
      <c r="M9" s="82">
        <v>1061</v>
      </c>
      <c r="N9" s="82">
        <v>306</v>
      </c>
      <c r="O9" s="82">
        <v>1219</v>
      </c>
      <c r="P9" s="82">
        <f>SUM(Data[[#This Row],[Fall 18 All Sections]:[Fall 20 All Sections]])</f>
        <v>6293</v>
      </c>
      <c r="Q9" s="249">
        <v>236</v>
      </c>
      <c r="R9" s="250">
        <v>221</v>
      </c>
      <c r="S9" s="250">
        <v>87</v>
      </c>
      <c r="T9" s="82">
        <v>243</v>
      </c>
      <c r="U9" s="82">
        <v>219</v>
      </c>
      <c r="V9" s="82">
        <v>74</v>
      </c>
      <c r="W9" s="82">
        <v>346</v>
      </c>
      <c r="X9" s="249">
        <v>880</v>
      </c>
      <c r="Y9" s="250">
        <v>856</v>
      </c>
      <c r="Z9" s="84">
        <v>258</v>
      </c>
      <c r="AA9" s="82">
        <v>926</v>
      </c>
      <c r="AB9" s="82">
        <v>842</v>
      </c>
      <c r="AC9" s="82">
        <v>232</v>
      </c>
      <c r="AD9" s="82">
        <v>873</v>
      </c>
      <c r="AE9" s="249">
        <v>145</v>
      </c>
      <c r="AF9" s="82">
        <v>118</v>
      </c>
      <c r="AG9" s="82">
        <v>26</v>
      </c>
      <c r="AH9" s="82">
        <v>121</v>
      </c>
      <c r="AI9" s="82">
        <v>112</v>
      </c>
      <c r="AJ9" s="82">
        <v>22</v>
      </c>
      <c r="AK9" s="82">
        <v>78</v>
      </c>
      <c r="AL9" s="249">
        <v>475</v>
      </c>
      <c r="AM9" s="82">
        <v>447</v>
      </c>
      <c r="AN9" s="82">
        <v>149</v>
      </c>
      <c r="AO9" s="82">
        <v>452</v>
      </c>
      <c r="AP9" s="82">
        <v>255</v>
      </c>
      <c r="AQ9" s="82">
        <v>61</v>
      </c>
      <c r="AR9" s="82">
        <v>229</v>
      </c>
      <c r="AS9" s="249">
        <v>620</v>
      </c>
      <c r="AT9" s="82">
        <v>565</v>
      </c>
      <c r="AU9" s="82">
        <f t="shared" si="0"/>
        <v>175</v>
      </c>
      <c r="AV9" s="82">
        <f t="shared" si="0"/>
        <v>573</v>
      </c>
      <c r="AW9" s="82">
        <f t="shared" si="0"/>
        <v>367</v>
      </c>
      <c r="AX9" s="82">
        <f t="shared" si="0"/>
        <v>83</v>
      </c>
      <c r="AY9" s="82">
        <f t="shared" si="0"/>
        <v>307</v>
      </c>
      <c r="AZ9" s="249">
        <v>145</v>
      </c>
      <c r="BA9" s="82">
        <v>118</v>
      </c>
      <c r="BB9" s="82">
        <v>26</v>
      </c>
      <c r="BC9" s="82">
        <v>121</v>
      </c>
      <c r="BD9" s="82">
        <v>112</v>
      </c>
      <c r="BE9" s="82">
        <v>22</v>
      </c>
      <c r="BF9" s="82">
        <v>78</v>
      </c>
      <c r="BG9" s="249">
        <v>239</v>
      </c>
      <c r="BH9" s="82">
        <v>226</v>
      </c>
      <c r="BI9" s="82">
        <v>62</v>
      </c>
      <c r="BJ9" s="82">
        <v>210</v>
      </c>
      <c r="BK9" s="82">
        <v>211</v>
      </c>
      <c r="BL9" s="82">
        <v>51</v>
      </c>
      <c r="BM9" s="82">
        <v>175</v>
      </c>
      <c r="BN9" s="249">
        <v>384</v>
      </c>
      <c r="BO9" s="82">
        <v>344</v>
      </c>
      <c r="BP9" s="85">
        <f t="shared" si="1"/>
        <v>88</v>
      </c>
      <c r="BQ9" s="85">
        <f t="shared" si="37"/>
        <v>331</v>
      </c>
      <c r="BR9" s="85">
        <f t="shared" si="38"/>
        <v>323</v>
      </c>
      <c r="BS9" s="85">
        <f t="shared" si="39"/>
        <v>73</v>
      </c>
      <c r="BT9" s="85">
        <f t="shared" si="39"/>
        <v>253</v>
      </c>
      <c r="BU9" s="252">
        <v>0.13</v>
      </c>
      <c r="BV9" s="252">
        <f t="shared" si="2"/>
        <v>0.10956360259981431</v>
      </c>
      <c r="BW9" s="252">
        <f t="shared" si="3"/>
        <v>7.5362318840579715E-2</v>
      </c>
      <c r="BX9" s="252">
        <f t="shared" si="4"/>
        <v>0.10350727117194183</v>
      </c>
      <c r="BY9" s="252">
        <f t="shared" si="5"/>
        <v>0.1055607917059378</v>
      </c>
      <c r="BZ9" s="252">
        <f t="shared" si="6"/>
        <v>7.1895424836601302E-2</v>
      </c>
      <c r="CA9" s="252">
        <f t="shared" si="7"/>
        <v>6.3986874487284656E-2</v>
      </c>
      <c r="CB9" s="252">
        <v>0.42599999999999999</v>
      </c>
      <c r="CC9" s="252">
        <f t="shared" si="8"/>
        <v>0.41504178272980502</v>
      </c>
      <c r="CD9" s="252">
        <f t="shared" si="9"/>
        <v>0.43188405797101448</v>
      </c>
      <c r="CE9" s="252">
        <f t="shared" si="10"/>
        <v>0.38665526090675789</v>
      </c>
      <c r="CF9" s="252">
        <f t="shared" si="11"/>
        <v>0.2403393025447691</v>
      </c>
      <c r="CG9" s="252">
        <f t="shared" si="12"/>
        <v>0.19934640522875818</v>
      </c>
      <c r="CH9" s="252">
        <f t="shared" si="13"/>
        <v>0.1878589007383101</v>
      </c>
      <c r="CI9" s="253">
        <v>0.55600000000000005</v>
      </c>
      <c r="CJ9" s="253">
        <f t="shared" si="14"/>
        <v>0.52460538532961931</v>
      </c>
      <c r="CK9" s="253">
        <f t="shared" si="15"/>
        <v>0.50724637681159424</v>
      </c>
      <c r="CL9" s="253">
        <f t="shared" si="16"/>
        <v>0.49016253207869975</v>
      </c>
      <c r="CM9" s="253">
        <f t="shared" si="17"/>
        <v>0.34590009425070689</v>
      </c>
      <c r="CN9" s="253">
        <f t="shared" si="18"/>
        <v>0.27124183006535946</v>
      </c>
      <c r="CO9" s="253">
        <f t="shared" si="19"/>
        <v>0.25184577522559476</v>
      </c>
      <c r="CP9" s="253">
        <v>0.16500000000000001</v>
      </c>
      <c r="CQ9" s="253">
        <f t="shared" si="20"/>
        <v>0.13785046728971961</v>
      </c>
      <c r="CR9" s="253">
        <f t="shared" si="20"/>
        <v>0.10077519379844961</v>
      </c>
      <c r="CS9" s="253">
        <f t="shared" si="20"/>
        <v>0.13066954643628509</v>
      </c>
      <c r="CT9" s="253">
        <f t="shared" si="20"/>
        <v>0.1330166270783848</v>
      </c>
      <c r="CU9" s="253">
        <f t="shared" si="20"/>
        <v>9.4827586206896547E-2</v>
      </c>
      <c r="CV9" s="253">
        <f t="shared" si="20"/>
        <v>8.9347079037800689E-2</v>
      </c>
      <c r="CW9" s="253">
        <v>0.27200000000000002</v>
      </c>
      <c r="CX9" s="253">
        <f t="shared" si="21"/>
        <v>0.26401869158878505</v>
      </c>
      <c r="CY9" s="253">
        <f t="shared" si="21"/>
        <v>0.24031007751937986</v>
      </c>
      <c r="CZ9" s="253">
        <f t="shared" si="21"/>
        <v>0.22678185745140389</v>
      </c>
      <c r="DA9" s="253">
        <f t="shared" si="21"/>
        <v>0.25059382422802851</v>
      </c>
      <c r="DB9" s="253">
        <f t="shared" si="21"/>
        <v>0.21982758620689655</v>
      </c>
      <c r="DC9" s="253">
        <f t="shared" si="21"/>
        <v>0.20045819014891181</v>
      </c>
      <c r="DD9" s="253">
        <v>0.436</v>
      </c>
      <c r="DE9" s="74">
        <f t="shared" si="22"/>
        <v>0.40186915887850466</v>
      </c>
      <c r="DF9" s="74">
        <f t="shared" si="22"/>
        <v>0.34108527131782945</v>
      </c>
      <c r="DG9" s="74">
        <f t="shared" si="22"/>
        <v>0.35745140388768898</v>
      </c>
      <c r="DH9" s="74">
        <f t="shared" si="22"/>
        <v>0.3836104513064133</v>
      </c>
      <c r="DI9" s="74">
        <f t="shared" si="22"/>
        <v>0.31465517241379309</v>
      </c>
      <c r="DJ9" s="74">
        <f t="shared" si="22"/>
        <v>0.28980526918671251</v>
      </c>
      <c r="DK9" s="266">
        <v>21196</v>
      </c>
      <c r="DL9" s="266">
        <v>18075</v>
      </c>
      <c r="DM9" s="267">
        <v>3796</v>
      </c>
      <c r="DN9" s="268">
        <v>18781</v>
      </c>
      <c r="DO9" s="268">
        <v>16161</v>
      </c>
      <c r="DP9" s="268">
        <v>3690</v>
      </c>
      <c r="DQ9" s="268">
        <v>18317</v>
      </c>
      <c r="DR9" s="268">
        <f>SUM(Data[[#This Row],[Fall 18 All Enroll]:[Fall 20 All Enroll]])</f>
        <v>100016</v>
      </c>
      <c r="DS9" s="266">
        <v>20627</v>
      </c>
      <c r="DT9" s="267">
        <v>17534</v>
      </c>
      <c r="DU9" s="267">
        <v>3501</v>
      </c>
      <c r="DV9" s="268">
        <v>18207</v>
      </c>
      <c r="DW9" s="268">
        <v>15587</v>
      </c>
      <c r="DX9" s="268">
        <v>3461</v>
      </c>
      <c r="DY9" s="268">
        <v>17390</v>
      </c>
      <c r="DZ9" s="268">
        <f>SUM(Data[[#This Row],[Fall 18 Non-eCore Enroll]:[Fall 20 Non-eCore Enroll]])</f>
        <v>96307</v>
      </c>
      <c r="EA9" s="269">
        <v>3599</v>
      </c>
      <c r="EB9" s="268">
        <v>2560</v>
      </c>
      <c r="EC9" s="268">
        <v>446</v>
      </c>
      <c r="ED9" s="268">
        <v>2595</v>
      </c>
      <c r="EE9" s="268">
        <v>2369</v>
      </c>
      <c r="EF9" s="268">
        <v>345</v>
      </c>
      <c r="EG9" s="268">
        <v>1658</v>
      </c>
      <c r="EH9" s="268">
        <f>SUM(Data[[#This Row],[Fall 18 LC All Enroll]:[Fall 20 LC All Enroll]])</f>
        <v>13572</v>
      </c>
      <c r="EI9" s="89">
        <f t="shared" si="23"/>
        <v>0.13569828827387617</v>
      </c>
      <c r="EJ9" s="252">
        <v>0.17</v>
      </c>
      <c r="EK9" s="252">
        <f t="shared" si="24"/>
        <v>0.14163208852005532</v>
      </c>
      <c r="EL9" s="252">
        <f t="shared" si="24"/>
        <v>0.11749209694415173</v>
      </c>
      <c r="EM9" s="252">
        <f t="shared" si="24"/>
        <v>0.13817155636015122</v>
      </c>
      <c r="EN9" s="259">
        <f t="shared" si="24"/>
        <v>0.14658746364705155</v>
      </c>
      <c r="EO9" s="259">
        <f t="shared" si="24"/>
        <v>9.3495934959349589E-2</v>
      </c>
      <c r="EP9" s="259">
        <f t="shared" si="24"/>
        <v>9.051700605994431E-2</v>
      </c>
      <c r="EQ9" s="269">
        <v>6755</v>
      </c>
      <c r="ER9" s="268">
        <v>4902</v>
      </c>
      <c r="ES9" s="268">
        <v>1158</v>
      </c>
      <c r="ET9" s="268">
        <v>4578</v>
      </c>
      <c r="EU9" s="268">
        <v>4009</v>
      </c>
      <c r="EV9" s="268">
        <v>805</v>
      </c>
      <c r="EW9" s="268">
        <v>3698</v>
      </c>
      <c r="EX9" s="268">
        <f>SUM(Data[[#This Row],[Fall 18 NC All Enroll]:[Fall 20 NC All Enroll]])</f>
        <v>25905</v>
      </c>
      <c r="EY9" s="89">
        <f t="shared" si="25"/>
        <v>0.25900855863061911</v>
      </c>
      <c r="EZ9" s="252">
        <v>0.31900000000000001</v>
      </c>
      <c r="FA9" s="252">
        <f t="shared" si="26"/>
        <v>0.27120331950207471</v>
      </c>
      <c r="FB9" s="252">
        <f t="shared" si="26"/>
        <v>0.30505795574288724</v>
      </c>
      <c r="FC9" s="252">
        <f t="shared" si="26"/>
        <v>0.24375698844576965</v>
      </c>
      <c r="FD9" s="259">
        <f t="shared" si="26"/>
        <v>0.24806633252892765</v>
      </c>
      <c r="FE9" s="259">
        <f t="shared" si="26"/>
        <v>0.21815718157181571</v>
      </c>
      <c r="FF9" s="259">
        <f t="shared" si="26"/>
        <v>0.20188895561500245</v>
      </c>
      <c r="FG9" s="269">
        <v>10354</v>
      </c>
      <c r="FH9" s="268">
        <v>7462</v>
      </c>
      <c r="FI9" s="268">
        <f t="shared" si="27"/>
        <v>1604</v>
      </c>
      <c r="FJ9" s="268">
        <f t="shared" si="40"/>
        <v>7173</v>
      </c>
      <c r="FK9" s="256">
        <f t="shared" si="40"/>
        <v>6378</v>
      </c>
      <c r="FL9" s="256">
        <f t="shared" si="40"/>
        <v>1150</v>
      </c>
      <c r="FM9" s="256">
        <f t="shared" si="40"/>
        <v>5356</v>
      </c>
      <c r="FN9" s="268">
        <f>SUM(Data[[#This Row],[Fall 18 LC+NC All Enroll]:[Fall 20 LC+NC All Enroll]])</f>
        <v>39477</v>
      </c>
      <c r="FO9" s="89">
        <f t="shared" si="28"/>
        <v>0.39470684690449526</v>
      </c>
      <c r="FP9" s="252">
        <v>0.48799999999999999</v>
      </c>
      <c r="FQ9" s="75">
        <f t="shared" si="29"/>
        <v>0.41283540802213003</v>
      </c>
      <c r="FR9" s="75">
        <f t="shared" si="29"/>
        <v>0.42255005268703899</v>
      </c>
      <c r="FS9" s="75">
        <f t="shared" si="29"/>
        <v>0.38192854480592087</v>
      </c>
      <c r="FT9" s="260">
        <f t="shared" si="29"/>
        <v>0.39465379617597923</v>
      </c>
      <c r="FU9" s="260">
        <f t="shared" si="29"/>
        <v>0.31165311653116529</v>
      </c>
      <c r="FV9" s="260">
        <f t="shared" si="29"/>
        <v>0.29240596167494676</v>
      </c>
      <c r="FW9" s="269">
        <v>3599</v>
      </c>
      <c r="FX9" s="268">
        <v>2560</v>
      </c>
      <c r="FY9" s="268">
        <v>446</v>
      </c>
      <c r="FZ9" s="268">
        <v>2595</v>
      </c>
      <c r="GA9" s="268">
        <v>2369</v>
      </c>
      <c r="GB9" s="268">
        <v>345</v>
      </c>
      <c r="GC9" s="268">
        <v>1658</v>
      </c>
      <c r="GD9" s="268">
        <f>SUM(Data[[#This Row],[Fall 18 LC Non-eCore Enroll]:[Fall 20 LC Non-eCore Enroll]])</f>
        <v>13572</v>
      </c>
      <c r="GE9" s="89">
        <f t="shared" si="30"/>
        <v>0.14092433571806826</v>
      </c>
      <c r="GF9" s="252">
        <v>0.17399999999999999</v>
      </c>
      <c r="GG9" s="252">
        <f t="shared" si="31"/>
        <v>0.14600205315387246</v>
      </c>
      <c r="GH9" s="252">
        <f t="shared" si="31"/>
        <v>0.12739217366466724</v>
      </c>
      <c r="GI9" s="252">
        <f t="shared" si="31"/>
        <v>0.14252759927500411</v>
      </c>
      <c r="GJ9" s="259">
        <f t="shared" si="31"/>
        <v>0.15198562904984925</v>
      </c>
      <c r="GK9" s="259">
        <f t="shared" si="31"/>
        <v>9.9682172782432826E-2</v>
      </c>
      <c r="GL9" s="259">
        <f t="shared" si="31"/>
        <v>9.5342150661299599E-2</v>
      </c>
      <c r="GM9" s="269">
        <v>6186</v>
      </c>
      <c r="GN9" s="268">
        <v>4361</v>
      </c>
      <c r="GO9" s="268">
        <v>863</v>
      </c>
      <c r="GP9" s="268">
        <v>4005</v>
      </c>
      <c r="GQ9" s="268">
        <v>3851</v>
      </c>
      <c r="GR9" s="268">
        <v>757</v>
      </c>
      <c r="GS9" s="268">
        <v>3519</v>
      </c>
      <c r="GT9" s="268">
        <f>SUM(Data[[#This Row],[Fall 18 NC Non-eCore Enroll]:[Fall 20 NC Non-eCore Enroll]])</f>
        <v>23542</v>
      </c>
      <c r="GU9" s="89">
        <f t="shared" si="32"/>
        <v>0.24444744411101996</v>
      </c>
      <c r="GV9" s="252">
        <v>0.3</v>
      </c>
      <c r="GW9" s="252">
        <f t="shared" si="33"/>
        <v>0.24871677882970231</v>
      </c>
      <c r="GX9" s="252">
        <f t="shared" si="33"/>
        <v>0.24650099971436731</v>
      </c>
      <c r="GY9" s="252">
        <f t="shared" si="33"/>
        <v>0.21997034107760752</v>
      </c>
      <c r="GZ9" s="259">
        <f t="shared" si="33"/>
        <v>0.24706486174376083</v>
      </c>
      <c r="HA9" s="259">
        <f t="shared" si="33"/>
        <v>0.21872291245304826</v>
      </c>
      <c r="HB9" s="259">
        <f t="shared" si="33"/>
        <v>0.20235767682576195</v>
      </c>
      <c r="HC9" s="269">
        <v>9785</v>
      </c>
      <c r="HD9" s="268">
        <v>6921</v>
      </c>
      <c r="HE9" s="269">
        <f t="shared" si="41"/>
        <v>1309</v>
      </c>
      <c r="HF9" s="269">
        <f t="shared" si="41"/>
        <v>6600</v>
      </c>
      <c r="HG9" s="257">
        <f t="shared" si="41"/>
        <v>6220</v>
      </c>
      <c r="HH9" s="257">
        <f t="shared" si="41"/>
        <v>1102</v>
      </c>
      <c r="HI9" s="257">
        <f t="shared" si="41"/>
        <v>5177</v>
      </c>
      <c r="HJ9" s="269">
        <f>SUM(Data[[#This Row],[Fall 18 LC+NC Non-eCore Enroll]:[Fall 20 LC+NC Non-eCore Enroll]])</f>
        <v>37114</v>
      </c>
      <c r="HK9" s="91">
        <f t="shared" si="34"/>
        <v>0.38537177982908821</v>
      </c>
      <c r="HL9" s="268">
        <v>10842</v>
      </c>
      <c r="HM9" s="268">
        <v>10613</v>
      </c>
      <c r="HN9" s="268">
        <v>2192</v>
      </c>
      <c r="HO9" s="82">
        <v>11607</v>
      </c>
      <c r="HP9" s="82">
        <v>9367</v>
      </c>
      <c r="HQ9" s="82">
        <v>2359</v>
      </c>
      <c r="HR9" s="82">
        <v>12213</v>
      </c>
      <c r="HS9" s="256">
        <f>SUM(Data[[#This Row],[Fall 18 Non-eCore None Enroll]:[Fall 20 Non-eCore None Enroll]])</f>
        <v>59193</v>
      </c>
      <c r="HT9" s="89">
        <f t="shared" si="35"/>
        <v>0.61462822017091179</v>
      </c>
      <c r="HU9" s="252">
        <v>0.47399999999999998</v>
      </c>
      <c r="HV9" s="252">
        <f t="shared" si="36"/>
        <v>0.39471883198357477</v>
      </c>
      <c r="HW9" s="252">
        <f t="shared" si="36"/>
        <v>0.37389317337903455</v>
      </c>
      <c r="HX9" s="252">
        <f t="shared" si="36"/>
        <v>0.36249794035261163</v>
      </c>
      <c r="HY9" s="259">
        <f t="shared" si="36"/>
        <v>0.39905049079361005</v>
      </c>
      <c r="HZ9" s="259">
        <f t="shared" si="36"/>
        <v>0.31840508523548106</v>
      </c>
      <c r="IA9" s="259">
        <f t="shared" si="36"/>
        <v>0.29769982748706153</v>
      </c>
    </row>
    <row r="10" spans="1:235" x14ac:dyDescent="0.25">
      <c r="A10" s="79" t="s">
        <v>225</v>
      </c>
      <c r="B10" s="79" t="s">
        <v>2290</v>
      </c>
      <c r="C10" s="280">
        <f>Data[[#This Row],[Spring 20 No eCore Low-Cost Sections]]+Data[[#This Row],[Summer 20 No eCore Low-Cost Sections]]+Data[[#This Row],[Fall 20 No eCore Low-Cost Sections]]</f>
        <v>54</v>
      </c>
      <c r="D10" s="281">
        <f>Data[[#This Row],[2020 LC Total]]/(Data[[#This Row],[Spring 20 All Sections]]+Data[[#This Row],[Summer 20 All Sections]]+Data[[#This Row],[Fall 20 All Sections]])</f>
        <v>4.1284403669724773E-2</v>
      </c>
      <c r="E10" s="280">
        <f>Data[[#This Row],[Spring 20 No eCore No-Cost Sections]]+Data[[#This Row],[Summer 20 No eCore No-Cost Sections]]+Data[[#This Row],[Fall 20 No eCore No-Cost Sections]]</f>
        <v>257</v>
      </c>
      <c r="F10" s="281">
        <f>Data[[#This Row],[2020 NC Total]]/(Data[[#This Row],[Spring 20 All Sections]]+Data[[#This Row],[Summer 20 All Sections]]+Data[[#This Row],[Fall 20 All Sections]])</f>
        <v>0.19648318042813456</v>
      </c>
      <c r="G10" s="280">
        <f>Data[[#This Row],[2020 LC Total]]+Data[[#This Row],[2020 NC Total]]</f>
        <v>311</v>
      </c>
      <c r="H10" s="281">
        <f>Data[[#This Row],[2020 NC+LC Total]]/(Data[[#This Row],[Spring 20 All Sections]]+Data[[#This Row],[Summer 20 All Sections]]+Data[[#This Row],[Fall 20 All Sections]])</f>
        <v>0.23776758409785934</v>
      </c>
      <c r="I10" s="249">
        <v>638</v>
      </c>
      <c r="J10" s="250">
        <v>606</v>
      </c>
      <c r="K10" s="251">
        <v>148</v>
      </c>
      <c r="L10" s="82">
        <v>643</v>
      </c>
      <c r="M10" s="82">
        <v>519</v>
      </c>
      <c r="N10" s="82">
        <v>148</v>
      </c>
      <c r="O10" s="82">
        <v>641</v>
      </c>
      <c r="P10" s="82">
        <f>SUM(Data[[#This Row],[Fall 18 All Sections]:[Fall 20 All Sections]])</f>
        <v>3343</v>
      </c>
      <c r="Q10" s="249">
        <v>39</v>
      </c>
      <c r="R10" s="250">
        <v>66</v>
      </c>
      <c r="S10" s="250">
        <v>14</v>
      </c>
      <c r="T10" s="82">
        <v>50</v>
      </c>
      <c r="U10" s="82">
        <v>30</v>
      </c>
      <c r="V10" s="82">
        <v>7</v>
      </c>
      <c r="W10" s="82">
        <v>57</v>
      </c>
      <c r="X10" s="249">
        <v>599</v>
      </c>
      <c r="Y10" s="250">
        <v>540</v>
      </c>
      <c r="Z10" s="84">
        <v>134</v>
      </c>
      <c r="AA10" s="82">
        <v>593</v>
      </c>
      <c r="AB10" s="82">
        <v>489</v>
      </c>
      <c r="AC10" s="82">
        <v>141</v>
      </c>
      <c r="AD10" s="82">
        <v>584</v>
      </c>
      <c r="AE10" s="265">
        <v>0</v>
      </c>
      <c r="AF10" s="82">
        <v>0</v>
      </c>
      <c r="AG10" s="82">
        <v>0</v>
      </c>
      <c r="AH10" s="82">
        <v>0</v>
      </c>
      <c r="AI10" s="82">
        <v>0</v>
      </c>
      <c r="AJ10" s="82">
        <v>0</v>
      </c>
      <c r="AK10" s="82">
        <v>54</v>
      </c>
      <c r="AL10" s="249">
        <v>24</v>
      </c>
      <c r="AM10" s="82">
        <v>51</v>
      </c>
      <c r="AN10" s="82">
        <v>18</v>
      </c>
      <c r="AO10" s="82">
        <v>86</v>
      </c>
      <c r="AP10" s="82">
        <v>54</v>
      </c>
      <c r="AQ10" s="82">
        <v>10</v>
      </c>
      <c r="AR10" s="82">
        <v>253</v>
      </c>
      <c r="AS10" s="249">
        <v>24</v>
      </c>
      <c r="AT10" s="82">
        <v>51</v>
      </c>
      <c r="AU10" s="82">
        <f t="shared" si="0"/>
        <v>18</v>
      </c>
      <c r="AV10" s="82">
        <f t="shared" si="0"/>
        <v>86</v>
      </c>
      <c r="AW10" s="82">
        <f t="shared" si="0"/>
        <v>54</v>
      </c>
      <c r="AX10" s="82">
        <f t="shared" si="0"/>
        <v>10</v>
      </c>
      <c r="AY10" s="82">
        <f t="shared" si="0"/>
        <v>307</v>
      </c>
      <c r="AZ10" s="265">
        <v>0</v>
      </c>
      <c r="BA10" s="82">
        <v>0</v>
      </c>
      <c r="BB10" s="82">
        <v>0</v>
      </c>
      <c r="BC10" s="82">
        <v>0</v>
      </c>
      <c r="BD10" s="82">
        <v>0</v>
      </c>
      <c r="BE10" s="82">
        <v>0</v>
      </c>
      <c r="BF10" s="82">
        <v>54</v>
      </c>
      <c r="BG10" s="249">
        <v>12</v>
      </c>
      <c r="BH10" s="82">
        <v>17</v>
      </c>
      <c r="BI10" s="82">
        <v>4</v>
      </c>
      <c r="BJ10" s="82">
        <v>37</v>
      </c>
      <c r="BK10" s="82">
        <v>24</v>
      </c>
      <c r="BL10" s="82">
        <v>3</v>
      </c>
      <c r="BM10" s="82">
        <v>230</v>
      </c>
      <c r="BN10" s="249">
        <v>12</v>
      </c>
      <c r="BO10" s="82">
        <v>17</v>
      </c>
      <c r="BP10" s="85">
        <f t="shared" si="1"/>
        <v>4</v>
      </c>
      <c r="BQ10" s="85">
        <f t="shared" si="37"/>
        <v>37</v>
      </c>
      <c r="BR10" s="85">
        <f t="shared" si="38"/>
        <v>24</v>
      </c>
      <c r="BS10" s="85">
        <f t="shared" si="39"/>
        <v>3</v>
      </c>
      <c r="BT10" s="85">
        <f t="shared" si="39"/>
        <v>284</v>
      </c>
      <c r="BU10" s="252">
        <v>0</v>
      </c>
      <c r="BV10" s="252">
        <f t="shared" si="2"/>
        <v>0</v>
      </c>
      <c r="BW10" s="252">
        <f t="shared" si="3"/>
        <v>0</v>
      </c>
      <c r="BX10" s="252">
        <f t="shared" si="4"/>
        <v>0</v>
      </c>
      <c r="BY10" s="252">
        <f t="shared" si="5"/>
        <v>0</v>
      </c>
      <c r="BZ10" s="252">
        <f t="shared" si="6"/>
        <v>0</v>
      </c>
      <c r="CA10" s="252">
        <f t="shared" si="7"/>
        <v>8.4243369734789394E-2</v>
      </c>
      <c r="CB10" s="252">
        <v>3.7999999999999999E-2</v>
      </c>
      <c r="CC10" s="252">
        <f t="shared" si="8"/>
        <v>8.4158415841584164E-2</v>
      </c>
      <c r="CD10" s="252">
        <f t="shared" si="9"/>
        <v>0.12162162162162163</v>
      </c>
      <c r="CE10" s="252">
        <f t="shared" si="10"/>
        <v>0.13374805598755832</v>
      </c>
      <c r="CF10" s="252">
        <f t="shared" si="11"/>
        <v>0.10404624277456648</v>
      </c>
      <c r="CG10" s="252">
        <f t="shared" si="12"/>
        <v>6.7567567567567571E-2</v>
      </c>
      <c r="CH10" s="252">
        <f t="shared" si="13"/>
        <v>0.39469578783151327</v>
      </c>
      <c r="CI10" s="253">
        <v>3.7999999999999999E-2</v>
      </c>
      <c r="CJ10" s="253">
        <f t="shared" si="14"/>
        <v>8.4158415841584164E-2</v>
      </c>
      <c r="CK10" s="253">
        <f t="shared" si="15"/>
        <v>0.12162162162162163</v>
      </c>
      <c r="CL10" s="253">
        <f t="shared" si="16"/>
        <v>0.13374805598755832</v>
      </c>
      <c r="CM10" s="253">
        <f t="shared" si="17"/>
        <v>0.10404624277456648</v>
      </c>
      <c r="CN10" s="253">
        <f t="shared" si="18"/>
        <v>6.7567567567567571E-2</v>
      </c>
      <c r="CO10" s="253">
        <f t="shared" si="19"/>
        <v>0.47893915756630268</v>
      </c>
      <c r="CP10" s="253">
        <v>0</v>
      </c>
      <c r="CQ10" s="253">
        <f t="shared" si="20"/>
        <v>0</v>
      </c>
      <c r="CR10" s="253">
        <f t="shared" si="20"/>
        <v>0</v>
      </c>
      <c r="CS10" s="253">
        <f t="shared" si="20"/>
        <v>0</v>
      </c>
      <c r="CT10" s="253">
        <f t="shared" si="20"/>
        <v>0</v>
      </c>
      <c r="CU10" s="253">
        <f t="shared" si="20"/>
        <v>0</v>
      </c>
      <c r="CV10" s="253">
        <f t="shared" si="20"/>
        <v>9.2465753424657529E-2</v>
      </c>
      <c r="CW10" s="253">
        <v>0.02</v>
      </c>
      <c r="CX10" s="253">
        <f t="shared" si="21"/>
        <v>3.1481481481481478E-2</v>
      </c>
      <c r="CY10" s="253">
        <f t="shared" si="21"/>
        <v>2.9850746268656716E-2</v>
      </c>
      <c r="CZ10" s="253">
        <f t="shared" si="21"/>
        <v>6.2394603709949412E-2</v>
      </c>
      <c r="DA10" s="253">
        <f t="shared" si="21"/>
        <v>4.9079754601226995E-2</v>
      </c>
      <c r="DB10" s="253">
        <f t="shared" si="21"/>
        <v>2.1276595744680851E-2</v>
      </c>
      <c r="DC10" s="253">
        <f t="shared" si="21"/>
        <v>0.39383561643835618</v>
      </c>
      <c r="DD10" s="253">
        <v>0.02</v>
      </c>
      <c r="DE10" s="74">
        <f t="shared" si="22"/>
        <v>3.1481481481481478E-2</v>
      </c>
      <c r="DF10" s="74">
        <f t="shared" si="22"/>
        <v>2.9850746268656716E-2</v>
      </c>
      <c r="DG10" s="74">
        <f t="shared" si="22"/>
        <v>6.2394603709949412E-2</v>
      </c>
      <c r="DH10" s="74">
        <f t="shared" si="22"/>
        <v>4.9079754601226995E-2</v>
      </c>
      <c r="DI10" s="74">
        <f t="shared" si="22"/>
        <v>2.1276595744680851E-2</v>
      </c>
      <c r="DJ10" s="74">
        <f t="shared" si="22"/>
        <v>0.4863013698630137</v>
      </c>
      <c r="DK10" s="266">
        <v>13770</v>
      </c>
      <c r="DL10" s="266">
        <v>11386</v>
      </c>
      <c r="DM10" s="267">
        <v>2138</v>
      </c>
      <c r="DN10" s="268">
        <v>12937</v>
      </c>
      <c r="DO10" s="268">
        <v>9735</v>
      </c>
      <c r="DP10" s="268">
        <v>2217</v>
      </c>
      <c r="DQ10" s="268">
        <v>10139</v>
      </c>
      <c r="DR10" s="268">
        <f>SUM(Data[[#This Row],[Fall 18 All Enroll]:[Fall 20 All Enroll]])</f>
        <v>62322</v>
      </c>
      <c r="DS10" s="266">
        <v>13723</v>
      </c>
      <c r="DT10" s="267">
        <v>11301</v>
      </c>
      <c r="DU10" s="267">
        <v>2117</v>
      </c>
      <c r="DV10" s="268">
        <v>12882</v>
      </c>
      <c r="DW10" s="268">
        <v>9702</v>
      </c>
      <c r="DX10" s="268">
        <v>2209</v>
      </c>
      <c r="DY10" s="268">
        <v>10077</v>
      </c>
      <c r="DZ10" s="268">
        <f>SUM(Data[[#This Row],[Fall 18 Non-eCore Enroll]:[Fall 20 Non-eCore Enroll]])</f>
        <v>62011</v>
      </c>
      <c r="EA10" s="269">
        <v>0</v>
      </c>
      <c r="EB10" s="268">
        <v>0</v>
      </c>
      <c r="EC10" s="268">
        <v>0</v>
      </c>
      <c r="ED10" s="268">
        <v>0</v>
      </c>
      <c r="EE10" s="268">
        <v>0</v>
      </c>
      <c r="EF10" s="268">
        <v>0</v>
      </c>
      <c r="EG10" s="268">
        <v>936</v>
      </c>
      <c r="EH10" s="268">
        <f>SUM(Data[[#This Row],[Fall 18 LC All Enroll]:[Fall 20 LC All Enroll]])</f>
        <v>936</v>
      </c>
      <c r="EI10" s="89">
        <f t="shared" si="23"/>
        <v>1.5018773466833541E-2</v>
      </c>
      <c r="EJ10" s="252">
        <v>0</v>
      </c>
      <c r="EK10" s="252">
        <f t="shared" si="24"/>
        <v>0</v>
      </c>
      <c r="EL10" s="252">
        <f t="shared" si="24"/>
        <v>0</v>
      </c>
      <c r="EM10" s="252">
        <f t="shared" si="24"/>
        <v>0</v>
      </c>
      <c r="EN10" s="259">
        <f t="shared" si="24"/>
        <v>0</v>
      </c>
      <c r="EO10" s="259">
        <f t="shared" si="24"/>
        <v>0</v>
      </c>
      <c r="EP10" s="259">
        <f t="shared" si="24"/>
        <v>9.2316796528257222E-2</v>
      </c>
      <c r="EQ10" s="269">
        <v>309</v>
      </c>
      <c r="ER10" s="268">
        <v>482</v>
      </c>
      <c r="ES10" s="268">
        <v>79</v>
      </c>
      <c r="ET10" s="268">
        <v>1064</v>
      </c>
      <c r="EU10" s="268">
        <v>517</v>
      </c>
      <c r="EV10" s="268">
        <v>46</v>
      </c>
      <c r="EW10" s="268">
        <v>3758</v>
      </c>
      <c r="EX10" s="268">
        <f>SUM(Data[[#This Row],[Fall 18 NC All Enroll]:[Fall 20 NC All Enroll]])</f>
        <v>6255</v>
      </c>
      <c r="EY10" s="89">
        <f t="shared" si="25"/>
        <v>0.10036584191778185</v>
      </c>
      <c r="EZ10" s="252">
        <v>2.1999999999999999E-2</v>
      </c>
      <c r="FA10" s="252">
        <f t="shared" si="26"/>
        <v>4.2332689267521519E-2</v>
      </c>
      <c r="FB10" s="252">
        <f t="shared" si="26"/>
        <v>3.6950420954162767E-2</v>
      </c>
      <c r="FC10" s="252">
        <f t="shared" si="26"/>
        <v>8.2244724433794547E-2</v>
      </c>
      <c r="FD10" s="259">
        <f t="shared" si="26"/>
        <v>5.3107344632768359E-2</v>
      </c>
      <c r="FE10" s="259">
        <f t="shared" si="26"/>
        <v>2.0748759585024808E-2</v>
      </c>
      <c r="FF10" s="259">
        <f t="shared" si="26"/>
        <v>0.37064799289870798</v>
      </c>
      <c r="FG10" s="269">
        <v>309</v>
      </c>
      <c r="FH10" s="268">
        <v>482</v>
      </c>
      <c r="FI10" s="268">
        <f t="shared" si="27"/>
        <v>79</v>
      </c>
      <c r="FJ10" s="268">
        <f t="shared" si="40"/>
        <v>1064</v>
      </c>
      <c r="FK10" s="256">
        <f t="shared" si="40"/>
        <v>517</v>
      </c>
      <c r="FL10" s="256">
        <f t="shared" si="40"/>
        <v>46</v>
      </c>
      <c r="FM10" s="256">
        <f t="shared" si="40"/>
        <v>4694</v>
      </c>
      <c r="FN10" s="268">
        <f>SUM(Data[[#This Row],[Fall 18 LC+NC All Enroll]:[Fall 20 LC+NC All Enroll]])</f>
        <v>7191</v>
      </c>
      <c r="FO10" s="89">
        <f t="shared" si="28"/>
        <v>0.11538461538461539</v>
      </c>
      <c r="FP10" s="252">
        <v>2.1999999999999999E-2</v>
      </c>
      <c r="FQ10" s="75">
        <f t="shared" si="29"/>
        <v>4.2332689267521519E-2</v>
      </c>
      <c r="FR10" s="75">
        <f t="shared" si="29"/>
        <v>3.6950420954162767E-2</v>
      </c>
      <c r="FS10" s="75">
        <f t="shared" si="29"/>
        <v>8.2244724433794547E-2</v>
      </c>
      <c r="FT10" s="260">
        <f t="shared" si="29"/>
        <v>5.3107344632768359E-2</v>
      </c>
      <c r="FU10" s="260">
        <f t="shared" si="29"/>
        <v>2.0748759585024808E-2</v>
      </c>
      <c r="FV10" s="260">
        <f t="shared" si="29"/>
        <v>0.46296478942696517</v>
      </c>
      <c r="FW10" s="269">
        <v>0</v>
      </c>
      <c r="FX10" s="268">
        <v>0</v>
      </c>
      <c r="FY10" s="268">
        <v>0</v>
      </c>
      <c r="FZ10" s="268">
        <v>0</v>
      </c>
      <c r="GA10" s="268">
        <v>0</v>
      </c>
      <c r="GB10" s="268">
        <v>0</v>
      </c>
      <c r="GC10" s="268">
        <v>936</v>
      </c>
      <c r="GD10" s="268">
        <f>SUM(Data[[#This Row],[Fall 18 LC Non-eCore Enroll]:[Fall 20 LC Non-eCore Enroll]])</f>
        <v>936</v>
      </c>
      <c r="GE10" s="89">
        <f t="shared" si="30"/>
        <v>1.5094096208737159E-2</v>
      </c>
      <c r="GF10" s="252">
        <v>0</v>
      </c>
      <c r="GG10" s="252">
        <f t="shared" si="31"/>
        <v>0</v>
      </c>
      <c r="GH10" s="252">
        <f t="shared" si="31"/>
        <v>0</v>
      </c>
      <c r="GI10" s="252">
        <f t="shared" si="31"/>
        <v>0</v>
      </c>
      <c r="GJ10" s="259">
        <f t="shared" si="31"/>
        <v>0</v>
      </c>
      <c r="GK10" s="259">
        <f t="shared" si="31"/>
        <v>0</v>
      </c>
      <c r="GL10" s="259">
        <f t="shared" si="31"/>
        <v>9.2884787139029479E-2</v>
      </c>
      <c r="GM10" s="269">
        <v>294</v>
      </c>
      <c r="GN10" s="268">
        <v>442</v>
      </c>
      <c r="GO10" s="268">
        <v>58</v>
      </c>
      <c r="GP10" s="268">
        <v>1010</v>
      </c>
      <c r="GQ10" s="268">
        <v>484</v>
      </c>
      <c r="GR10" s="268">
        <v>38</v>
      </c>
      <c r="GS10" s="268">
        <v>3734</v>
      </c>
      <c r="GT10" s="268">
        <f>SUM(Data[[#This Row],[Fall 18 NC Non-eCore Enroll]:[Fall 20 NC Non-eCore Enroll]])</f>
        <v>6060</v>
      </c>
      <c r="GU10" s="89">
        <f t="shared" si="32"/>
        <v>9.7724597248875195E-2</v>
      </c>
      <c r="GV10" s="252">
        <v>2.1000000000000001E-2</v>
      </c>
      <c r="GW10" s="252">
        <f t="shared" si="33"/>
        <v>3.9111583045748161E-2</v>
      </c>
      <c r="GX10" s="252">
        <f t="shared" si="33"/>
        <v>2.7397260273972601E-2</v>
      </c>
      <c r="GY10" s="252">
        <f t="shared" si="33"/>
        <v>7.8403974538115193E-2</v>
      </c>
      <c r="GZ10" s="259">
        <f t="shared" si="33"/>
        <v>4.9886621315192746E-2</v>
      </c>
      <c r="HA10" s="259">
        <f t="shared" si="33"/>
        <v>1.7202354006337708E-2</v>
      </c>
      <c r="HB10" s="259">
        <f t="shared" si="33"/>
        <v>0.37054678971916244</v>
      </c>
      <c r="HC10" s="269">
        <v>294</v>
      </c>
      <c r="HD10" s="268">
        <v>442</v>
      </c>
      <c r="HE10" s="269">
        <f t="shared" si="41"/>
        <v>58</v>
      </c>
      <c r="HF10" s="269">
        <f t="shared" si="41"/>
        <v>1010</v>
      </c>
      <c r="HG10" s="257">
        <f t="shared" si="41"/>
        <v>484</v>
      </c>
      <c r="HH10" s="257">
        <f t="shared" si="41"/>
        <v>38</v>
      </c>
      <c r="HI10" s="257">
        <f t="shared" si="41"/>
        <v>4670</v>
      </c>
      <c r="HJ10" s="269">
        <f>SUM(Data[[#This Row],[Fall 18 LC+NC Non-eCore Enroll]:[Fall 20 LC+NC Non-eCore Enroll]])</f>
        <v>6996</v>
      </c>
      <c r="HK10" s="91">
        <f t="shared" si="34"/>
        <v>0.11281869345761236</v>
      </c>
      <c r="HL10" s="268">
        <v>13429</v>
      </c>
      <c r="HM10" s="268">
        <v>10859</v>
      </c>
      <c r="HN10" s="268">
        <v>2059</v>
      </c>
      <c r="HO10" s="82">
        <v>11872</v>
      </c>
      <c r="HP10" s="82">
        <v>9218</v>
      </c>
      <c r="HQ10" s="82">
        <v>2171</v>
      </c>
      <c r="HR10" s="82">
        <v>5407</v>
      </c>
      <c r="HS10" s="256">
        <f>SUM(Data[[#This Row],[Fall 18 Non-eCore None Enroll]:[Fall 20 Non-eCore None Enroll]])</f>
        <v>55015</v>
      </c>
      <c r="HT10" s="89">
        <f t="shared" si="35"/>
        <v>0.88718130654238769</v>
      </c>
      <c r="HU10" s="252">
        <v>2.1000000000000001E-2</v>
      </c>
      <c r="HV10" s="252">
        <f t="shared" si="36"/>
        <v>3.9111583045748161E-2</v>
      </c>
      <c r="HW10" s="252">
        <f t="shared" si="36"/>
        <v>2.7397260273972601E-2</v>
      </c>
      <c r="HX10" s="252">
        <f t="shared" si="36"/>
        <v>7.8403974538115193E-2</v>
      </c>
      <c r="HY10" s="259">
        <f t="shared" si="36"/>
        <v>4.9886621315192746E-2</v>
      </c>
      <c r="HZ10" s="259">
        <f t="shared" si="36"/>
        <v>1.7202354006337708E-2</v>
      </c>
      <c r="IA10" s="259">
        <f t="shared" si="36"/>
        <v>0.46343157685819192</v>
      </c>
    </row>
    <row r="11" spans="1:235" x14ac:dyDescent="0.25">
      <c r="A11" s="79" t="s">
        <v>419</v>
      </c>
      <c r="B11" s="79" t="s">
        <v>2291</v>
      </c>
      <c r="C11" s="280">
        <f>Data[[#This Row],[Spring 20 No eCore Low-Cost Sections]]+Data[[#This Row],[Summer 20 No eCore Low-Cost Sections]]+Data[[#This Row],[Fall 20 No eCore Low-Cost Sections]]</f>
        <v>143</v>
      </c>
      <c r="D11" s="281">
        <f>Data[[#This Row],[2020 LC Total]]/(Data[[#This Row],[Spring 20 All Sections]]+Data[[#This Row],[Summer 20 All Sections]]+Data[[#This Row],[Fall 20 All Sections]])</f>
        <v>6.8783068783068779E-2</v>
      </c>
      <c r="E11" s="280">
        <f>Data[[#This Row],[Spring 20 No eCore No-Cost Sections]]+Data[[#This Row],[Summer 20 No eCore No-Cost Sections]]+Data[[#This Row],[Fall 20 No eCore No-Cost Sections]]</f>
        <v>350</v>
      </c>
      <c r="F11" s="281">
        <f>Data[[#This Row],[2020 NC Total]]/(Data[[#This Row],[Spring 20 All Sections]]+Data[[#This Row],[Summer 20 All Sections]]+Data[[#This Row],[Fall 20 All Sections]])</f>
        <v>0.16835016835016836</v>
      </c>
      <c r="G11" s="280">
        <f>Data[[#This Row],[2020 LC Total]]+Data[[#This Row],[2020 NC Total]]</f>
        <v>493</v>
      </c>
      <c r="H11" s="281">
        <f>Data[[#This Row],[2020 NC+LC Total]]/(Data[[#This Row],[Spring 20 All Sections]]+Data[[#This Row],[Summer 20 All Sections]]+Data[[#This Row],[Fall 20 All Sections]])</f>
        <v>0.23713323713323714</v>
      </c>
      <c r="I11" s="249">
        <v>949</v>
      </c>
      <c r="J11" s="250">
        <v>915</v>
      </c>
      <c r="K11" s="251">
        <v>325</v>
      </c>
      <c r="L11" s="82">
        <v>869</v>
      </c>
      <c r="M11" s="82">
        <v>868</v>
      </c>
      <c r="N11" s="82">
        <v>285</v>
      </c>
      <c r="O11" s="82">
        <v>926</v>
      </c>
      <c r="P11" s="82">
        <f>SUM(Data[[#This Row],[Fall 18 All Sections]:[Fall 20 All Sections]])</f>
        <v>5137</v>
      </c>
      <c r="Q11" s="249">
        <v>140</v>
      </c>
      <c r="R11" s="250">
        <v>152</v>
      </c>
      <c r="S11" s="250">
        <v>65</v>
      </c>
      <c r="T11" s="82">
        <v>116</v>
      </c>
      <c r="U11" s="82">
        <v>139</v>
      </c>
      <c r="V11" s="82">
        <v>57</v>
      </c>
      <c r="W11" s="82">
        <v>178</v>
      </c>
      <c r="X11" s="249">
        <v>809</v>
      </c>
      <c r="Y11" s="250">
        <v>763</v>
      </c>
      <c r="Z11" s="84">
        <v>260</v>
      </c>
      <c r="AA11" s="82">
        <v>753</v>
      </c>
      <c r="AB11" s="82">
        <v>729</v>
      </c>
      <c r="AC11" s="82">
        <v>228</v>
      </c>
      <c r="AD11" s="82">
        <v>748</v>
      </c>
      <c r="AE11" s="249">
        <v>45</v>
      </c>
      <c r="AF11" s="82">
        <v>21</v>
      </c>
      <c r="AG11" s="82">
        <v>31</v>
      </c>
      <c r="AH11" s="82">
        <v>95</v>
      </c>
      <c r="AI11" s="82">
        <v>40</v>
      </c>
      <c r="AJ11" s="82">
        <v>25</v>
      </c>
      <c r="AK11" s="82">
        <v>79</v>
      </c>
      <c r="AL11" s="249">
        <v>311</v>
      </c>
      <c r="AM11" s="82">
        <v>191</v>
      </c>
      <c r="AN11" s="82">
        <v>114</v>
      </c>
      <c r="AO11" s="82">
        <v>304</v>
      </c>
      <c r="AP11" s="82">
        <v>243</v>
      </c>
      <c r="AQ11" s="82">
        <v>101</v>
      </c>
      <c r="AR11" s="82">
        <v>377</v>
      </c>
      <c r="AS11" s="249">
        <v>356</v>
      </c>
      <c r="AT11" s="82">
        <v>212</v>
      </c>
      <c r="AU11" s="82">
        <f t="shared" si="0"/>
        <v>145</v>
      </c>
      <c r="AV11" s="82">
        <f t="shared" si="0"/>
        <v>399</v>
      </c>
      <c r="AW11" s="82">
        <f t="shared" si="0"/>
        <v>283</v>
      </c>
      <c r="AX11" s="82">
        <f t="shared" si="0"/>
        <v>126</v>
      </c>
      <c r="AY11" s="82">
        <f t="shared" si="0"/>
        <v>456</v>
      </c>
      <c r="AZ11" s="249">
        <v>45</v>
      </c>
      <c r="BA11" s="82">
        <v>16</v>
      </c>
      <c r="BB11" s="82">
        <v>31</v>
      </c>
      <c r="BC11" s="82">
        <v>95</v>
      </c>
      <c r="BD11" s="82">
        <v>39</v>
      </c>
      <c r="BE11" s="82">
        <v>25</v>
      </c>
      <c r="BF11" s="82">
        <v>79</v>
      </c>
      <c r="BG11" s="249">
        <v>171</v>
      </c>
      <c r="BH11" s="82">
        <v>49</v>
      </c>
      <c r="BI11" s="82">
        <v>52</v>
      </c>
      <c r="BJ11" s="82">
        <v>188</v>
      </c>
      <c r="BK11" s="82">
        <v>106</v>
      </c>
      <c r="BL11" s="82">
        <v>44</v>
      </c>
      <c r="BM11" s="82">
        <v>200</v>
      </c>
      <c r="BN11" s="249">
        <v>216</v>
      </c>
      <c r="BO11" s="82">
        <v>65</v>
      </c>
      <c r="BP11" s="85">
        <f t="shared" si="1"/>
        <v>83</v>
      </c>
      <c r="BQ11" s="85">
        <f t="shared" si="37"/>
        <v>283</v>
      </c>
      <c r="BR11" s="85">
        <f t="shared" si="38"/>
        <v>145</v>
      </c>
      <c r="BS11" s="85">
        <f t="shared" si="39"/>
        <v>69</v>
      </c>
      <c r="BT11" s="85">
        <f t="shared" si="39"/>
        <v>279</v>
      </c>
      <c r="BU11" s="252">
        <v>4.7E-2</v>
      </c>
      <c r="BV11" s="252">
        <f t="shared" si="2"/>
        <v>2.2950819672131147E-2</v>
      </c>
      <c r="BW11" s="252">
        <f t="shared" si="3"/>
        <v>9.5384615384615387E-2</v>
      </c>
      <c r="BX11" s="252">
        <f t="shared" si="4"/>
        <v>0.1093210586881473</v>
      </c>
      <c r="BY11" s="252">
        <f t="shared" si="5"/>
        <v>4.6082949308755762E-2</v>
      </c>
      <c r="BZ11" s="252">
        <f t="shared" si="6"/>
        <v>8.771929824561403E-2</v>
      </c>
      <c r="CA11" s="252">
        <f t="shared" si="7"/>
        <v>8.5313174946004322E-2</v>
      </c>
      <c r="CB11" s="252">
        <v>0.32800000000000001</v>
      </c>
      <c r="CC11" s="252">
        <f t="shared" si="8"/>
        <v>0.20874316939890711</v>
      </c>
      <c r="CD11" s="252">
        <f t="shared" si="9"/>
        <v>0.35076923076923078</v>
      </c>
      <c r="CE11" s="252">
        <f t="shared" si="10"/>
        <v>0.34982738780207134</v>
      </c>
      <c r="CF11" s="252">
        <f t="shared" si="11"/>
        <v>0.27995391705069123</v>
      </c>
      <c r="CG11" s="252">
        <f t="shared" si="12"/>
        <v>0.35438596491228069</v>
      </c>
      <c r="CH11" s="252">
        <f t="shared" si="13"/>
        <v>0.40712742980561556</v>
      </c>
      <c r="CI11" s="253">
        <v>0.375</v>
      </c>
      <c r="CJ11" s="253">
        <f t="shared" si="14"/>
        <v>0.23169398907103825</v>
      </c>
      <c r="CK11" s="253">
        <f t="shared" si="15"/>
        <v>0.44615384615384618</v>
      </c>
      <c r="CL11" s="253">
        <f t="shared" si="16"/>
        <v>0.45914844649021863</v>
      </c>
      <c r="CM11" s="253">
        <f t="shared" si="17"/>
        <v>0.32603686635944701</v>
      </c>
      <c r="CN11" s="253">
        <f t="shared" si="18"/>
        <v>0.44210526315789472</v>
      </c>
      <c r="CO11" s="253">
        <f t="shared" si="19"/>
        <v>0.49244060475161988</v>
      </c>
      <c r="CP11" s="253">
        <v>5.6000000000000001E-2</v>
      </c>
      <c r="CQ11" s="253">
        <f t="shared" si="20"/>
        <v>2.0969855832241154E-2</v>
      </c>
      <c r="CR11" s="253">
        <f t="shared" si="20"/>
        <v>0.11923076923076924</v>
      </c>
      <c r="CS11" s="253">
        <f t="shared" si="20"/>
        <v>0.12616201859229748</v>
      </c>
      <c r="CT11" s="253">
        <f t="shared" si="20"/>
        <v>5.3497942386831275E-2</v>
      </c>
      <c r="CU11" s="253">
        <f t="shared" si="20"/>
        <v>0.10964912280701754</v>
      </c>
      <c r="CV11" s="253">
        <f t="shared" si="20"/>
        <v>0.10561497326203209</v>
      </c>
      <c r="CW11" s="253">
        <v>0.21099999999999999</v>
      </c>
      <c r="CX11" s="253">
        <f t="shared" si="21"/>
        <v>6.4220183486238536E-2</v>
      </c>
      <c r="CY11" s="253">
        <f t="shared" si="21"/>
        <v>0.2</v>
      </c>
      <c r="CZ11" s="253">
        <f t="shared" si="21"/>
        <v>0.24966799468791501</v>
      </c>
      <c r="DA11" s="253">
        <f t="shared" si="21"/>
        <v>0.14540466392318244</v>
      </c>
      <c r="DB11" s="253">
        <f t="shared" si="21"/>
        <v>0.19298245614035087</v>
      </c>
      <c r="DC11" s="253">
        <f t="shared" si="21"/>
        <v>0.26737967914438504</v>
      </c>
      <c r="DD11" s="253">
        <v>0.26700000000000002</v>
      </c>
      <c r="DE11" s="74">
        <f t="shared" si="22"/>
        <v>8.5190039318479682E-2</v>
      </c>
      <c r="DF11" s="74">
        <f t="shared" si="22"/>
        <v>0.31923076923076921</v>
      </c>
      <c r="DG11" s="74">
        <f t="shared" si="22"/>
        <v>0.37583001328021248</v>
      </c>
      <c r="DH11" s="74">
        <f t="shared" si="22"/>
        <v>0.19890260631001372</v>
      </c>
      <c r="DI11" s="74">
        <f t="shared" si="22"/>
        <v>0.30263157894736842</v>
      </c>
      <c r="DJ11" s="74">
        <f t="shared" si="22"/>
        <v>0.3729946524064171</v>
      </c>
      <c r="DK11" s="266">
        <v>16022</v>
      </c>
      <c r="DL11" s="266">
        <v>13645</v>
      </c>
      <c r="DM11" s="267">
        <v>2811</v>
      </c>
      <c r="DN11" s="268">
        <v>13829</v>
      </c>
      <c r="DO11" s="268">
        <v>12526</v>
      </c>
      <c r="DP11" s="268">
        <v>2808</v>
      </c>
      <c r="DQ11" s="268">
        <v>14594</v>
      </c>
      <c r="DR11" s="268">
        <f>SUM(Data[[#This Row],[Fall 18 All Enroll]:[Fall 20 All Enroll]])</f>
        <v>76235</v>
      </c>
      <c r="DS11" s="266">
        <v>15794</v>
      </c>
      <c r="DT11" s="267">
        <v>13373</v>
      </c>
      <c r="DU11" s="267">
        <v>2637</v>
      </c>
      <c r="DV11" s="268">
        <v>13570</v>
      </c>
      <c r="DW11" s="268">
        <v>12243</v>
      </c>
      <c r="DX11" s="268">
        <v>2684</v>
      </c>
      <c r="DY11" s="268">
        <v>13983</v>
      </c>
      <c r="DZ11" s="268">
        <f>SUM(Data[[#This Row],[Fall 18 Non-eCore Enroll]:[Fall 20 Non-eCore Enroll]])</f>
        <v>74284</v>
      </c>
      <c r="EA11" s="269">
        <v>1228</v>
      </c>
      <c r="EB11" s="268">
        <v>360</v>
      </c>
      <c r="EC11" s="268">
        <v>358</v>
      </c>
      <c r="ED11" s="268">
        <v>2170</v>
      </c>
      <c r="EE11" s="268">
        <v>822</v>
      </c>
      <c r="EF11" s="268">
        <v>298</v>
      </c>
      <c r="EG11" s="268">
        <v>1854</v>
      </c>
      <c r="EH11" s="268">
        <f>SUM(Data[[#This Row],[Fall 18 LC All Enroll]:[Fall 20 LC All Enroll]])</f>
        <v>7090</v>
      </c>
      <c r="EI11" s="89">
        <f t="shared" si="23"/>
        <v>9.3001902013510857E-2</v>
      </c>
      <c r="EJ11" s="252">
        <v>7.6999999999999999E-2</v>
      </c>
      <c r="EK11" s="252">
        <f t="shared" si="24"/>
        <v>2.6383290582630999E-2</v>
      </c>
      <c r="EL11" s="252">
        <f t="shared" si="24"/>
        <v>0.12735681252223408</v>
      </c>
      <c r="EM11" s="252">
        <f t="shared" si="24"/>
        <v>0.15691662448477836</v>
      </c>
      <c r="EN11" s="259">
        <f t="shared" si="24"/>
        <v>6.5623503113523871E-2</v>
      </c>
      <c r="EO11" s="259">
        <f t="shared" si="24"/>
        <v>0.10612535612535613</v>
      </c>
      <c r="EP11" s="259">
        <f t="shared" si="24"/>
        <v>0.12703850897629163</v>
      </c>
      <c r="EQ11" s="269">
        <v>2744</v>
      </c>
      <c r="ER11" s="268">
        <v>729</v>
      </c>
      <c r="ES11" s="268">
        <v>438</v>
      </c>
      <c r="ET11" s="268">
        <v>3006</v>
      </c>
      <c r="EU11" s="268">
        <v>1427</v>
      </c>
      <c r="EV11" s="268">
        <v>508</v>
      </c>
      <c r="EW11" s="268">
        <v>3842</v>
      </c>
      <c r="EX11" s="268">
        <f>SUM(Data[[#This Row],[Fall 18 NC All Enroll]:[Fall 20 NC All Enroll]])</f>
        <v>12694</v>
      </c>
      <c r="EY11" s="89">
        <f t="shared" si="25"/>
        <v>0.16651144487440153</v>
      </c>
      <c r="EZ11" s="252">
        <v>0.17100000000000001</v>
      </c>
      <c r="FA11" s="252">
        <f t="shared" si="26"/>
        <v>5.3426163429827776E-2</v>
      </c>
      <c r="FB11" s="252">
        <f t="shared" si="26"/>
        <v>0.15581643543223053</v>
      </c>
      <c r="FC11" s="252">
        <f t="shared" si="26"/>
        <v>0.21736929640610311</v>
      </c>
      <c r="FD11" s="259">
        <f t="shared" si="26"/>
        <v>0.11392304007664059</v>
      </c>
      <c r="FE11" s="259">
        <f t="shared" si="26"/>
        <v>0.18091168091168092</v>
      </c>
      <c r="FF11" s="259">
        <f t="shared" si="26"/>
        <v>0.26325887350966148</v>
      </c>
      <c r="FG11" s="269">
        <v>3972</v>
      </c>
      <c r="FH11" s="268">
        <v>1089</v>
      </c>
      <c r="FI11" s="268">
        <f t="shared" si="27"/>
        <v>796</v>
      </c>
      <c r="FJ11" s="268">
        <f t="shared" si="40"/>
        <v>5176</v>
      </c>
      <c r="FK11" s="256">
        <f t="shared" si="40"/>
        <v>2249</v>
      </c>
      <c r="FL11" s="256">
        <f t="shared" si="40"/>
        <v>806</v>
      </c>
      <c r="FM11" s="256">
        <f t="shared" si="40"/>
        <v>5696</v>
      </c>
      <c r="FN11" s="268">
        <f>SUM(Data[[#This Row],[Fall 18 LC+NC All Enroll]:[Fall 20 LC+NC All Enroll]])</f>
        <v>19784</v>
      </c>
      <c r="FO11" s="89">
        <f t="shared" si="28"/>
        <v>0.25951334688791239</v>
      </c>
      <c r="FP11" s="252">
        <v>0.248</v>
      </c>
      <c r="FQ11" s="75">
        <f t="shared" si="29"/>
        <v>7.9809454012458772E-2</v>
      </c>
      <c r="FR11" s="75">
        <f t="shared" si="29"/>
        <v>0.28317324795446458</v>
      </c>
      <c r="FS11" s="75">
        <f t="shared" si="29"/>
        <v>0.37428592089088147</v>
      </c>
      <c r="FT11" s="260">
        <f t="shared" si="29"/>
        <v>0.17954654319016447</v>
      </c>
      <c r="FU11" s="260">
        <f t="shared" si="29"/>
        <v>0.28703703703703703</v>
      </c>
      <c r="FV11" s="260">
        <f t="shared" si="29"/>
        <v>0.39029738248595314</v>
      </c>
      <c r="FW11" s="269">
        <v>1228</v>
      </c>
      <c r="FX11" s="268">
        <v>347</v>
      </c>
      <c r="FY11" s="268">
        <v>358</v>
      </c>
      <c r="FZ11" s="268">
        <v>2170</v>
      </c>
      <c r="GA11" s="268">
        <v>821</v>
      </c>
      <c r="GB11" s="268">
        <v>298</v>
      </c>
      <c r="GC11" s="268">
        <v>1854</v>
      </c>
      <c r="GD11" s="268">
        <f>SUM(Data[[#This Row],[Fall 18 LC Non-eCore Enroll]:[Fall 20 LC Non-eCore Enroll]])</f>
        <v>7076</v>
      </c>
      <c r="GE11" s="89">
        <f t="shared" si="30"/>
        <v>9.52560443702547E-2</v>
      </c>
      <c r="GF11" s="252">
        <v>7.8E-2</v>
      </c>
      <c r="GG11" s="252">
        <f t="shared" si="31"/>
        <v>2.5947805279294099E-2</v>
      </c>
      <c r="GH11" s="252">
        <f t="shared" si="31"/>
        <v>0.13576033371255214</v>
      </c>
      <c r="GI11" s="252">
        <f t="shared" si="31"/>
        <v>0.15991156963890935</v>
      </c>
      <c r="GJ11" s="259">
        <f t="shared" si="31"/>
        <v>6.705872743608593E-2</v>
      </c>
      <c r="GK11" s="259">
        <f t="shared" si="31"/>
        <v>0.11102831594634874</v>
      </c>
      <c r="GL11" s="259">
        <f t="shared" si="31"/>
        <v>0.13258957305299293</v>
      </c>
      <c r="GM11" s="269">
        <v>2516</v>
      </c>
      <c r="GN11" s="268">
        <v>477</v>
      </c>
      <c r="GO11" s="268">
        <v>280</v>
      </c>
      <c r="GP11" s="268">
        <v>2747</v>
      </c>
      <c r="GQ11" s="268">
        <v>1146</v>
      </c>
      <c r="GR11" s="268">
        <v>384</v>
      </c>
      <c r="GS11" s="268">
        <v>3232</v>
      </c>
      <c r="GT11" s="268">
        <f>SUM(Data[[#This Row],[Fall 18 NC Non-eCore Enroll]:[Fall 20 NC Non-eCore Enroll]])</f>
        <v>10782</v>
      </c>
      <c r="GU11" s="89">
        <f t="shared" si="32"/>
        <v>0.14514565720747402</v>
      </c>
      <c r="GV11" s="252">
        <v>0.159</v>
      </c>
      <c r="GW11" s="252">
        <f t="shared" si="33"/>
        <v>3.5668885066925893E-2</v>
      </c>
      <c r="GX11" s="252">
        <f t="shared" si="33"/>
        <v>0.1061812665908229</v>
      </c>
      <c r="GY11" s="252">
        <f t="shared" si="33"/>
        <v>0.20243183492999264</v>
      </c>
      <c r="GZ11" s="259">
        <f t="shared" si="33"/>
        <v>9.3604508698848315E-2</v>
      </c>
      <c r="HA11" s="259">
        <f t="shared" si="33"/>
        <v>0.14307004470938897</v>
      </c>
      <c r="HB11" s="259">
        <f t="shared" si="33"/>
        <v>0.23113781019809768</v>
      </c>
      <c r="HC11" s="269">
        <v>3744</v>
      </c>
      <c r="HD11" s="268">
        <v>824</v>
      </c>
      <c r="HE11" s="269">
        <f t="shared" si="41"/>
        <v>638</v>
      </c>
      <c r="HF11" s="269">
        <f t="shared" si="41"/>
        <v>4917</v>
      </c>
      <c r="HG11" s="257">
        <f t="shared" si="41"/>
        <v>1967</v>
      </c>
      <c r="HH11" s="257">
        <f t="shared" si="41"/>
        <v>682</v>
      </c>
      <c r="HI11" s="257">
        <f t="shared" si="41"/>
        <v>5086</v>
      </c>
      <c r="HJ11" s="269">
        <f>SUM(Data[[#This Row],[Fall 18 LC+NC Non-eCore Enroll]:[Fall 20 LC+NC Non-eCore Enroll]])</f>
        <v>17858</v>
      </c>
      <c r="HK11" s="91">
        <f t="shared" si="34"/>
        <v>0.24040170157772872</v>
      </c>
      <c r="HL11" s="268">
        <v>12050</v>
      </c>
      <c r="HM11" s="268">
        <v>12549</v>
      </c>
      <c r="HN11" s="268">
        <v>1999</v>
      </c>
      <c r="HO11" s="82">
        <v>8653</v>
      </c>
      <c r="HP11" s="82">
        <v>10276</v>
      </c>
      <c r="HQ11" s="82">
        <v>2002</v>
      </c>
      <c r="HR11" s="82">
        <v>8897</v>
      </c>
      <c r="HS11" s="256">
        <f>SUM(Data[[#This Row],[Fall 18 Non-eCore None Enroll]:[Fall 20 Non-eCore None Enroll]])</f>
        <v>56426</v>
      </c>
      <c r="HT11" s="89">
        <f t="shared" si="35"/>
        <v>0.75959829842227133</v>
      </c>
      <c r="HU11" s="252">
        <v>0.23699999999999999</v>
      </c>
      <c r="HV11" s="252">
        <f t="shared" si="36"/>
        <v>6.1616690346219999E-2</v>
      </c>
      <c r="HW11" s="252">
        <f t="shared" si="36"/>
        <v>0.24194160030337505</v>
      </c>
      <c r="HX11" s="252">
        <f t="shared" si="36"/>
        <v>0.36234340456890202</v>
      </c>
      <c r="HY11" s="259">
        <f t="shared" si="36"/>
        <v>0.16066323613493425</v>
      </c>
      <c r="HZ11" s="259">
        <f t="shared" si="36"/>
        <v>0.25409836065573771</v>
      </c>
      <c r="IA11" s="259">
        <f t="shared" si="36"/>
        <v>0.36372738325109061</v>
      </c>
    </row>
    <row r="12" spans="1:235" x14ac:dyDescent="0.25">
      <c r="A12" s="79" t="s">
        <v>2000</v>
      </c>
      <c r="B12" s="79" t="s">
        <v>2291</v>
      </c>
      <c r="C12" s="280">
        <f>Data[[#This Row],[Spring 20 No eCore Low-Cost Sections]]+Data[[#This Row],[Summer 20 No eCore Low-Cost Sections]]+Data[[#This Row],[Fall 20 No eCore Low-Cost Sections]]</f>
        <v>230</v>
      </c>
      <c r="D12" s="281">
        <f>Data[[#This Row],[2020 LC Total]]/(Data[[#This Row],[Spring 20 All Sections]]+Data[[#This Row],[Summer 20 All Sections]]+Data[[#This Row],[Fall 20 All Sections]])</f>
        <v>5.4092191909689558E-2</v>
      </c>
      <c r="E12" s="280">
        <f>Data[[#This Row],[Spring 20 No eCore No-Cost Sections]]+Data[[#This Row],[Summer 20 No eCore No-Cost Sections]]+Data[[#This Row],[Fall 20 No eCore No-Cost Sections]]</f>
        <v>482</v>
      </c>
      <c r="F12" s="281">
        <f>Data[[#This Row],[2020 NC Total]]/(Data[[#This Row],[Spring 20 All Sections]]+Data[[#This Row],[Summer 20 All Sections]]+Data[[#This Row],[Fall 20 All Sections]])</f>
        <v>0.11335841956726246</v>
      </c>
      <c r="G12" s="280">
        <f>Data[[#This Row],[2020 LC Total]]+Data[[#This Row],[2020 NC Total]]</f>
        <v>712</v>
      </c>
      <c r="H12" s="281">
        <f>Data[[#This Row],[2020 NC+LC Total]]/(Data[[#This Row],[Spring 20 All Sections]]+Data[[#This Row],[Summer 20 All Sections]]+Data[[#This Row],[Fall 20 All Sections]])</f>
        <v>0.16745061147695203</v>
      </c>
      <c r="I12" s="249">
        <v>1777</v>
      </c>
      <c r="J12" s="250">
        <v>1995</v>
      </c>
      <c r="K12" s="251">
        <v>798</v>
      </c>
      <c r="L12" s="82">
        <v>1790</v>
      </c>
      <c r="M12" s="82">
        <v>1748</v>
      </c>
      <c r="N12" s="82">
        <v>622</v>
      </c>
      <c r="O12" s="82">
        <v>1882</v>
      </c>
      <c r="P12" s="82">
        <f>SUM(Data[[#This Row],[Fall 18 All Sections]:[Fall 20 All Sections]])</f>
        <v>10612</v>
      </c>
      <c r="Q12" s="265">
        <v>0</v>
      </c>
      <c r="R12" s="265">
        <v>0</v>
      </c>
      <c r="S12" s="270">
        <v>0</v>
      </c>
      <c r="T12" s="82">
        <v>0</v>
      </c>
      <c r="U12" s="82">
        <v>0</v>
      </c>
      <c r="V12" s="82">
        <v>0</v>
      </c>
      <c r="W12" s="82">
        <v>0</v>
      </c>
      <c r="X12" s="249">
        <v>1777</v>
      </c>
      <c r="Y12" s="250">
        <v>1995</v>
      </c>
      <c r="Z12" s="84">
        <v>798</v>
      </c>
      <c r="AA12" s="82">
        <v>1790</v>
      </c>
      <c r="AB12" s="82">
        <v>1748</v>
      </c>
      <c r="AC12" s="82">
        <v>622</v>
      </c>
      <c r="AD12" s="82">
        <v>1882</v>
      </c>
      <c r="AE12" s="249">
        <v>62</v>
      </c>
      <c r="AF12" s="82">
        <v>99</v>
      </c>
      <c r="AG12" s="82">
        <v>15</v>
      </c>
      <c r="AH12" s="82">
        <v>132</v>
      </c>
      <c r="AI12" s="82">
        <v>121</v>
      </c>
      <c r="AJ12" s="82">
        <v>13</v>
      </c>
      <c r="AK12" s="82">
        <v>96</v>
      </c>
      <c r="AL12" s="249">
        <v>150</v>
      </c>
      <c r="AM12" s="82">
        <v>261</v>
      </c>
      <c r="AN12" s="82">
        <v>49</v>
      </c>
      <c r="AO12" s="82">
        <v>225</v>
      </c>
      <c r="AP12" s="82">
        <v>278</v>
      </c>
      <c r="AQ12" s="82">
        <v>18</v>
      </c>
      <c r="AR12" s="82">
        <v>186</v>
      </c>
      <c r="AS12" s="249">
        <v>212</v>
      </c>
      <c r="AT12" s="82">
        <v>360</v>
      </c>
      <c r="AU12" s="82">
        <f t="shared" si="0"/>
        <v>64</v>
      </c>
      <c r="AV12" s="82">
        <f t="shared" si="0"/>
        <v>357</v>
      </c>
      <c r="AW12" s="82">
        <f t="shared" si="0"/>
        <v>399</v>
      </c>
      <c r="AX12" s="82">
        <f t="shared" si="0"/>
        <v>31</v>
      </c>
      <c r="AY12" s="82">
        <f t="shared" si="0"/>
        <v>282</v>
      </c>
      <c r="AZ12" s="249">
        <v>62</v>
      </c>
      <c r="BA12" s="82">
        <v>99</v>
      </c>
      <c r="BB12" s="82">
        <v>15</v>
      </c>
      <c r="BC12" s="82">
        <v>132</v>
      </c>
      <c r="BD12" s="82">
        <v>121</v>
      </c>
      <c r="BE12" s="82">
        <v>13</v>
      </c>
      <c r="BF12" s="82">
        <v>96</v>
      </c>
      <c r="BG12" s="249">
        <v>150</v>
      </c>
      <c r="BH12" s="82">
        <v>261</v>
      </c>
      <c r="BI12" s="82">
        <v>49</v>
      </c>
      <c r="BJ12" s="82">
        <v>225</v>
      </c>
      <c r="BK12" s="82">
        <v>278</v>
      </c>
      <c r="BL12" s="82">
        <v>18</v>
      </c>
      <c r="BM12" s="82">
        <v>186</v>
      </c>
      <c r="BN12" s="249">
        <v>212</v>
      </c>
      <c r="BO12" s="82">
        <v>360</v>
      </c>
      <c r="BP12" s="85">
        <f t="shared" si="1"/>
        <v>64</v>
      </c>
      <c r="BQ12" s="85">
        <f t="shared" si="37"/>
        <v>357</v>
      </c>
      <c r="BR12" s="85">
        <f t="shared" si="38"/>
        <v>399</v>
      </c>
      <c r="BS12" s="85">
        <f t="shared" si="39"/>
        <v>31</v>
      </c>
      <c r="BT12" s="85">
        <f t="shared" si="39"/>
        <v>282</v>
      </c>
      <c r="BU12" s="252">
        <v>3.5000000000000003E-2</v>
      </c>
      <c r="BV12" s="252">
        <f t="shared" si="2"/>
        <v>4.9624060150375938E-2</v>
      </c>
      <c r="BW12" s="252">
        <f t="shared" si="3"/>
        <v>1.8796992481203006E-2</v>
      </c>
      <c r="BX12" s="252">
        <f t="shared" si="4"/>
        <v>7.3743016759776542E-2</v>
      </c>
      <c r="BY12" s="252">
        <f t="shared" si="5"/>
        <v>6.9221967963386727E-2</v>
      </c>
      <c r="BZ12" s="252">
        <f t="shared" si="6"/>
        <v>2.0900321543408359E-2</v>
      </c>
      <c r="CA12" s="252">
        <f t="shared" si="7"/>
        <v>5.1009564293304992E-2</v>
      </c>
      <c r="CB12" s="252">
        <v>8.4000000000000005E-2</v>
      </c>
      <c r="CC12" s="252">
        <f t="shared" si="8"/>
        <v>0.13082706766917293</v>
      </c>
      <c r="CD12" s="252">
        <f t="shared" si="9"/>
        <v>6.1403508771929821E-2</v>
      </c>
      <c r="CE12" s="252">
        <f t="shared" si="10"/>
        <v>0.12569832402234637</v>
      </c>
      <c r="CF12" s="252">
        <f t="shared" si="11"/>
        <v>0.15903890160183065</v>
      </c>
      <c r="CG12" s="252">
        <f t="shared" si="12"/>
        <v>2.8938906752411574E-2</v>
      </c>
      <c r="CH12" s="252">
        <f t="shared" si="13"/>
        <v>9.8831030818278431E-2</v>
      </c>
      <c r="CI12" s="253">
        <v>0.11899999999999999</v>
      </c>
      <c r="CJ12" s="253">
        <f t="shared" si="14"/>
        <v>0.18045112781954886</v>
      </c>
      <c r="CK12" s="253">
        <f t="shared" si="15"/>
        <v>8.0200501253132828E-2</v>
      </c>
      <c r="CL12" s="253">
        <f t="shared" si="16"/>
        <v>0.19944134078212292</v>
      </c>
      <c r="CM12" s="253">
        <f t="shared" si="17"/>
        <v>0.22826086956521738</v>
      </c>
      <c r="CN12" s="253">
        <f t="shared" si="18"/>
        <v>4.9839228295819937E-2</v>
      </c>
      <c r="CO12" s="253">
        <f t="shared" si="19"/>
        <v>0.14984059511158343</v>
      </c>
      <c r="CP12" s="253">
        <v>3.5000000000000003E-2</v>
      </c>
      <c r="CQ12" s="253">
        <f t="shared" si="20"/>
        <v>4.9624060150375938E-2</v>
      </c>
      <c r="CR12" s="253">
        <f t="shared" si="20"/>
        <v>1.8796992481203006E-2</v>
      </c>
      <c r="CS12" s="253">
        <f t="shared" si="20"/>
        <v>7.3743016759776542E-2</v>
      </c>
      <c r="CT12" s="253">
        <f t="shared" si="20"/>
        <v>6.9221967963386727E-2</v>
      </c>
      <c r="CU12" s="253">
        <f t="shared" si="20"/>
        <v>2.0900321543408359E-2</v>
      </c>
      <c r="CV12" s="253">
        <f t="shared" si="20"/>
        <v>5.1009564293304992E-2</v>
      </c>
      <c r="CW12" s="253">
        <v>8.4000000000000005E-2</v>
      </c>
      <c r="CX12" s="253">
        <f t="shared" si="21"/>
        <v>0.13082706766917293</v>
      </c>
      <c r="CY12" s="253">
        <f t="shared" si="21"/>
        <v>6.1403508771929821E-2</v>
      </c>
      <c r="CZ12" s="253">
        <f t="shared" si="21"/>
        <v>0.12569832402234637</v>
      </c>
      <c r="DA12" s="253">
        <f t="shared" si="21"/>
        <v>0.15903890160183065</v>
      </c>
      <c r="DB12" s="253">
        <f t="shared" si="21"/>
        <v>2.8938906752411574E-2</v>
      </c>
      <c r="DC12" s="253">
        <f t="shared" si="21"/>
        <v>9.8831030818278431E-2</v>
      </c>
      <c r="DD12" s="253">
        <v>0.11899999999999999</v>
      </c>
      <c r="DE12" s="74">
        <f t="shared" si="22"/>
        <v>0.18045112781954886</v>
      </c>
      <c r="DF12" s="74">
        <f t="shared" si="22"/>
        <v>8.0200501253132828E-2</v>
      </c>
      <c r="DG12" s="74">
        <f t="shared" si="22"/>
        <v>0.19944134078212292</v>
      </c>
      <c r="DH12" s="74">
        <f t="shared" si="22"/>
        <v>0.22826086956521738</v>
      </c>
      <c r="DI12" s="74">
        <f t="shared" si="22"/>
        <v>4.9839228295819937E-2</v>
      </c>
      <c r="DJ12" s="74">
        <f t="shared" si="22"/>
        <v>0.14984059511158343</v>
      </c>
      <c r="DK12" s="266">
        <v>32770</v>
      </c>
      <c r="DL12" s="266">
        <v>31655</v>
      </c>
      <c r="DM12" s="267">
        <v>8917</v>
      </c>
      <c r="DN12" s="268">
        <v>32998</v>
      </c>
      <c r="DO12" s="268">
        <v>29263</v>
      </c>
      <c r="DP12" s="268">
        <v>8505</v>
      </c>
      <c r="DQ12" s="268">
        <v>31709</v>
      </c>
      <c r="DR12" s="268">
        <f>SUM(Data[[#This Row],[Fall 18 All Enroll]:[Fall 20 All Enroll]])</f>
        <v>175817</v>
      </c>
      <c r="DS12" s="266">
        <v>32770</v>
      </c>
      <c r="DT12" s="267">
        <v>31655</v>
      </c>
      <c r="DU12" s="267">
        <v>8917</v>
      </c>
      <c r="DV12" s="268">
        <v>32998</v>
      </c>
      <c r="DW12" s="268">
        <v>29263</v>
      </c>
      <c r="DX12" s="268">
        <v>8505</v>
      </c>
      <c r="DY12" s="268">
        <v>31709</v>
      </c>
      <c r="DZ12" s="268">
        <f>SUM(Data[[#This Row],[Fall 18 Non-eCore Enroll]:[Fall 20 Non-eCore Enroll]])</f>
        <v>175817</v>
      </c>
      <c r="EA12" s="269">
        <v>1109</v>
      </c>
      <c r="EB12" s="268">
        <v>1482</v>
      </c>
      <c r="EC12" s="268">
        <v>202</v>
      </c>
      <c r="ED12" s="268">
        <v>2403</v>
      </c>
      <c r="EE12" s="268">
        <v>2260</v>
      </c>
      <c r="EF12" s="268">
        <v>179</v>
      </c>
      <c r="EG12" s="268">
        <v>1300</v>
      </c>
      <c r="EH12" s="268">
        <f>SUM(Data[[#This Row],[Fall 18 LC All Enroll]:[Fall 20 LC All Enroll]])</f>
        <v>8935</v>
      </c>
      <c r="EI12" s="89">
        <f t="shared" si="23"/>
        <v>5.0819886586621316E-2</v>
      </c>
      <c r="EJ12" s="252">
        <v>3.4000000000000002E-2</v>
      </c>
      <c r="EK12" s="252">
        <f t="shared" si="24"/>
        <v>4.6817248459958931E-2</v>
      </c>
      <c r="EL12" s="252">
        <f t="shared" si="24"/>
        <v>2.2653358752943817E-2</v>
      </c>
      <c r="EM12" s="252">
        <f t="shared" si="24"/>
        <v>7.2822595308806595E-2</v>
      </c>
      <c r="EN12" s="259">
        <f t="shared" si="24"/>
        <v>7.7230632539384211E-2</v>
      </c>
      <c r="EO12" s="259">
        <f t="shared" si="24"/>
        <v>2.1046443268665491E-2</v>
      </c>
      <c r="EP12" s="259">
        <f t="shared" si="24"/>
        <v>4.0997823961651268E-2</v>
      </c>
      <c r="EQ12" s="269">
        <v>2891</v>
      </c>
      <c r="ER12" s="268">
        <v>3743</v>
      </c>
      <c r="ES12" s="268">
        <v>818</v>
      </c>
      <c r="ET12" s="268">
        <v>2954</v>
      </c>
      <c r="EU12" s="268">
        <v>3688</v>
      </c>
      <c r="EV12" s="268">
        <v>185</v>
      </c>
      <c r="EW12" s="268">
        <v>2899</v>
      </c>
      <c r="EX12" s="268">
        <f>SUM(Data[[#This Row],[Fall 18 NC All Enroll]:[Fall 20 NC All Enroll]])</f>
        <v>17178</v>
      </c>
      <c r="EY12" s="89">
        <f t="shared" si="25"/>
        <v>9.7703862538889866E-2</v>
      </c>
      <c r="EZ12" s="252">
        <v>8.7999999999999995E-2</v>
      </c>
      <c r="FA12" s="252">
        <f t="shared" si="26"/>
        <v>0.11824356341810141</v>
      </c>
      <c r="FB12" s="252">
        <f t="shared" si="26"/>
        <v>9.1734888415386337E-2</v>
      </c>
      <c r="FC12" s="252">
        <f t="shared" si="26"/>
        <v>8.9520577004666951E-2</v>
      </c>
      <c r="FD12" s="259">
        <f t="shared" si="26"/>
        <v>0.12602945699347298</v>
      </c>
      <c r="FE12" s="259">
        <f t="shared" si="26"/>
        <v>2.1751910640799531E-2</v>
      </c>
      <c r="FF12" s="259">
        <f t="shared" si="26"/>
        <v>9.1425147434482323E-2</v>
      </c>
      <c r="FG12" s="269">
        <v>4000</v>
      </c>
      <c r="FH12" s="268">
        <v>5225</v>
      </c>
      <c r="FI12" s="268">
        <f t="shared" si="27"/>
        <v>1020</v>
      </c>
      <c r="FJ12" s="268">
        <f t="shared" si="40"/>
        <v>5357</v>
      </c>
      <c r="FK12" s="256">
        <f t="shared" si="40"/>
        <v>5948</v>
      </c>
      <c r="FL12" s="256">
        <f t="shared" si="40"/>
        <v>364</v>
      </c>
      <c r="FM12" s="256">
        <f t="shared" si="40"/>
        <v>4199</v>
      </c>
      <c r="FN12" s="268">
        <f>SUM(Data[[#This Row],[Fall 18 LC+NC All Enroll]:[Fall 20 LC+NC All Enroll]])</f>
        <v>26113</v>
      </c>
      <c r="FO12" s="89">
        <f t="shared" si="28"/>
        <v>0.1485237491255112</v>
      </c>
      <c r="FP12" s="252">
        <v>0.122</v>
      </c>
      <c r="FQ12" s="75">
        <f t="shared" si="29"/>
        <v>0.16506081187806035</v>
      </c>
      <c r="FR12" s="75">
        <f t="shared" si="29"/>
        <v>0.11438824716833015</v>
      </c>
      <c r="FS12" s="75">
        <f t="shared" si="29"/>
        <v>0.16234317231347353</v>
      </c>
      <c r="FT12" s="260">
        <f t="shared" si="29"/>
        <v>0.20326008953285718</v>
      </c>
      <c r="FU12" s="260">
        <f t="shared" si="29"/>
        <v>4.2798353909465021E-2</v>
      </c>
      <c r="FV12" s="260">
        <f t="shared" si="29"/>
        <v>0.1324229713961336</v>
      </c>
      <c r="FW12" s="269">
        <v>1109</v>
      </c>
      <c r="FX12" s="268">
        <v>1482</v>
      </c>
      <c r="FY12" s="268">
        <v>202</v>
      </c>
      <c r="FZ12" s="268">
        <v>2403</v>
      </c>
      <c r="GA12" s="268">
        <v>2260</v>
      </c>
      <c r="GB12" s="268">
        <v>179</v>
      </c>
      <c r="GC12" s="268">
        <v>1300</v>
      </c>
      <c r="GD12" s="268">
        <f>SUM(Data[[#This Row],[Fall 18 LC Non-eCore Enroll]:[Fall 20 LC Non-eCore Enroll]])</f>
        <v>8935</v>
      </c>
      <c r="GE12" s="89">
        <f t="shared" si="30"/>
        <v>5.0819886586621316E-2</v>
      </c>
      <c r="GF12" s="252">
        <v>3.4000000000000002E-2</v>
      </c>
      <c r="GG12" s="252">
        <f t="shared" si="31"/>
        <v>4.6817248459958931E-2</v>
      </c>
      <c r="GH12" s="252">
        <f t="shared" si="31"/>
        <v>2.2653358752943817E-2</v>
      </c>
      <c r="GI12" s="252">
        <f t="shared" si="31"/>
        <v>7.2822595308806595E-2</v>
      </c>
      <c r="GJ12" s="259">
        <f t="shared" si="31"/>
        <v>7.7230632539384211E-2</v>
      </c>
      <c r="GK12" s="259">
        <f t="shared" si="31"/>
        <v>2.1046443268665491E-2</v>
      </c>
      <c r="GL12" s="259">
        <f t="shared" si="31"/>
        <v>4.0997823961651268E-2</v>
      </c>
      <c r="GM12" s="269">
        <v>2891</v>
      </c>
      <c r="GN12" s="268">
        <v>3743</v>
      </c>
      <c r="GO12" s="268">
        <v>818</v>
      </c>
      <c r="GP12" s="268">
        <v>2954</v>
      </c>
      <c r="GQ12" s="268">
        <v>3688</v>
      </c>
      <c r="GR12" s="268">
        <v>185</v>
      </c>
      <c r="GS12" s="268">
        <v>2899</v>
      </c>
      <c r="GT12" s="268">
        <f>SUM(Data[[#This Row],[Fall 18 NC Non-eCore Enroll]:[Fall 20 NC Non-eCore Enroll]])</f>
        <v>17178</v>
      </c>
      <c r="GU12" s="89">
        <f t="shared" si="32"/>
        <v>9.7703862538889866E-2</v>
      </c>
      <c r="GV12" s="252">
        <v>8.7999999999999995E-2</v>
      </c>
      <c r="GW12" s="252">
        <f t="shared" si="33"/>
        <v>0.11824356341810141</v>
      </c>
      <c r="GX12" s="252">
        <f t="shared" si="33"/>
        <v>9.1734888415386337E-2</v>
      </c>
      <c r="GY12" s="252">
        <f t="shared" si="33"/>
        <v>8.9520577004666951E-2</v>
      </c>
      <c r="GZ12" s="259">
        <f t="shared" si="33"/>
        <v>0.12602945699347298</v>
      </c>
      <c r="HA12" s="259">
        <f t="shared" si="33"/>
        <v>2.1751910640799531E-2</v>
      </c>
      <c r="HB12" s="259">
        <f t="shared" si="33"/>
        <v>9.1425147434482323E-2</v>
      </c>
      <c r="HC12" s="269">
        <v>4000</v>
      </c>
      <c r="HD12" s="268">
        <v>5225</v>
      </c>
      <c r="HE12" s="269">
        <f t="shared" si="41"/>
        <v>1020</v>
      </c>
      <c r="HF12" s="269">
        <f t="shared" si="41"/>
        <v>5357</v>
      </c>
      <c r="HG12" s="257">
        <f t="shared" si="41"/>
        <v>5948</v>
      </c>
      <c r="HH12" s="257">
        <f t="shared" si="41"/>
        <v>364</v>
      </c>
      <c r="HI12" s="257">
        <f t="shared" si="41"/>
        <v>4199</v>
      </c>
      <c r="HJ12" s="269">
        <f>SUM(Data[[#This Row],[Fall 18 LC+NC Non-eCore Enroll]:[Fall 20 LC+NC Non-eCore Enroll]])</f>
        <v>26113</v>
      </c>
      <c r="HK12" s="91">
        <f t="shared" si="34"/>
        <v>0.1485237491255112</v>
      </c>
      <c r="HL12" s="268">
        <v>28770</v>
      </c>
      <c r="HM12" s="268">
        <v>26430</v>
      </c>
      <c r="HN12" s="268">
        <v>7897</v>
      </c>
      <c r="HO12" s="82">
        <v>27641</v>
      </c>
      <c r="HP12" s="82">
        <v>23315</v>
      </c>
      <c r="HQ12" s="82">
        <v>8141</v>
      </c>
      <c r="HR12" s="82">
        <v>27510</v>
      </c>
      <c r="HS12" s="256">
        <f>SUM(Data[[#This Row],[Fall 18 Non-eCore None Enroll]:[Fall 20 Non-eCore None Enroll]])</f>
        <v>149704</v>
      </c>
      <c r="HT12" s="89">
        <f t="shared" si="35"/>
        <v>0.85147625087448886</v>
      </c>
      <c r="HU12" s="252">
        <v>0.122</v>
      </c>
      <c r="HV12" s="252">
        <f t="shared" si="36"/>
        <v>0.16506081187806035</v>
      </c>
      <c r="HW12" s="252">
        <f t="shared" si="36"/>
        <v>0.11438824716833015</v>
      </c>
      <c r="HX12" s="252">
        <f t="shared" si="36"/>
        <v>0.16234317231347353</v>
      </c>
      <c r="HY12" s="259">
        <f t="shared" si="36"/>
        <v>0.20326008953285718</v>
      </c>
      <c r="HZ12" s="259">
        <f t="shared" si="36"/>
        <v>4.2798353909465021E-2</v>
      </c>
      <c r="IA12" s="259">
        <f t="shared" si="36"/>
        <v>0.1324229713961336</v>
      </c>
    </row>
    <row r="13" spans="1:235" x14ac:dyDescent="0.25">
      <c r="A13" s="79" t="s">
        <v>499</v>
      </c>
      <c r="B13" s="79" t="s">
        <v>2290</v>
      </c>
      <c r="C13" s="280">
        <f>Data[[#This Row],[Spring 20 No eCore Low-Cost Sections]]+Data[[#This Row],[Summer 20 No eCore Low-Cost Sections]]+Data[[#This Row],[Fall 20 No eCore Low-Cost Sections]]</f>
        <v>227</v>
      </c>
      <c r="D13" s="281">
        <f>Data[[#This Row],[2020 LC Total]]/(Data[[#This Row],[Spring 20 All Sections]]+Data[[#This Row],[Summer 20 All Sections]]+Data[[#This Row],[Fall 20 All Sections]])</f>
        <v>4.353663214422708E-2</v>
      </c>
      <c r="E13" s="280">
        <f>Data[[#This Row],[Spring 20 No eCore No-Cost Sections]]+Data[[#This Row],[Summer 20 No eCore No-Cost Sections]]+Data[[#This Row],[Fall 20 No eCore No-Cost Sections]]</f>
        <v>546</v>
      </c>
      <c r="F13" s="281">
        <f>Data[[#This Row],[2020 NC Total]]/(Data[[#This Row],[Spring 20 All Sections]]+Data[[#This Row],[Summer 20 All Sections]]+Data[[#This Row],[Fall 20 All Sections]])</f>
        <v>0.1047180667433832</v>
      </c>
      <c r="G13" s="280">
        <f>Data[[#This Row],[2020 LC Total]]+Data[[#This Row],[2020 NC Total]]</f>
        <v>773</v>
      </c>
      <c r="H13" s="281">
        <f>Data[[#This Row],[2020 NC+LC Total]]/(Data[[#This Row],[Spring 20 All Sections]]+Data[[#This Row],[Summer 20 All Sections]]+Data[[#This Row],[Fall 20 All Sections]])</f>
        <v>0.14825469888761028</v>
      </c>
      <c r="I13" s="249">
        <v>2765</v>
      </c>
      <c r="J13" s="250">
        <v>2316</v>
      </c>
      <c r="K13" s="251">
        <v>606</v>
      </c>
      <c r="L13" s="82">
        <v>2676</v>
      </c>
      <c r="M13" s="82">
        <v>2286</v>
      </c>
      <c r="N13" s="82">
        <v>547</v>
      </c>
      <c r="O13" s="82">
        <v>2381</v>
      </c>
      <c r="P13" s="82">
        <f>SUM(Data[[#This Row],[Fall 18 All Sections]:[Fall 20 All Sections]])</f>
        <v>13577</v>
      </c>
      <c r="Q13" s="249">
        <v>251</v>
      </c>
      <c r="R13" s="250">
        <v>242</v>
      </c>
      <c r="S13" s="250">
        <v>98</v>
      </c>
      <c r="T13" s="82">
        <v>281</v>
      </c>
      <c r="U13" s="82">
        <v>258</v>
      </c>
      <c r="V13" s="82">
        <v>82</v>
      </c>
      <c r="W13" s="82">
        <v>335</v>
      </c>
      <c r="X13" s="249">
        <v>2514</v>
      </c>
      <c r="Y13" s="250">
        <v>2074</v>
      </c>
      <c r="Z13" s="84">
        <v>508</v>
      </c>
      <c r="AA13" s="82">
        <v>2395</v>
      </c>
      <c r="AB13" s="82">
        <v>2028</v>
      </c>
      <c r="AC13" s="82">
        <v>465</v>
      </c>
      <c r="AD13" s="82">
        <v>2046</v>
      </c>
      <c r="AE13" s="249">
        <v>8</v>
      </c>
      <c r="AF13" s="82">
        <v>18</v>
      </c>
      <c r="AG13" s="82">
        <v>17</v>
      </c>
      <c r="AH13" s="82">
        <v>71</v>
      </c>
      <c r="AI13" s="82">
        <v>130</v>
      </c>
      <c r="AJ13" s="82">
        <v>4</v>
      </c>
      <c r="AK13" s="82">
        <v>93</v>
      </c>
      <c r="AL13" s="249">
        <v>330</v>
      </c>
      <c r="AM13" s="82">
        <v>424</v>
      </c>
      <c r="AN13" s="82">
        <v>182</v>
      </c>
      <c r="AO13" s="82">
        <v>566</v>
      </c>
      <c r="AP13" s="82">
        <v>526</v>
      </c>
      <c r="AQ13" s="82">
        <v>137</v>
      </c>
      <c r="AR13" s="82">
        <v>554</v>
      </c>
      <c r="AS13" s="249">
        <v>338</v>
      </c>
      <c r="AT13" s="82">
        <v>442</v>
      </c>
      <c r="AU13" s="82">
        <f t="shared" si="0"/>
        <v>199</v>
      </c>
      <c r="AV13" s="82">
        <f t="shared" si="0"/>
        <v>637</v>
      </c>
      <c r="AW13" s="82">
        <f t="shared" si="0"/>
        <v>656</v>
      </c>
      <c r="AX13" s="82">
        <f t="shared" si="0"/>
        <v>141</v>
      </c>
      <c r="AY13" s="82">
        <f t="shared" si="0"/>
        <v>647</v>
      </c>
      <c r="AZ13" s="249">
        <v>8</v>
      </c>
      <c r="BA13" s="82">
        <v>18</v>
      </c>
      <c r="BB13" s="82">
        <v>17</v>
      </c>
      <c r="BC13" s="82">
        <v>71</v>
      </c>
      <c r="BD13" s="82">
        <v>130</v>
      </c>
      <c r="BE13" s="82">
        <v>4</v>
      </c>
      <c r="BF13" s="82">
        <v>93</v>
      </c>
      <c r="BG13" s="249">
        <v>80</v>
      </c>
      <c r="BH13" s="82">
        <v>185</v>
      </c>
      <c r="BI13" s="82">
        <v>84</v>
      </c>
      <c r="BJ13" s="82">
        <v>285</v>
      </c>
      <c r="BK13" s="82">
        <v>270</v>
      </c>
      <c r="BL13" s="82">
        <v>55</v>
      </c>
      <c r="BM13" s="82">
        <v>221</v>
      </c>
      <c r="BN13" s="249">
        <v>88</v>
      </c>
      <c r="BO13" s="82">
        <v>203</v>
      </c>
      <c r="BP13" s="85">
        <f t="shared" si="1"/>
        <v>101</v>
      </c>
      <c r="BQ13" s="85">
        <f t="shared" si="37"/>
        <v>356</v>
      </c>
      <c r="BR13" s="85">
        <f t="shared" si="38"/>
        <v>400</v>
      </c>
      <c r="BS13" s="85">
        <f t="shared" si="39"/>
        <v>59</v>
      </c>
      <c r="BT13" s="85">
        <f t="shared" si="39"/>
        <v>314</v>
      </c>
      <c r="BU13" s="252">
        <v>3.0000000000000001E-3</v>
      </c>
      <c r="BV13" s="252">
        <f t="shared" si="2"/>
        <v>7.7720207253886009E-3</v>
      </c>
      <c r="BW13" s="252">
        <f t="shared" si="3"/>
        <v>2.8052805280528052E-2</v>
      </c>
      <c r="BX13" s="252">
        <f t="shared" si="4"/>
        <v>2.6532137518684603E-2</v>
      </c>
      <c r="BY13" s="252">
        <f t="shared" si="5"/>
        <v>5.6867891513560802E-2</v>
      </c>
      <c r="BZ13" s="252">
        <f t="shared" si="6"/>
        <v>7.3126142595978062E-3</v>
      </c>
      <c r="CA13" s="252">
        <f t="shared" si="7"/>
        <v>3.9059218815623686E-2</v>
      </c>
      <c r="CB13" s="252">
        <v>0.11899999999999999</v>
      </c>
      <c r="CC13" s="252">
        <f t="shared" si="8"/>
        <v>0.18307426597582038</v>
      </c>
      <c r="CD13" s="252">
        <f t="shared" si="9"/>
        <v>0.30033003300330036</v>
      </c>
      <c r="CE13" s="252">
        <f t="shared" si="10"/>
        <v>0.21150971599402094</v>
      </c>
      <c r="CF13" s="252">
        <f t="shared" si="11"/>
        <v>0.23009623797025372</v>
      </c>
      <c r="CG13" s="252">
        <f t="shared" si="12"/>
        <v>0.25045703839122485</v>
      </c>
      <c r="CH13" s="252">
        <f t="shared" si="13"/>
        <v>0.23267534649307015</v>
      </c>
      <c r="CI13" s="253">
        <v>0.122</v>
      </c>
      <c r="CJ13" s="253">
        <f t="shared" si="14"/>
        <v>0.19084628670120898</v>
      </c>
      <c r="CK13" s="253">
        <f t="shared" si="15"/>
        <v>0.32838283828382836</v>
      </c>
      <c r="CL13" s="253">
        <f t="shared" si="16"/>
        <v>0.23804185351270554</v>
      </c>
      <c r="CM13" s="253">
        <f t="shared" si="17"/>
        <v>0.2869641294838145</v>
      </c>
      <c r="CN13" s="253">
        <f t="shared" si="18"/>
        <v>0.25776965265082269</v>
      </c>
      <c r="CO13" s="253">
        <f t="shared" si="19"/>
        <v>0.27173456530869383</v>
      </c>
      <c r="CP13" s="253">
        <v>3.0000000000000001E-3</v>
      </c>
      <c r="CQ13" s="253">
        <f t="shared" si="20"/>
        <v>8.6788813886210219E-3</v>
      </c>
      <c r="CR13" s="253">
        <f t="shared" si="20"/>
        <v>3.3464566929133861E-2</v>
      </c>
      <c r="CS13" s="253">
        <f t="shared" si="20"/>
        <v>2.9645093945720249E-2</v>
      </c>
      <c r="CT13" s="253">
        <f t="shared" si="20"/>
        <v>6.4102564102564097E-2</v>
      </c>
      <c r="CU13" s="253">
        <f t="shared" si="20"/>
        <v>8.6021505376344086E-3</v>
      </c>
      <c r="CV13" s="253">
        <f t="shared" si="20"/>
        <v>4.5454545454545456E-2</v>
      </c>
      <c r="CW13" s="253">
        <v>3.2000000000000001E-2</v>
      </c>
      <c r="CX13" s="253">
        <f t="shared" si="21"/>
        <v>8.9199614271938288E-2</v>
      </c>
      <c r="CY13" s="253">
        <f t="shared" si="21"/>
        <v>0.16535433070866143</v>
      </c>
      <c r="CZ13" s="253">
        <f t="shared" si="21"/>
        <v>0.11899791231732777</v>
      </c>
      <c r="DA13" s="253">
        <f t="shared" si="21"/>
        <v>0.13313609467455623</v>
      </c>
      <c r="DB13" s="253">
        <f t="shared" si="21"/>
        <v>0.11827956989247312</v>
      </c>
      <c r="DC13" s="253">
        <f t="shared" si="21"/>
        <v>0.10801564027370479</v>
      </c>
      <c r="DD13" s="253">
        <v>3.5000000000000003E-2</v>
      </c>
      <c r="DE13" s="74">
        <f t="shared" si="22"/>
        <v>9.7878495660559311E-2</v>
      </c>
      <c r="DF13" s="74">
        <f t="shared" si="22"/>
        <v>0.19881889763779528</v>
      </c>
      <c r="DG13" s="74">
        <f t="shared" si="22"/>
        <v>0.14864300626304802</v>
      </c>
      <c r="DH13" s="74">
        <f t="shared" si="22"/>
        <v>0.19723865877712032</v>
      </c>
      <c r="DI13" s="74">
        <f t="shared" si="22"/>
        <v>0.12688172043010754</v>
      </c>
      <c r="DJ13" s="74">
        <f t="shared" si="22"/>
        <v>0.15347018572825025</v>
      </c>
      <c r="DK13" s="266">
        <v>47290</v>
      </c>
      <c r="DL13" s="266">
        <v>44974</v>
      </c>
      <c r="DM13" s="267">
        <v>8841</v>
      </c>
      <c r="DN13" s="268">
        <v>49368</v>
      </c>
      <c r="DO13" s="268">
        <v>44046</v>
      </c>
      <c r="DP13" s="268">
        <v>10710</v>
      </c>
      <c r="DQ13" s="268">
        <v>44383</v>
      </c>
      <c r="DR13" s="268">
        <f>SUM(Data[[#This Row],[Fall 18 All Enroll]:[Fall 20 All Enroll]])</f>
        <v>249612</v>
      </c>
      <c r="DS13" s="266">
        <v>46354</v>
      </c>
      <c r="DT13" s="267">
        <v>43994</v>
      </c>
      <c r="DU13" s="267">
        <v>8264</v>
      </c>
      <c r="DV13" s="268">
        <v>48108</v>
      </c>
      <c r="DW13" s="268">
        <v>42714</v>
      </c>
      <c r="DX13" s="268">
        <v>10268</v>
      </c>
      <c r="DY13" s="268">
        <v>42530</v>
      </c>
      <c r="DZ13" s="268">
        <f>SUM(Data[[#This Row],[Fall 18 Non-eCore Enroll]:[Fall 20 Non-eCore Enroll]])</f>
        <v>242232</v>
      </c>
      <c r="EA13" s="269">
        <v>102</v>
      </c>
      <c r="EB13" s="268">
        <v>229</v>
      </c>
      <c r="EC13" s="268">
        <v>233</v>
      </c>
      <c r="ED13" s="268">
        <v>1124</v>
      </c>
      <c r="EE13" s="268">
        <v>2503</v>
      </c>
      <c r="EF13" s="268">
        <v>121</v>
      </c>
      <c r="EG13" s="268">
        <v>1682</v>
      </c>
      <c r="EH13" s="268">
        <f>SUM(Data[[#This Row],[Fall 18 LC All Enroll]:[Fall 20 LC All Enroll]])</f>
        <v>5994</v>
      </c>
      <c r="EI13" s="89">
        <f t="shared" si="23"/>
        <v>2.4013268592856112E-2</v>
      </c>
      <c r="EJ13" s="252">
        <v>2E-3</v>
      </c>
      <c r="EK13" s="252">
        <f t="shared" si="24"/>
        <v>5.0918308355938991E-3</v>
      </c>
      <c r="EL13" s="252">
        <f t="shared" si="24"/>
        <v>2.6354484786788826E-2</v>
      </c>
      <c r="EM13" s="252">
        <f t="shared" si="24"/>
        <v>2.276778479987036E-2</v>
      </c>
      <c r="EN13" s="259">
        <f t="shared" si="24"/>
        <v>5.6826953639377016E-2</v>
      </c>
      <c r="EO13" s="259">
        <f t="shared" si="24"/>
        <v>1.1297852474323062E-2</v>
      </c>
      <c r="EP13" s="259">
        <f t="shared" si="24"/>
        <v>3.7897393146024382E-2</v>
      </c>
      <c r="EQ13" s="269">
        <v>2089</v>
      </c>
      <c r="ER13" s="268">
        <v>4513</v>
      </c>
      <c r="ES13" s="268">
        <v>1958</v>
      </c>
      <c r="ET13" s="268">
        <v>7154</v>
      </c>
      <c r="EU13" s="268">
        <v>7071</v>
      </c>
      <c r="EV13" s="268">
        <v>1659</v>
      </c>
      <c r="EW13" s="268">
        <v>6566</v>
      </c>
      <c r="EX13" s="268">
        <f>SUM(Data[[#This Row],[Fall 18 NC All Enroll]:[Fall 20 NC All Enroll]])</f>
        <v>31010</v>
      </c>
      <c r="EY13" s="89">
        <f t="shared" si="25"/>
        <v>0.12423280932006474</v>
      </c>
      <c r="EZ13" s="252">
        <v>4.3999999999999997E-2</v>
      </c>
      <c r="FA13" s="252">
        <f t="shared" si="26"/>
        <v>0.10034686707875662</v>
      </c>
      <c r="FB13" s="252">
        <f t="shared" si="26"/>
        <v>0.22146815971043998</v>
      </c>
      <c r="FC13" s="252">
        <f t="shared" si="26"/>
        <v>0.14491168368173715</v>
      </c>
      <c r="FD13" s="259">
        <f t="shared" si="26"/>
        <v>0.16053671161967034</v>
      </c>
      <c r="FE13" s="259">
        <f t="shared" si="26"/>
        <v>0.15490196078431373</v>
      </c>
      <c r="FF13" s="259">
        <f t="shared" si="26"/>
        <v>0.14793952639524141</v>
      </c>
      <c r="FG13" s="269">
        <v>2191</v>
      </c>
      <c r="FH13" s="268">
        <v>4742</v>
      </c>
      <c r="FI13" s="268">
        <f t="shared" si="27"/>
        <v>2191</v>
      </c>
      <c r="FJ13" s="268">
        <f t="shared" si="40"/>
        <v>8278</v>
      </c>
      <c r="FK13" s="256">
        <f t="shared" si="40"/>
        <v>9574</v>
      </c>
      <c r="FL13" s="256">
        <f t="shared" si="40"/>
        <v>1780</v>
      </c>
      <c r="FM13" s="256">
        <f t="shared" si="40"/>
        <v>8248</v>
      </c>
      <c r="FN13" s="268">
        <f>SUM(Data[[#This Row],[Fall 18 LC+NC All Enroll]:[Fall 20 LC+NC All Enroll]])</f>
        <v>37004</v>
      </c>
      <c r="FO13" s="89">
        <f t="shared" si="28"/>
        <v>0.14824607791292085</v>
      </c>
      <c r="FP13" s="252">
        <v>4.5999999999999999E-2</v>
      </c>
      <c r="FQ13" s="75">
        <f t="shared" si="29"/>
        <v>0.10543869791435051</v>
      </c>
      <c r="FR13" s="75">
        <f t="shared" si="29"/>
        <v>0.24782264449722882</v>
      </c>
      <c r="FS13" s="75">
        <f t="shared" si="29"/>
        <v>0.16767946848160753</v>
      </c>
      <c r="FT13" s="260">
        <f t="shared" si="29"/>
        <v>0.21736366525904735</v>
      </c>
      <c r="FU13" s="260">
        <f t="shared" si="29"/>
        <v>0.16619981325863678</v>
      </c>
      <c r="FV13" s="260">
        <f t="shared" si="29"/>
        <v>0.1858369195412658</v>
      </c>
      <c r="FW13" s="269">
        <v>102</v>
      </c>
      <c r="FX13" s="268">
        <v>229</v>
      </c>
      <c r="FY13" s="268">
        <v>233</v>
      </c>
      <c r="FZ13" s="268">
        <v>1124</v>
      </c>
      <c r="GA13" s="268">
        <v>2503</v>
      </c>
      <c r="GB13" s="268">
        <v>121</v>
      </c>
      <c r="GC13" s="268">
        <v>1682</v>
      </c>
      <c r="GD13" s="268">
        <f>SUM(Data[[#This Row],[Fall 18 LC Non-eCore Enroll]:[Fall 20 LC Non-eCore Enroll]])</f>
        <v>5994</v>
      </c>
      <c r="GE13" s="89">
        <f t="shared" si="30"/>
        <v>2.4744872684038442E-2</v>
      </c>
      <c r="GF13" s="252">
        <v>2E-3</v>
      </c>
      <c r="GG13" s="252">
        <f t="shared" si="31"/>
        <v>5.2052552620811925E-3</v>
      </c>
      <c r="GH13" s="252">
        <f t="shared" si="31"/>
        <v>2.8194578896418198E-2</v>
      </c>
      <c r="GI13" s="252">
        <f t="shared" si="31"/>
        <v>2.3364097447409995E-2</v>
      </c>
      <c r="GJ13" s="259">
        <f t="shared" si="31"/>
        <v>5.8599054174275411E-2</v>
      </c>
      <c r="GK13" s="259">
        <f t="shared" si="31"/>
        <v>1.1784183872224387E-2</v>
      </c>
      <c r="GL13" s="259">
        <f t="shared" si="31"/>
        <v>3.954855396190924E-2</v>
      </c>
      <c r="GM13" s="269">
        <v>1154</v>
      </c>
      <c r="GN13" s="268">
        <v>3541</v>
      </c>
      <c r="GO13" s="268">
        <v>1381</v>
      </c>
      <c r="GP13" s="268">
        <v>5894</v>
      </c>
      <c r="GQ13" s="268">
        <v>5747</v>
      </c>
      <c r="GR13" s="268">
        <v>1217</v>
      </c>
      <c r="GS13" s="268">
        <v>4715</v>
      </c>
      <c r="GT13" s="268">
        <f>SUM(Data[[#This Row],[Fall 18 NC Non-eCore Enroll]:[Fall 20 NC Non-eCore Enroll]])</f>
        <v>23649</v>
      </c>
      <c r="GU13" s="89">
        <f t="shared" si="32"/>
        <v>9.7629545229366885E-2</v>
      </c>
      <c r="GV13" s="252">
        <v>2.5000000000000001E-2</v>
      </c>
      <c r="GW13" s="252">
        <f t="shared" si="33"/>
        <v>8.0488248397508746E-2</v>
      </c>
      <c r="GX13" s="252">
        <f t="shared" si="33"/>
        <v>0.16711035818005809</v>
      </c>
      <c r="GY13" s="252">
        <f t="shared" si="33"/>
        <v>0.12251600565394528</v>
      </c>
      <c r="GZ13" s="259">
        <f t="shared" si="33"/>
        <v>0.134546050475254</v>
      </c>
      <c r="HA13" s="259">
        <f t="shared" si="33"/>
        <v>0.11852356836774446</v>
      </c>
      <c r="HB13" s="259">
        <f t="shared" si="33"/>
        <v>0.11086292029155891</v>
      </c>
      <c r="HC13" s="269">
        <v>1256</v>
      </c>
      <c r="HD13" s="268">
        <v>3770</v>
      </c>
      <c r="HE13" s="269">
        <f t="shared" si="41"/>
        <v>1614</v>
      </c>
      <c r="HF13" s="269">
        <f t="shared" si="41"/>
        <v>7018</v>
      </c>
      <c r="HG13" s="257">
        <f t="shared" si="41"/>
        <v>8250</v>
      </c>
      <c r="HH13" s="257">
        <f t="shared" si="41"/>
        <v>1338</v>
      </c>
      <c r="HI13" s="257">
        <f t="shared" si="41"/>
        <v>6397</v>
      </c>
      <c r="HJ13" s="269">
        <f>SUM(Data[[#This Row],[Fall 18 LC+NC Non-eCore Enroll]:[Fall 20 LC+NC Non-eCore Enroll]])</f>
        <v>29643</v>
      </c>
      <c r="HK13" s="91">
        <f t="shared" si="34"/>
        <v>0.12237441791340534</v>
      </c>
      <c r="HL13" s="268">
        <v>45098</v>
      </c>
      <c r="HM13" s="268">
        <v>40224</v>
      </c>
      <c r="HN13" s="268">
        <v>6650</v>
      </c>
      <c r="HO13" s="82">
        <v>41090</v>
      </c>
      <c r="HP13" s="82">
        <v>34464</v>
      </c>
      <c r="HQ13" s="82">
        <v>8930</v>
      </c>
      <c r="HR13" s="82">
        <v>36133</v>
      </c>
      <c r="HS13" s="256">
        <f>SUM(Data[[#This Row],[Fall 18 Non-eCore None Enroll]:[Fall 20 Non-eCore None Enroll]])</f>
        <v>212589</v>
      </c>
      <c r="HT13" s="89">
        <f t="shared" si="35"/>
        <v>0.87762558208659469</v>
      </c>
      <c r="HU13" s="252">
        <v>2.7E-2</v>
      </c>
      <c r="HV13" s="252">
        <f t="shared" si="36"/>
        <v>8.5693503659589942E-2</v>
      </c>
      <c r="HW13" s="252">
        <f t="shared" si="36"/>
        <v>0.19530493707647628</v>
      </c>
      <c r="HX13" s="252">
        <f t="shared" si="36"/>
        <v>0.1458801031013553</v>
      </c>
      <c r="HY13" s="259">
        <f t="shared" si="36"/>
        <v>0.19314510464952944</v>
      </c>
      <c r="HZ13" s="259">
        <f t="shared" si="36"/>
        <v>0.13030775223996882</v>
      </c>
      <c r="IA13" s="259">
        <f t="shared" si="36"/>
        <v>0.15041147425346815</v>
      </c>
    </row>
    <row r="14" spans="1:235" x14ac:dyDescent="0.25">
      <c r="A14" s="79" t="s">
        <v>276</v>
      </c>
      <c r="B14" s="79" t="s">
        <v>2290</v>
      </c>
      <c r="C14" s="280">
        <f>Data[[#This Row],[Spring 20 No eCore Low-Cost Sections]]+Data[[#This Row],[Summer 20 No eCore Low-Cost Sections]]+Data[[#This Row],[Fall 20 No eCore Low-Cost Sections]]</f>
        <v>39</v>
      </c>
      <c r="D14" s="281">
        <f>Data[[#This Row],[2020 LC Total]]/(Data[[#This Row],[Spring 20 All Sections]]+Data[[#This Row],[Summer 20 All Sections]]+Data[[#This Row],[Fall 20 All Sections]])</f>
        <v>1.5354330708661417E-2</v>
      </c>
      <c r="E14" s="280">
        <f>Data[[#This Row],[Spring 20 No eCore No-Cost Sections]]+Data[[#This Row],[Summer 20 No eCore No-Cost Sections]]+Data[[#This Row],[Fall 20 No eCore No-Cost Sections]]</f>
        <v>727</v>
      </c>
      <c r="F14" s="281">
        <f>Data[[#This Row],[2020 NC Total]]/(Data[[#This Row],[Spring 20 All Sections]]+Data[[#This Row],[Summer 20 All Sections]]+Data[[#This Row],[Fall 20 All Sections]])</f>
        <v>0.2862204724409449</v>
      </c>
      <c r="G14" s="280">
        <f>Data[[#This Row],[2020 LC Total]]+Data[[#This Row],[2020 NC Total]]</f>
        <v>766</v>
      </c>
      <c r="H14" s="281">
        <f>Data[[#This Row],[2020 NC+LC Total]]/(Data[[#This Row],[Spring 20 All Sections]]+Data[[#This Row],[Summer 20 All Sections]]+Data[[#This Row],[Fall 20 All Sections]])</f>
        <v>0.30157480314960627</v>
      </c>
      <c r="I14" s="249">
        <v>1172</v>
      </c>
      <c r="J14" s="250">
        <v>1107</v>
      </c>
      <c r="K14" s="251">
        <v>351</v>
      </c>
      <c r="L14" s="82">
        <v>1166</v>
      </c>
      <c r="M14" s="82">
        <v>1096</v>
      </c>
      <c r="N14" s="82">
        <v>312</v>
      </c>
      <c r="O14" s="82">
        <v>1132</v>
      </c>
      <c r="P14" s="82">
        <f>SUM(Data[[#This Row],[Fall 18 All Sections]:[Fall 20 All Sections]])</f>
        <v>6336</v>
      </c>
      <c r="Q14" s="249">
        <v>234</v>
      </c>
      <c r="R14" s="250">
        <v>219</v>
      </c>
      <c r="S14" s="250">
        <v>76</v>
      </c>
      <c r="T14" s="82">
        <v>244</v>
      </c>
      <c r="U14" s="82">
        <v>214</v>
      </c>
      <c r="V14" s="82">
        <v>68</v>
      </c>
      <c r="W14" s="82">
        <v>210</v>
      </c>
      <c r="X14" s="249">
        <v>938</v>
      </c>
      <c r="Y14" s="250">
        <v>888</v>
      </c>
      <c r="Z14" s="84">
        <v>275</v>
      </c>
      <c r="AA14" s="82">
        <v>922</v>
      </c>
      <c r="AB14" s="82">
        <v>882</v>
      </c>
      <c r="AC14" s="82">
        <v>244</v>
      </c>
      <c r="AD14" s="82">
        <v>922</v>
      </c>
      <c r="AE14" s="249">
        <v>3</v>
      </c>
      <c r="AF14" s="82">
        <v>12</v>
      </c>
      <c r="AG14" s="82">
        <v>0</v>
      </c>
      <c r="AH14" s="82">
        <v>21</v>
      </c>
      <c r="AI14" s="82">
        <v>31</v>
      </c>
      <c r="AJ14" s="82">
        <v>4</v>
      </c>
      <c r="AK14" s="82">
        <v>4</v>
      </c>
      <c r="AL14" s="249">
        <v>543</v>
      </c>
      <c r="AM14" s="82">
        <v>504</v>
      </c>
      <c r="AN14" s="82">
        <v>161</v>
      </c>
      <c r="AO14" s="82">
        <v>576</v>
      </c>
      <c r="AP14" s="82">
        <v>548</v>
      </c>
      <c r="AQ14" s="82">
        <v>154</v>
      </c>
      <c r="AR14" s="82">
        <v>515</v>
      </c>
      <c r="AS14" s="249">
        <v>546</v>
      </c>
      <c r="AT14" s="82">
        <v>516</v>
      </c>
      <c r="AU14" s="82">
        <f t="shared" si="0"/>
        <v>161</v>
      </c>
      <c r="AV14" s="82">
        <f t="shared" si="0"/>
        <v>597</v>
      </c>
      <c r="AW14" s="82">
        <f t="shared" si="0"/>
        <v>579</v>
      </c>
      <c r="AX14" s="82">
        <f t="shared" si="0"/>
        <v>158</v>
      </c>
      <c r="AY14" s="82">
        <f t="shared" si="0"/>
        <v>519</v>
      </c>
      <c r="AZ14" s="249">
        <v>3</v>
      </c>
      <c r="BA14" s="82">
        <v>12</v>
      </c>
      <c r="BB14" s="82"/>
      <c r="BC14" s="82">
        <v>21</v>
      </c>
      <c r="BD14" s="82">
        <v>31</v>
      </c>
      <c r="BE14" s="82">
        <v>4</v>
      </c>
      <c r="BF14" s="82">
        <v>4</v>
      </c>
      <c r="BG14" s="249">
        <v>311</v>
      </c>
      <c r="BH14" s="82">
        <v>285</v>
      </c>
      <c r="BI14" s="82">
        <v>86</v>
      </c>
      <c r="BJ14" s="82">
        <v>332</v>
      </c>
      <c r="BK14" s="82">
        <v>334</v>
      </c>
      <c r="BL14" s="82">
        <v>87</v>
      </c>
      <c r="BM14" s="82">
        <v>306</v>
      </c>
      <c r="BN14" s="249">
        <v>314</v>
      </c>
      <c r="BO14" s="82">
        <v>297</v>
      </c>
      <c r="BP14" s="85">
        <f t="shared" si="1"/>
        <v>86</v>
      </c>
      <c r="BQ14" s="85">
        <f t="shared" si="37"/>
        <v>353</v>
      </c>
      <c r="BR14" s="85">
        <f t="shared" si="38"/>
        <v>365</v>
      </c>
      <c r="BS14" s="85">
        <f t="shared" si="39"/>
        <v>91</v>
      </c>
      <c r="BT14" s="85">
        <f t="shared" si="39"/>
        <v>310</v>
      </c>
      <c r="BU14" s="252">
        <v>3.0000000000000001E-3</v>
      </c>
      <c r="BV14" s="252">
        <f t="shared" si="2"/>
        <v>1.0840108401084011E-2</v>
      </c>
      <c r="BW14" s="252">
        <f t="shared" si="3"/>
        <v>0</v>
      </c>
      <c r="BX14" s="252">
        <f t="shared" si="4"/>
        <v>1.8010291595197257E-2</v>
      </c>
      <c r="BY14" s="252">
        <f t="shared" si="5"/>
        <v>2.8284671532846715E-2</v>
      </c>
      <c r="BZ14" s="252">
        <f t="shared" si="6"/>
        <v>1.282051282051282E-2</v>
      </c>
      <c r="CA14" s="252">
        <f t="shared" si="7"/>
        <v>3.5335689045936395E-3</v>
      </c>
      <c r="CB14" s="252">
        <v>0.46300000000000002</v>
      </c>
      <c r="CC14" s="252">
        <f t="shared" si="8"/>
        <v>0.45528455284552843</v>
      </c>
      <c r="CD14" s="252">
        <f t="shared" si="9"/>
        <v>0.45868945868945871</v>
      </c>
      <c r="CE14" s="252">
        <f t="shared" si="10"/>
        <v>0.49399656946826759</v>
      </c>
      <c r="CF14" s="252">
        <f t="shared" si="11"/>
        <v>0.5</v>
      </c>
      <c r="CG14" s="252">
        <f t="shared" si="12"/>
        <v>0.49358974358974361</v>
      </c>
      <c r="CH14" s="252">
        <f t="shared" si="13"/>
        <v>0.45494699646643111</v>
      </c>
      <c r="CI14" s="253">
        <v>0.46600000000000003</v>
      </c>
      <c r="CJ14" s="253">
        <f t="shared" si="14"/>
        <v>0.46612466124661245</v>
      </c>
      <c r="CK14" s="253">
        <f t="shared" si="15"/>
        <v>0.45868945868945871</v>
      </c>
      <c r="CL14" s="253">
        <f t="shared" si="16"/>
        <v>0.51200686106346482</v>
      </c>
      <c r="CM14" s="253">
        <f t="shared" si="17"/>
        <v>0.52828467153284675</v>
      </c>
      <c r="CN14" s="253">
        <f t="shared" si="18"/>
        <v>0.50641025641025639</v>
      </c>
      <c r="CO14" s="253">
        <f t="shared" si="19"/>
        <v>0.45848056537102472</v>
      </c>
      <c r="CP14" s="253">
        <v>3.0000000000000001E-3</v>
      </c>
      <c r="CQ14" s="253">
        <f t="shared" si="20"/>
        <v>1.3513513513513514E-2</v>
      </c>
      <c r="CR14" s="253">
        <f t="shared" si="20"/>
        <v>0</v>
      </c>
      <c r="CS14" s="253">
        <f t="shared" si="20"/>
        <v>2.27765726681128E-2</v>
      </c>
      <c r="CT14" s="253">
        <f t="shared" si="20"/>
        <v>3.5147392290249435E-2</v>
      </c>
      <c r="CU14" s="253">
        <f t="shared" si="20"/>
        <v>1.6393442622950821E-2</v>
      </c>
      <c r="CV14" s="253">
        <f t="shared" si="20"/>
        <v>4.3383947939262474E-3</v>
      </c>
      <c r="CW14" s="253">
        <v>0.33200000000000002</v>
      </c>
      <c r="CX14" s="253">
        <f t="shared" si="21"/>
        <v>0.32094594594594594</v>
      </c>
      <c r="CY14" s="253">
        <f t="shared" si="21"/>
        <v>0.31272727272727274</v>
      </c>
      <c r="CZ14" s="253">
        <f t="shared" si="21"/>
        <v>0.36008676789587851</v>
      </c>
      <c r="DA14" s="253">
        <f t="shared" si="21"/>
        <v>0.37868480725623582</v>
      </c>
      <c r="DB14" s="253">
        <f t="shared" si="21"/>
        <v>0.35655737704918034</v>
      </c>
      <c r="DC14" s="253">
        <f t="shared" si="21"/>
        <v>0.33188720173535791</v>
      </c>
      <c r="DD14" s="253">
        <v>0.33500000000000002</v>
      </c>
      <c r="DE14" s="74">
        <f t="shared" si="22"/>
        <v>0.33445945945945948</v>
      </c>
      <c r="DF14" s="74">
        <f t="shared" si="22"/>
        <v>0.31272727272727274</v>
      </c>
      <c r="DG14" s="74">
        <f t="shared" si="22"/>
        <v>0.38286334056399135</v>
      </c>
      <c r="DH14" s="74">
        <f t="shared" si="22"/>
        <v>0.41383219954648526</v>
      </c>
      <c r="DI14" s="74">
        <f t="shared" si="22"/>
        <v>0.37295081967213117</v>
      </c>
      <c r="DJ14" s="74">
        <f t="shared" si="22"/>
        <v>0.33622559652928419</v>
      </c>
      <c r="DK14" s="266">
        <v>24287</v>
      </c>
      <c r="DL14" s="266">
        <v>19957</v>
      </c>
      <c r="DM14" s="267">
        <v>4712</v>
      </c>
      <c r="DN14" s="268">
        <v>20695</v>
      </c>
      <c r="DO14" s="268">
        <v>18450</v>
      </c>
      <c r="DP14" s="268">
        <v>5491</v>
      </c>
      <c r="DQ14" s="268">
        <v>17848</v>
      </c>
      <c r="DR14" s="268">
        <f>SUM(Data[[#This Row],[Fall 18 All Enroll]:[Fall 20 All Enroll]])</f>
        <v>111440</v>
      </c>
      <c r="DS14" s="266">
        <v>23601</v>
      </c>
      <c r="DT14" s="267">
        <v>19298</v>
      </c>
      <c r="DU14" s="267">
        <v>4513</v>
      </c>
      <c r="DV14" s="268">
        <v>20071</v>
      </c>
      <c r="DW14" s="268">
        <v>17903</v>
      </c>
      <c r="DX14" s="268">
        <v>5304</v>
      </c>
      <c r="DY14" s="268">
        <v>17410</v>
      </c>
      <c r="DZ14" s="268">
        <f>SUM(Data[[#This Row],[Fall 18 Non-eCore Enroll]:[Fall 20 Non-eCore Enroll]])</f>
        <v>108100</v>
      </c>
      <c r="EA14" s="269">
        <v>37</v>
      </c>
      <c r="EB14" s="268">
        <v>183</v>
      </c>
      <c r="EC14" s="268"/>
      <c r="ED14" s="268">
        <v>332</v>
      </c>
      <c r="EE14" s="268">
        <v>481</v>
      </c>
      <c r="EF14" s="268">
        <v>50</v>
      </c>
      <c r="EG14" s="268">
        <v>70</v>
      </c>
      <c r="EH14" s="268">
        <f>SUM(Data[[#This Row],[Fall 18 LC All Enroll]:[Fall 20 LC All Enroll]])</f>
        <v>1153</v>
      </c>
      <c r="EI14" s="89">
        <f t="shared" si="23"/>
        <v>1.0346374730796842E-2</v>
      </c>
      <c r="EJ14" s="252">
        <v>2E-3</v>
      </c>
      <c r="EK14" s="252">
        <f t="shared" si="24"/>
        <v>9.1697148870070657E-3</v>
      </c>
      <c r="EL14" s="252">
        <f t="shared" si="24"/>
        <v>0</v>
      </c>
      <c r="EM14" s="252">
        <f t="shared" si="24"/>
        <v>1.6042522348393332E-2</v>
      </c>
      <c r="EN14" s="259">
        <f t="shared" si="24"/>
        <v>2.6070460704607046E-2</v>
      </c>
      <c r="EO14" s="259">
        <f t="shared" si="24"/>
        <v>9.1058095064651245E-3</v>
      </c>
      <c r="EP14" s="259">
        <f t="shared" si="24"/>
        <v>3.9220080681308831E-3</v>
      </c>
      <c r="EQ14" s="269">
        <v>8676</v>
      </c>
      <c r="ER14" s="268">
        <v>7542</v>
      </c>
      <c r="ES14" s="268">
        <v>1816</v>
      </c>
      <c r="ET14" s="268">
        <v>8052</v>
      </c>
      <c r="EU14" s="268">
        <v>7540</v>
      </c>
      <c r="EV14" s="268">
        <v>2197</v>
      </c>
      <c r="EW14" s="268">
        <v>6144</v>
      </c>
      <c r="EX14" s="268">
        <f>SUM(Data[[#This Row],[Fall 18 NC All Enroll]:[Fall 20 NC All Enroll]])</f>
        <v>41967</v>
      </c>
      <c r="EY14" s="89">
        <f t="shared" si="25"/>
        <v>0.37658829863603732</v>
      </c>
      <c r="EZ14" s="252">
        <v>0.35699999999999998</v>
      </c>
      <c r="FA14" s="252">
        <f t="shared" si="26"/>
        <v>0.37791251190058628</v>
      </c>
      <c r="FB14" s="252">
        <f t="shared" si="26"/>
        <v>0.38539898132427841</v>
      </c>
      <c r="FC14" s="252">
        <f t="shared" si="26"/>
        <v>0.38907948779898527</v>
      </c>
      <c r="FD14" s="259">
        <f t="shared" si="26"/>
        <v>0.40867208672086719</v>
      </c>
      <c r="FE14" s="259">
        <f t="shared" si="26"/>
        <v>0.40010926971407756</v>
      </c>
      <c r="FF14" s="259">
        <f t="shared" si="26"/>
        <v>0.34424025100851635</v>
      </c>
      <c r="FG14" s="269">
        <v>8713</v>
      </c>
      <c r="FH14" s="268">
        <v>7725</v>
      </c>
      <c r="FI14" s="268">
        <f t="shared" si="27"/>
        <v>1816</v>
      </c>
      <c r="FJ14" s="268">
        <f t="shared" si="40"/>
        <v>8384</v>
      </c>
      <c r="FK14" s="256">
        <f t="shared" si="40"/>
        <v>8021</v>
      </c>
      <c r="FL14" s="256">
        <f t="shared" si="40"/>
        <v>2247</v>
      </c>
      <c r="FM14" s="256">
        <f t="shared" si="40"/>
        <v>6214</v>
      </c>
      <c r="FN14" s="268">
        <f>SUM(Data[[#This Row],[Fall 18 LC+NC All Enroll]:[Fall 20 LC+NC All Enroll]])</f>
        <v>43120</v>
      </c>
      <c r="FO14" s="89">
        <f t="shared" si="28"/>
        <v>0.38693467336683418</v>
      </c>
      <c r="FP14" s="252">
        <v>0.35899999999999999</v>
      </c>
      <c r="FQ14" s="75">
        <f t="shared" si="29"/>
        <v>0.38708222678759335</v>
      </c>
      <c r="FR14" s="75">
        <f t="shared" si="29"/>
        <v>0.38539898132427841</v>
      </c>
      <c r="FS14" s="75">
        <f t="shared" si="29"/>
        <v>0.40512201014737859</v>
      </c>
      <c r="FT14" s="260">
        <f t="shared" si="29"/>
        <v>0.43474254742547425</v>
      </c>
      <c r="FU14" s="260">
        <f t="shared" si="29"/>
        <v>0.40921507922054273</v>
      </c>
      <c r="FV14" s="260">
        <f t="shared" si="29"/>
        <v>0.34816225907664722</v>
      </c>
      <c r="FW14" s="269">
        <v>37</v>
      </c>
      <c r="FX14" s="268">
        <v>183</v>
      </c>
      <c r="FY14" s="268">
        <v>0</v>
      </c>
      <c r="FZ14" s="268">
        <v>332</v>
      </c>
      <c r="GA14" s="268">
        <v>481</v>
      </c>
      <c r="GB14" s="268">
        <v>50</v>
      </c>
      <c r="GC14" s="268">
        <v>70</v>
      </c>
      <c r="GD14" s="268">
        <f>SUM(Data[[#This Row],[Fall 18 LC Non-eCore Enroll]:[Fall 20 LC Non-eCore Enroll]])</f>
        <v>1153</v>
      </c>
      <c r="GE14" s="89">
        <f t="shared" si="30"/>
        <v>1.0666049953746532E-2</v>
      </c>
      <c r="GF14" s="252">
        <v>2E-3</v>
      </c>
      <c r="GG14" s="252">
        <f t="shared" si="31"/>
        <v>9.4828479635195358E-3</v>
      </c>
      <c r="GH14" s="252">
        <f t="shared" si="31"/>
        <v>0</v>
      </c>
      <c r="GI14" s="252">
        <f t="shared" si="31"/>
        <v>1.6541278461461809E-2</v>
      </c>
      <c r="GJ14" s="259">
        <f t="shared" si="31"/>
        <v>2.6867005529799474E-2</v>
      </c>
      <c r="GK14" s="259">
        <f t="shared" si="31"/>
        <v>9.4268476621417793E-3</v>
      </c>
      <c r="GL14" s="259">
        <f t="shared" si="31"/>
        <v>4.0206777713957496E-3</v>
      </c>
      <c r="GM14" s="269">
        <v>7992</v>
      </c>
      <c r="GN14" s="268">
        <v>6883</v>
      </c>
      <c r="GO14" s="268">
        <v>1620</v>
      </c>
      <c r="GP14" s="268">
        <v>7428</v>
      </c>
      <c r="GQ14" s="268">
        <v>6993</v>
      </c>
      <c r="GR14" s="268">
        <v>2013</v>
      </c>
      <c r="GS14" s="268">
        <v>5708</v>
      </c>
      <c r="GT14" s="268">
        <f>SUM(Data[[#This Row],[Fall 18 NC Non-eCore Enroll]:[Fall 20 NC Non-eCore Enroll]])</f>
        <v>38637</v>
      </c>
      <c r="GU14" s="89">
        <f t="shared" si="32"/>
        <v>0.35741905642923222</v>
      </c>
      <c r="GV14" s="252">
        <v>0.33900000000000002</v>
      </c>
      <c r="GW14" s="252">
        <f t="shared" si="33"/>
        <v>0.35666908487926208</v>
      </c>
      <c r="GX14" s="252">
        <f t="shared" si="33"/>
        <v>0.35896299578994018</v>
      </c>
      <c r="GY14" s="252">
        <f t="shared" si="33"/>
        <v>0.37008619401126003</v>
      </c>
      <c r="GZ14" s="259">
        <f t="shared" si="33"/>
        <v>0.39060492654862311</v>
      </c>
      <c r="HA14" s="259">
        <f t="shared" si="33"/>
        <v>0.37952488687782804</v>
      </c>
      <c r="HB14" s="259">
        <f t="shared" si="33"/>
        <v>0.32785755313038484</v>
      </c>
      <c r="HC14" s="269">
        <v>8029</v>
      </c>
      <c r="HD14" s="268">
        <v>7066</v>
      </c>
      <c r="HE14" s="269">
        <f t="shared" si="41"/>
        <v>1620</v>
      </c>
      <c r="HF14" s="269">
        <f t="shared" si="41"/>
        <v>7760</v>
      </c>
      <c r="HG14" s="257">
        <f t="shared" si="41"/>
        <v>7474</v>
      </c>
      <c r="HH14" s="257">
        <f t="shared" si="41"/>
        <v>2063</v>
      </c>
      <c r="HI14" s="257">
        <f t="shared" si="41"/>
        <v>5778</v>
      </c>
      <c r="HJ14" s="269">
        <f>SUM(Data[[#This Row],[Fall 18 LC+NC Non-eCore Enroll]:[Fall 20 LC+NC Non-eCore Enroll]])</f>
        <v>39790</v>
      </c>
      <c r="HK14" s="91">
        <f t="shared" si="34"/>
        <v>0.3680851063829787</v>
      </c>
      <c r="HL14" s="268">
        <v>15572</v>
      </c>
      <c r="HM14" s="268">
        <v>12232</v>
      </c>
      <c r="HN14" s="268">
        <v>2893</v>
      </c>
      <c r="HO14" s="82">
        <v>12311</v>
      </c>
      <c r="HP14" s="82">
        <v>10429</v>
      </c>
      <c r="HQ14" s="82">
        <v>3241</v>
      </c>
      <c r="HR14" s="82">
        <v>11632</v>
      </c>
      <c r="HS14" s="256">
        <f>SUM(Data[[#This Row],[Fall 18 Non-eCore None Enroll]:[Fall 20 Non-eCore None Enroll]])</f>
        <v>68310</v>
      </c>
      <c r="HT14" s="89">
        <f t="shared" si="35"/>
        <v>0.63191489361702124</v>
      </c>
      <c r="HU14" s="252">
        <v>0.34</v>
      </c>
      <c r="HV14" s="252">
        <f t="shared" si="36"/>
        <v>0.36615193284278164</v>
      </c>
      <c r="HW14" s="252">
        <f t="shared" si="36"/>
        <v>0.35896299578994018</v>
      </c>
      <c r="HX14" s="252">
        <f t="shared" si="36"/>
        <v>0.38662747247272183</v>
      </c>
      <c r="HY14" s="259">
        <f t="shared" si="36"/>
        <v>0.41747193207842259</v>
      </c>
      <c r="HZ14" s="259">
        <f t="shared" si="36"/>
        <v>0.38895173453996984</v>
      </c>
      <c r="IA14" s="259">
        <f t="shared" si="36"/>
        <v>0.33187823090178059</v>
      </c>
    </row>
    <row r="15" spans="1:235" x14ac:dyDescent="0.25">
      <c r="A15" s="79" t="s">
        <v>218</v>
      </c>
      <c r="B15" s="79" t="s">
        <v>2292</v>
      </c>
      <c r="C15" s="280">
        <f>Data[[#This Row],[Spring 20 No eCore Low-Cost Sections]]+Data[[#This Row],[Summer 20 No eCore Low-Cost Sections]]+Data[[#This Row],[Fall 20 No eCore Low-Cost Sections]]</f>
        <v>478</v>
      </c>
      <c r="D15" s="281">
        <f>Data[[#This Row],[2020 LC Total]]/(Data[[#This Row],[Spring 20 All Sections]]+Data[[#This Row],[Summer 20 All Sections]]+Data[[#This Row],[Fall 20 All Sections]])</f>
        <v>3.0755372538926778E-2</v>
      </c>
      <c r="E15" s="280">
        <f>Data[[#This Row],[Spring 20 No eCore No-Cost Sections]]+Data[[#This Row],[Summer 20 No eCore No-Cost Sections]]+Data[[#This Row],[Fall 20 No eCore No-Cost Sections]]</f>
        <v>2551</v>
      </c>
      <c r="F15" s="281">
        <f>Data[[#This Row],[2020 NC Total]]/(Data[[#This Row],[Spring 20 All Sections]]+Data[[#This Row],[Summer 20 All Sections]]+Data[[#This Row],[Fall 20 All Sections]])</f>
        <v>0.16413588984686656</v>
      </c>
      <c r="G15" s="280">
        <f>Data[[#This Row],[2020 LC Total]]+Data[[#This Row],[2020 NC Total]]</f>
        <v>3029</v>
      </c>
      <c r="H15" s="281">
        <f>Data[[#This Row],[2020 NC+LC Total]]/(Data[[#This Row],[Spring 20 All Sections]]+Data[[#This Row],[Summer 20 All Sections]]+Data[[#This Row],[Fall 20 All Sections]])</f>
        <v>0.19489126238579332</v>
      </c>
      <c r="I15" s="249">
        <v>6399</v>
      </c>
      <c r="J15" s="250">
        <v>6342</v>
      </c>
      <c r="K15" s="251">
        <v>2498</v>
      </c>
      <c r="L15" s="82">
        <v>6615</v>
      </c>
      <c r="M15" s="82">
        <v>6471</v>
      </c>
      <c r="N15" s="82">
        <v>2469</v>
      </c>
      <c r="O15" s="82">
        <v>6602</v>
      </c>
      <c r="P15" s="82">
        <f>SUM(Data[[#This Row],[Fall 18 All Sections]:[Fall 20 All Sections]])</f>
        <v>37396</v>
      </c>
      <c r="Q15" s="265">
        <v>0</v>
      </c>
      <c r="R15" s="265">
        <v>0</v>
      </c>
      <c r="S15" s="270">
        <v>0</v>
      </c>
      <c r="T15" s="82">
        <v>0</v>
      </c>
      <c r="U15" s="82">
        <v>0</v>
      </c>
      <c r="V15" s="82">
        <v>0</v>
      </c>
      <c r="W15" s="82">
        <v>0</v>
      </c>
      <c r="X15" s="249">
        <v>6399</v>
      </c>
      <c r="Y15" s="250">
        <v>6342</v>
      </c>
      <c r="Z15" s="84">
        <v>2498</v>
      </c>
      <c r="AA15" s="82">
        <v>6615</v>
      </c>
      <c r="AB15" s="82">
        <v>6471</v>
      </c>
      <c r="AC15" s="82">
        <v>2469</v>
      </c>
      <c r="AD15" s="82">
        <v>6602</v>
      </c>
      <c r="AE15" s="249">
        <v>41</v>
      </c>
      <c r="AF15" s="82">
        <v>20</v>
      </c>
      <c r="AG15" s="82">
        <v>22</v>
      </c>
      <c r="AH15" s="82">
        <v>284</v>
      </c>
      <c r="AI15" s="82">
        <v>184</v>
      </c>
      <c r="AJ15" s="82">
        <v>97</v>
      </c>
      <c r="AK15" s="82">
        <v>197</v>
      </c>
      <c r="AL15" s="265"/>
      <c r="AM15" s="82">
        <v>329</v>
      </c>
      <c r="AN15" s="82"/>
      <c r="AO15" s="82">
        <v>252</v>
      </c>
      <c r="AP15" s="82">
        <v>2363</v>
      </c>
      <c r="AQ15" s="82">
        <v>3</v>
      </c>
      <c r="AR15" s="82">
        <v>185</v>
      </c>
      <c r="AS15" s="249">
        <v>41</v>
      </c>
      <c r="AT15" s="82">
        <v>349</v>
      </c>
      <c r="AU15" s="82">
        <f t="shared" si="0"/>
        <v>22</v>
      </c>
      <c r="AV15" s="82">
        <f t="shared" si="0"/>
        <v>536</v>
      </c>
      <c r="AW15" s="82">
        <f t="shared" si="0"/>
        <v>2547</v>
      </c>
      <c r="AX15" s="82">
        <f t="shared" si="0"/>
        <v>100</v>
      </c>
      <c r="AY15" s="82">
        <f t="shared" si="0"/>
        <v>382</v>
      </c>
      <c r="AZ15" s="249">
        <v>41</v>
      </c>
      <c r="BA15" s="82">
        <v>20</v>
      </c>
      <c r="BB15" s="82">
        <v>22</v>
      </c>
      <c r="BC15" s="82">
        <v>284</v>
      </c>
      <c r="BD15" s="82">
        <v>184</v>
      </c>
      <c r="BE15" s="82">
        <v>97</v>
      </c>
      <c r="BF15" s="82">
        <v>197</v>
      </c>
      <c r="BG15" s="265">
        <v>0</v>
      </c>
      <c r="BH15" s="82">
        <v>329</v>
      </c>
      <c r="BI15" s="82"/>
      <c r="BJ15" s="82">
        <v>252</v>
      </c>
      <c r="BK15" s="82">
        <v>2363</v>
      </c>
      <c r="BL15" s="82">
        <v>3</v>
      </c>
      <c r="BM15" s="82">
        <v>185</v>
      </c>
      <c r="BN15" s="249">
        <v>41</v>
      </c>
      <c r="BO15" s="82">
        <v>349</v>
      </c>
      <c r="BP15" s="85">
        <f t="shared" si="1"/>
        <v>22</v>
      </c>
      <c r="BQ15" s="85">
        <f t="shared" si="37"/>
        <v>536</v>
      </c>
      <c r="BR15" s="85">
        <f t="shared" si="38"/>
        <v>2547</v>
      </c>
      <c r="BS15" s="85">
        <f t="shared" si="39"/>
        <v>100</v>
      </c>
      <c r="BT15" s="85">
        <f t="shared" si="39"/>
        <v>382</v>
      </c>
      <c r="BU15" s="252">
        <v>6.0000000000000001E-3</v>
      </c>
      <c r="BV15" s="252">
        <f t="shared" si="2"/>
        <v>3.1535793125197099E-3</v>
      </c>
      <c r="BW15" s="252">
        <f t="shared" si="3"/>
        <v>8.8070456365092076E-3</v>
      </c>
      <c r="BX15" s="252">
        <f t="shared" si="4"/>
        <v>4.2932728647014362E-2</v>
      </c>
      <c r="BY15" s="252">
        <f t="shared" si="5"/>
        <v>2.8434554164734973E-2</v>
      </c>
      <c r="BZ15" s="252">
        <f t="shared" si="6"/>
        <v>3.9287160793843659E-2</v>
      </c>
      <c r="CA15" s="252">
        <f t="shared" si="7"/>
        <v>2.9839442593153589E-2</v>
      </c>
      <c r="CB15" s="252">
        <v>0</v>
      </c>
      <c r="CC15" s="252">
        <f t="shared" si="8"/>
        <v>5.1876379690949229E-2</v>
      </c>
      <c r="CD15" s="252">
        <f t="shared" si="9"/>
        <v>0</v>
      </c>
      <c r="CE15" s="252">
        <f t="shared" si="10"/>
        <v>3.8095238095238099E-2</v>
      </c>
      <c r="CF15" s="252">
        <f t="shared" si="11"/>
        <v>0.36516767114819965</v>
      </c>
      <c r="CG15" s="252">
        <f t="shared" si="12"/>
        <v>1.215066828675577E-3</v>
      </c>
      <c r="CH15" s="252">
        <f t="shared" si="13"/>
        <v>2.8021811572250834E-2</v>
      </c>
      <c r="CI15" s="253">
        <v>6.0000000000000001E-3</v>
      </c>
      <c r="CJ15" s="253">
        <f t="shared" si="14"/>
        <v>5.5029959003468937E-2</v>
      </c>
      <c r="CK15" s="253">
        <f t="shared" si="15"/>
        <v>8.8070456365092076E-3</v>
      </c>
      <c r="CL15" s="253">
        <f t="shared" si="16"/>
        <v>8.1027966742252461E-2</v>
      </c>
      <c r="CM15" s="253">
        <f t="shared" si="17"/>
        <v>0.39360222531293465</v>
      </c>
      <c r="CN15" s="253">
        <f t="shared" si="18"/>
        <v>4.0502227622519239E-2</v>
      </c>
      <c r="CO15" s="253">
        <f t="shared" si="19"/>
        <v>5.786125416540442E-2</v>
      </c>
      <c r="CP15" s="253">
        <v>6.0000000000000001E-3</v>
      </c>
      <c r="CQ15" s="253">
        <f t="shared" si="20"/>
        <v>3.1535793125197099E-3</v>
      </c>
      <c r="CR15" s="253">
        <f t="shared" si="20"/>
        <v>8.8070456365092076E-3</v>
      </c>
      <c r="CS15" s="253">
        <f t="shared" si="20"/>
        <v>4.2932728647014362E-2</v>
      </c>
      <c r="CT15" s="253">
        <f t="shared" si="20"/>
        <v>2.8434554164734973E-2</v>
      </c>
      <c r="CU15" s="253">
        <f t="shared" si="20"/>
        <v>3.9287160793843659E-2</v>
      </c>
      <c r="CV15" s="253">
        <f t="shared" si="20"/>
        <v>2.9839442593153589E-2</v>
      </c>
      <c r="CW15" s="253">
        <v>0</v>
      </c>
      <c r="CX15" s="253">
        <f t="shared" si="21"/>
        <v>5.1876379690949229E-2</v>
      </c>
      <c r="CY15" s="253">
        <f t="shared" si="21"/>
        <v>0</v>
      </c>
      <c r="CZ15" s="253">
        <f t="shared" si="21"/>
        <v>3.8095238095238099E-2</v>
      </c>
      <c r="DA15" s="253">
        <f t="shared" si="21"/>
        <v>0.36516767114819965</v>
      </c>
      <c r="DB15" s="253">
        <f t="shared" si="21"/>
        <v>1.215066828675577E-3</v>
      </c>
      <c r="DC15" s="253">
        <f t="shared" si="21"/>
        <v>2.8021811572250834E-2</v>
      </c>
      <c r="DD15" s="253">
        <v>6.0000000000000001E-3</v>
      </c>
      <c r="DE15" s="74">
        <f t="shared" si="22"/>
        <v>5.5029959003468937E-2</v>
      </c>
      <c r="DF15" s="74">
        <f t="shared" si="22"/>
        <v>8.8070456365092076E-3</v>
      </c>
      <c r="DG15" s="74">
        <f t="shared" si="22"/>
        <v>8.1027966742252461E-2</v>
      </c>
      <c r="DH15" s="74">
        <f t="shared" si="22"/>
        <v>0.39360222531293465</v>
      </c>
      <c r="DI15" s="74">
        <f t="shared" si="22"/>
        <v>4.0502227622519239E-2</v>
      </c>
      <c r="DJ15" s="74">
        <f t="shared" si="22"/>
        <v>5.786125416540442E-2</v>
      </c>
      <c r="DK15" s="266">
        <v>121825</v>
      </c>
      <c r="DL15" s="266">
        <v>112137</v>
      </c>
      <c r="DM15" s="267">
        <v>32774</v>
      </c>
      <c r="DN15" s="268">
        <v>127798</v>
      </c>
      <c r="DO15" s="268">
        <v>122600</v>
      </c>
      <c r="DP15" s="268">
        <v>41831</v>
      </c>
      <c r="DQ15" s="268">
        <v>148184</v>
      </c>
      <c r="DR15" s="268">
        <f>SUM(Data[[#This Row],[Fall 18 All Enroll]:[Fall 20 All Enroll]])</f>
        <v>707149</v>
      </c>
      <c r="DS15" s="266">
        <v>121825</v>
      </c>
      <c r="DT15" s="267">
        <v>112137</v>
      </c>
      <c r="DU15" s="267">
        <v>32774</v>
      </c>
      <c r="DV15" s="268">
        <v>127798</v>
      </c>
      <c r="DW15" s="268">
        <v>122600</v>
      </c>
      <c r="DX15" s="268">
        <v>41831</v>
      </c>
      <c r="DY15" s="268">
        <v>148184</v>
      </c>
      <c r="DZ15" s="268">
        <f>SUM(Data[[#This Row],[Fall 18 Non-eCore Enroll]:[Fall 20 Non-eCore Enroll]])</f>
        <v>707149</v>
      </c>
      <c r="EA15" s="269">
        <v>1398</v>
      </c>
      <c r="EB15" s="268">
        <v>592</v>
      </c>
      <c r="EC15" s="268">
        <v>500</v>
      </c>
      <c r="ED15" s="268">
        <v>8882</v>
      </c>
      <c r="EE15" s="268">
        <v>4368</v>
      </c>
      <c r="EF15" s="268">
        <v>2901</v>
      </c>
      <c r="EG15" s="268">
        <v>6488</v>
      </c>
      <c r="EH15" s="268">
        <f>SUM(Data[[#This Row],[Fall 18 LC All Enroll]:[Fall 20 LC All Enroll]])</f>
        <v>25129</v>
      </c>
      <c r="EI15" s="89">
        <f t="shared" si="23"/>
        <v>3.5535650902426504E-2</v>
      </c>
      <c r="EJ15" s="252">
        <v>1.0999999999999999E-2</v>
      </c>
      <c r="EK15" s="252">
        <f t="shared" si="24"/>
        <v>5.2792566235943536E-3</v>
      </c>
      <c r="EL15" s="252">
        <f t="shared" si="24"/>
        <v>1.5255995606273266E-2</v>
      </c>
      <c r="EM15" s="252">
        <f t="shared" si="24"/>
        <v>6.9500305169094972E-2</v>
      </c>
      <c r="EN15" s="259">
        <f t="shared" si="24"/>
        <v>3.5628058727569328E-2</v>
      </c>
      <c r="EO15" s="259">
        <f t="shared" si="24"/>
        <v>6.9350481700174507E-2</v>
      </c>
      <c r="EP15" s="259">
        <f t="shared" si="24"/>
        <v>4.3783404416131294E-2</v>
      </c>
      <c r="EQ15" s="269">
        <v>0</v>
      </c>
      <c r="ER15" s="268">
        <v>8163</v>
      </c>
      <c r="ES15" s="268">
        <v>0</v>
      </c>
      <c r="ET15" s="268">
        <v>5389</v>
      </c>
      <c r="EU15" s="268">
        <v>77608</v>
      </c>
      <c r="EV15" s="268">
        <v>37</v>
      </c>
      <c r="EW15" s="268">
        <v>4138</v>
      </c>
      <c r="EX15" s="268">
        <f>SUM(Data[[#This Row],[Fall 18 NC All Enroll]:[Fall 20 NC All Enroll]])</f>
        <v>95335</v>
      </c>
      <c r="EY15" s="89">
        <f t="shared" si="25"/>
        <v>0.13481600058827772</v>
      </c>
      <c r="EZ15" s="252">
        <v>0</v>
      </c>
      <c r="FA15" s="252">
        <f t="shared" si="26"/>
        <v>7.2794884828379577E-2</v>
      </c>
      <c r="FB15" s="252">
        <f t="shared" si="26"/>
        <v>0</v>
      </c>
      <c r="FC15" s="252">
        <f t="shared" si="26"/>
        <v>4.2168109047089938E-2</v>
      </c>
      <c r="FD15" s="259">
        <f t="shared" si="26"/>
        <v>0.63301794453507343</v>
      </c>
      <c r="FE15" s="259">
        <f t="shared" si="26"/>
        <v>8.8451148669646909E-4</v>
      </c>
      <c r="FF15" s="259">
        <f t="shared" si="26"/>
        <v>2.7924742212384602E-2</v>
      </c>
      <c r="FG15" s="269">
        <v>1398</v>
      </c>
      <c r="FH15" s="268">
        <v>8755</v>
      </c>
      <c r="FI15" s="268">
        <f t="shared" si="27"/>
        <v>500</v>
      </c>
      <c r="FJ15" s="268">
        <f t="shared" si="40"/>
        <v>14271</v>
      </c>
      <c r="FK15" s="256">
        <f t="shared" si="40"/>
        <v>81976</v>
      </c>
      <c r="FL15" s="256">
        <f t="shared" si="40"/>
        <v>2938</v>
      </c>
      <c r="FM15" s="256">
        <f t="shared" si="40"/>
        <v>10626</v>
      </c>
      <c r="FN15" s="268">
        <f>SUM(Data[[#This Row],[Fall 18 LC+NC All Enroll]:[Fall 20 LC+NC All Enroll]])</f>
        <v>120464</v>
      </c>
      <c r="FO15" s="89">
        <f t="shared" si="28"/>
        <v>0.17035165149070422</v>
      </c>
      <c r="FP15" s="252">
        <v>1.0999999999999999E-2</v>
      </c>
      <c r="FQ15" s="75">
        <f t="shared" si="29"/>
        <v>7.807414145197393E-2</v>
      </c>
      <c r="FR15" s="75">
        <f t="shared" si="29"/>
        <v>1.5255995606273266E-2</v>
      </c>
      <c r="FS15" s="75">
        <f t="shared" si="29"/>
        <v>0.11166841421618491</v>
      </c>
      <c r="FT15" s="260">
        <f t="shared" si="29"/>
        <v>0.66864600326264279</v>
      </c>
      <c r="FU15" s="260">
        <f t="shared" si="29"/>
        <v>7.0234993186870986E-2</v>
      </c>
      <c r="FV15" s="260">
        <f t="shared" si="29"/>
        <v>7.1708146628515892E-2</v>
      </c>
      <c r="FW15" s="269">
        <v>1398</v>
      </c>
      <c r="FX15" s="268">
        <v>592</v>
      </c>
      <c r="FY15" s="268">
        <v>500</v>
      </c>
      <c r="FZ15" s="268">
        <v>8882</v>
      </c>
      <c r="GA15" s="268">
        <v>4368</v>
      </c>
      <c r="GB15" s="268">
        <v>2901</v>
      </c>
      <c r="GC15" s="268">
        <v>6488</v>
      </c>
      <c r="GD15" s="268">
        <f>SUM(Data[[#This Row],[Fall 18 LC Non-eCore Enroll]:[Fall 20 LC Non-eCore Enroll]])</f>
        <v>25129</v>
      </c>
      <c r="GE15" s="89">
        <f t="shared" si="30"/>
        <v>3.5535650902426504E-2</v>
      </c>
      <c r="GF15" s="252">
        <v>1.0999999999999999E-2</v>
      </c>
      <c r="GG15" s="252">
        <f t="shared" si="31"/>
        <v>5.2792566235943536E-3</v>
      </c>
      <c r="GH15" s="252">
        <f t="shared" si="31"/>
        <v>1.5255995606273266E-2</v>
      </c>
      <c r="GI15" s="252">
        <f t="shared" si="31"/>
        <v>6.9500305169094972E-2</v>
      </c>
      <c r="GJ15" s="259">
        <f t="shared" si="31"/>
        <v>3.5628058727569328E-2</v>
      </c>
      <c r="GK15" s="259">
        <f t="shared" si="31"/>
        <v>6.9350481700174507E-2</v>
      </c>
      <c r="GL15" s="259">
        <f t="shared" si="31"/>
        <v>4.3783404416131294E-2</v>
      </c>
      <c r="GM15" s="269">
        <v>0</v>
      </c>
      <c r="GN15" s="268">
        <v>8163</v>
      </c>
      <c r="GO15" s="268">
        <v>0</v>
      </c>
      <c r="GP15" s="268">
        <v>5389</v>
      </c>
      <c r="GQ15" s="268">
        <v>77608</v>
      </c>
      <c r="GR15" s="268">
        <v>37</v>
      </c>
      <c r="GS15" s="268">
        <v>4138</v>
      </c>
      <c r="GT15" s="268">
        <f>SUM(Data[[#This Row],[Fall 18 NC Non-eCore Enroll]:[Fall 20 NC Non-eCore Enroll]])</f>
        <v>95335</v>
      </c>
      <c r="GU15" s="89">
        <f t="shared" si="32"/>
        <v>0.13481600058827772</v>
      </c>
      <c r="GV15" s="252">
        <v>0</v>
      </c>
      <c r="GW15" s="252">
        <f t="shared" si="33"/>
        <v>7.2794884828379577E-2</v>
      </c>
      <c r="GX15" s="252">
        <f t="shared" si="33"/>
        <v>0</v>
      </c>
      <c r="GY15" s="252">
        <f t="shared" si="33"/>
        <v>4.2168109047089938E-2</v>
      </c>
      <c r="GZ15" s="259">
        <f t="shared" si="33"/>
        <v>0.63301794453507343</v>
      </c>
      <c r="HA15" s="259">
        <f t="shared" si="33"/>
        <v>8.8451148669646909E-4</v>
      </c>
      <c r="HB15" s="259">
        <f t="shared" si="33"/>
        <v>2.7924742212384602E-2</v>
      </c>
      <c r="HC15" s="269">
        <v>1398</v>
      </c>
      <c r="HD15" s="268">
        <v>8755</v>
      </c>
      <c r="HE15" s="269">
        <f t="shared" si="41"/>
        <v>500</v>
      </c>
      <c r="HF15" s="269">
        <f t="shared" si="41"/>
        <v>14271</v>
      </c>
      <c r="HG15" s="257">
        <f t="shared" si="41"/>
        <v>81976</v>
      </c>
      <c r="HH15" s="257">
        <f t="shared" si="41"/>
        <v>2938</v>
      </c>
      <c r="HI15" s="257">
        <f t="shared" si="41"/>
        <v>10626</v>
      </c>
      <c r="HJ15" s="269">
        <f>SUM(Data[[#This Row],[Fall 18 LC+NC Non-eCore Enroll]:[Fall 20 LC+NC Non-eCore Enroll]])</f>
        <v>120464</v>
      </c>
      <c r="HK15" s="91">
        <f t="shared" si="34"/>
        <v>0.17035165149070422</v>
      </c>
      <c r="HL15" s="268">
        <v>120427</v>
      </c>
      <c r="HM15" s="268">
        <v>103382</v>
      </c>
      <c r="HN15" s="268">
        <v>32274</v>
      </c>
      <c r="HO15" s="82">
        <v>113527</v>
      </c>
      <c r="HP15" s="82">
        <v>40624</v>
      </c>
      <c r="HQ15" s="82">
        <v>38893</v>
      </c>
      <c r="HR15" s="82">
        <v>137558</v>
      </c>
      <c r="HS15" s="256">
        <f>SUM(Data[[#This Row],[Fall 18 Non-eCore None Enroll]:[Fall 20 Non-eCore None Enroll]])</f>
        <v>586685</v>
      </c>
      <c r="HT15" s="89">
        <f t="shared" si="35"/>
        <v>0.82964834850929581</v>
      </c>
      <c r="HU15" s="252">
        <v>1.0999999999999999E-2</v>
      </c>
      <c r="HV15" s="252">
        <f t="shared" si="36"/>
        <v>7.807414145197393E-2</v>
      </c>
      <c r="HW15" s="252">
        <f t="shared" si="36"/>
        <v>1.5255995606273266E-2</v>
      </c>
      <c r="HX15" s="252">
        <f t="shared" si="36"/>
        <v>0.11166841421618491</v>
      </c>
      <c r="HY15" s="259">
        <f t="shared" si="36"/>
        <v>0.66864600326264279</v>
      </c>
      <c r="HZ15" s="259">
        <f t="shared" si="36"/>
        <v>7.0234993186870986E-2</v>
      </c>
      <c r="IA15" s="259">
        <f t="shared" si="36"/>
        <v>7.1708146628515892E-2</v>
      </c>
    </row>
    <row r="16" spans="1:235" x14ac:dyDescent="0.25">
      <c r="A16" s="79" t="s">
        <v>210</v>
      </c>
      <c r="B16" s="79" t="s">
        <v>2293</v>
      </c>
      <c r="C16" s="280">
        <f>Data[[#This Row],[Spring 20 No eCore Low-Cost Sections]]+Data[[#This Row],[Summer 20 No eCore Low-Cost Sections]]+Data[[#This Row],[Fall 20 No eCore Low-Cost Sections]]</f>
        <v>625</v>
      </c>
      <c r="D16" s="281">
        <f>Data[[#This Row],[2020 LC Total]]/(Data[[#This Row],[Spring 20 All Sections]]+Data[[#This Row],[Summer 20 All Sections]]+Data[[#This Row],[Fall 20 All Sections]])</f>
        <v>5.0184679621005299E-2</v>
      </c>
      <c r="E16" s="280">
        <f>Data[[#This Row],[Spring 20 No eCore No-Cost Sections]]+Data[[#This Row],[Summer 20 No eCore No-Cost Sections]]+Data[[#This Row],[Fall 20 No eCore No-Cost Sections]]</f>
        <v>357</v>
      </c>
      <c r="F16" s="281">
        <f>Data[[#This Row],[2020 NC Total]]/(Data[[#This Row],[Spring 20 All Sections]]+Data[[#This Row],[Summer 20 All Sections]]+Data[[#This Row],[Fall 20 All Sections]])</f>
        <v>2.8665488999518228E-2</v>
      </c>
      <c r="G16" s="280">
        <f>Data[[#This Row],[2020 LC Total]]+Data[[#This Row],[2020 NC Total]]</f>
        <v>982</v>
      </c>
      <c r="H16" s="281">
        <f>Data[[#This Row],[2020 NC+LC Total]]/(Data[[#This Row],[Spring 20 All Sections]]+Data[[#This Row],[Summer 20 All Sections]]+Data[[#This Row],[Fall 20 All Sections]])</f>
        <v>7.885016862052352E-2</v>
      </c>
      <c r="I16" s="249">
        <v>5927</v>
      </c>
      <c r="J16" s="250">
        <v>5586</v>
      </c>
      <c r="K16" s="251">
        <v>1897</v>
      </c>
      <c r="L16" s="82">
        <v>5734</v>
      </c>
      <c r="M16" s="82">
        <v>5356</v>
      </c>
      <c r="N16" s="82">
        <v>1525</v>
      </c>
      <c r="O16" s="82">
        <v>5573</v>
      </c>
      <c r="P16" s="82">
        <f>SUM(Data[[#This Row],[Fall 18 All Sections]:[Fall 20 All Sections]])</f>
        <v>31598</v>
      </c>
      <c r="Q16" s="249">
        <v>257</v>
      </c>
      <c r="R16" s="250">
        <v>251</v>
      </c>
      <c r="S16" s="250">
        <v>75</v>
      </c>
      <c r="T16" s="82">
        <v>264</v>
      </c>
      <c r="U16" s="82">
        <v>248</v>
      </c>
      <c r="V16" s="82">
        <v>58</v>
      </c>
      <c r="W16" s="82">
        <v>320</v>
      </c>
      <c r="X16" s="249">
        <v>5670</v>
      </c>
      <c r="Y16" s="250">
        <v>5335</v>
      </c>
      <c r="Z16" s="84">
        <v>1822</v>
      </c>
      <c r="AA16" s="82">
        <v>5470</v>
      </c>
      <c r="AB16" s="82">
        <v>5108</v>
      </c>
      <c r="AC16" s="82">
        <v>1467</v>
      </c>
      <c r="AD16" s="82">
        <v>5253</v>
      </c>
      <c r="AE16" s="249">
        <v>3</v>
      </c>
      <c r="AF16" s="82">
        <v>7</v>
      </c>
      <c r="AG16" s="82">
        <v>19</v>
      </c>
      <c r="AH16" s="82">
        <v>295</v>
      </c>
      <c r="AI16" s="82">
        <v>99</v>
      </c>
      <c r="AJ16" s="82">
        <v>11</v>
      </c>
      <c r="AK16" s="82">
        <v>515</v>
      </c>
      <c r="AL16" s="249">
        <v>143</v>
      </c>
      <c r="AM16" s="82">
        <v>273</v>
      </c>
      <c r="AN16" s="82">
        <v>79</v>
      </c>
      <c r="AO16" s="82">
        <v>343</v>
      </c>
      <c r="AP16" s="82">
        <v>271</v>
      </c>
      <c r="AQ16" s="82">
        <v>59</v>
      </c>
      <c r="AR16" s="82">
        <v>652</v>
      </c>
      <c r="AS16" s="249">
        <v>146</v>
      </c>
      <c r="AT16" s="82">
        <v>280</v>
      </c>
      <c r="AU16" s="82">
        <f t="shared" si="0"/>
        <v>98</v>
      </c>
      <c r="AV16" s="82">
        <f t="shared" si="0"/>
        <v>638</v>
      </c>
      <c r="AW16" s="82">
        <f t="shared" si="0"/>
        <v>370</v>
      </c>
      <c r="AX16" s="82">
        <f t="shared" si="0"/>
        <v>70</v>
      </c>
      <c r="AY16" s="82">
        <f t="shared" si="0"/>
        <v>1167</v>
      </c>
      <c r="AZ16" s="249">
        <v>3</v>
      </c>
      <c r="BA16" s="82">
        <v>7</v>
      </c>
      <c r="BB16" s="82">
        <v>19</v>
      </c>
      <c r="BC16" s="82">
        <v>295</v>
      </c>
      <c r="BD16" s="82">
        <v>99</v>
      </c>
      <c r="BE16" s="82">
        <v>11</v>
      </c>
      <c r="BF16" s="82">
        <v>515</v>
      </c>
      <c r="BG16" s="249">
        <v>31</v>
      </c>
      <c r="BH16" s="82">
        <v>24</v>
      </c>
      <c r="BI16" s="82">
        <v>4</v>
      </c>
      <c r="BJ16" s="82">
        <v>79</v>
      </c>
      <c r="BK16" s="82">
        <v>24</v>
      </c>
      <c r="BL16" s="82">
        <v>1</v>
      </c>
      <c r="BM16" s="82">
        <v>332</v>
      </c>
      <c r="BN16" s="249">
        <v>34</v>
      </c>
      <c r="BO16" s="82">
        <v>31</v>
      </c>
      <c r="BP16" s="85">
        <f t="shared" si="1"/>
        <v>23</v>
      </c>
      <c r="BQ16" s="85">
        <f t="shared" si="37"/>
        <v>374</v>
      </c>
      <c r="BR16" s="85">
        <f t="shared" si="38"/>
        <v>123</v>
      </c>
      <c r="BS16" s="85">
        <f t="shared" si="39"/>
        <v>12</v>
      </c>
      <c r="BT16" s="85">
        <f t="shared" si="39"/>
        <v>847</v>
      </c>
      <c r="BU16" s="252">
        <v>1E-3</v>
      </c>
      <c r="BV16" s="252">
        <f t="shared" si="2"/>
        <v>1.2531328320802004E-3</v>
      </c>
      <c r="BW16" s="252">
        <f t="shared" si="3"/>
        <v>1.0015814443858724E-2</v>
      </c>
      <c r="BX16" s="252">
        <f t="shared" si="4"/>
        <v>5.1447506103941401E-2</v>
      </c>
      <c r="BY16" s="252">
        <f t="shared" si="5"/>
        <v>1.8483943241224796E-2</v>
      </c>
      <c r="BZ16" s="252">
        <f t="shared" si="6"/>
        <v>7.2131147540983606E-3</v>
      </c>
      <c r="CA16" s="252">
        <f t="shared" si="7"/>
        <v>9.2409833123990676E-2</v>
      </c>
      <c r="CB16" s="252">
        <v>2.4E-2</v>
      </c>
      <c r="CC16" s="252">
        <f t="shared" si="8"/>
        <v>4.8872180451127817E-2</v>
      </c>
      <c r="CD16" s="252">
        <f t="shared" si="9"/>
        <v>4.1644702161307327E-2</v>
      </c>
      <c r="CE16" s="252">
        <f t="shared" si="10"/>
        <v>5.9818625741192885E-2</v>
      </c>
      <c r="CF16" s="252">
        <f t="shared" si="11"/>
        <v>5.0597460791635546E-2</v>
      </c>
      <c r="CG16" s="252">
        <f t="shared" si="12"/>
        <v>3.8688524590163934E-2</v>
      </c>
      <c r="CH16" s="252">
        <f t="shared" si="13"/>
        <v>0.11699264310066392</v>
      </c>
      <c r="CI16" s="253">
        <v>2.5000000000000001E-2</v>
      </c>
      <c r="CJ16" s="253">
        <f t="shared" si="14"/>
        <v>5.0125313283208017E-2</v>
      </c>
      <c r="CK16" s="253">
        <f t="shared" si="15"/>
        <v>5.1660516605166053E-2</v>
      </c>
      <c r="CL16" s="253">
        <f t="shared" si="16"/>
        <v>0.11126613184513429</v>
      </c>
      <c r="CM16" s="253">
        <f t="shared" si="17"/>
        <v>6.9081404032860338E-2</v>
      </c>
      <c r="CN16" s="253">
        <f t="shared" si="18"/>
        <v>4.5901639344262293E-2</v>
      </c>
      <c r="CO16" s="253">
        <f t="shared" si="19"/>
        <v>0.20940247622465458</v>
      </c>
      <c r="CP16" s="253">
        <v>1E-3</v>
      </c>
      <c r="CQ16" s="253">
        <f t="shared" si="20"/>
        <v>1.3120899718837863E-3</v>
      </c>
      <c r="CR16" s="253">
        <f t="shared" si="20"/>
        <v>1.0428100987925357E-2</v>
      </c>
      <c r="CS16" s="253">
        <f t="shared" si="20"/>
        <v>5.3930530164533821E-2</v>
      </c>
      <c r="CT16" s="253">
        <f t="shared" si="20"/>
        <v>1.938136256851997E-2</v>
      </c>
      <c r="CU16" s="253">
        <f t="shared" si="20"/>
        <v>7.498295841854124E-3</v>
      </c>
      <c r="CV16" s="253">
        <f t="shared" si="20"/>
        <v>9.8039215686274508E-2</v>
      </c>
      <c r="CW16" s="253">
        <v>5.0000000000000001E-3</v>
      </c>
      <c r="CX16" s="253">
        <f t="shared" si="21"/>
        <v>4.4985941893158389E-3</v>
      </c>
      <c r="CY16" s="253">
        <f t="shared" si="21"/>
        <v>2.1953896816684962E-3</v>
      </c>
      <c r="CZ16" s="253">
        <f t="shared" si="21"/>
        <v>1.4442413162705668E-2</v>
      </c>
      <c r="DA16" s="253">
        <f t="shared" si="21"/>
        <v>4.6985121378230231E-3</v>
      </c>
      <c r="DB16" s="253">
        <f t="shared" si="21"/>
        <v>6.8166325835037494E-4</v>
      </c>
      <c r="DC16" s="253">
        <f t="shared" si="21"/>
        <v>6.3201979821054632E-2</v>
      </c>
      <c r="DD16" s="253">
        <v>6.0000000000000001E-3</v>
      </c>
      <c r="DE16" s="74">
        <f t="shared" si="22"/>
        <v>5.8106841611996248E-3</v>
      </c>
      <c r="DF16" s="74">
        <f t="shared" si="22"/>
        <v>1.2623490669593854E-2</v>
      </c>
      <c r="DG16" s="74">
        <f t="shared" si="22"/>
        <v>6.8372943327239491E-2</v>
      </c>
      <c r="DH16" s="74">
        <f t="shared" si="22"/>
        <v>2.4079874706342992E-2</v>
      </c>
      <c r="DI16" s="74">
        <f t="shared" si="22"/>
        <v>8.1799591002044997E-3</v>
      </c>
      <c r="DJ16" s="74">
        <f t="shared" si="22"/>
        <v>0.16124119550732915</v>
      </c>
      <c r="DK16" s="266">
        <v>126033</v>
      </c>
      <c r="DL16" s="266">
        <v>110932</v>
      </c>
      <c r="DM16" s="267">
        <v>32302</v>
      </c>
      <c r="DN16" s="268">
        <v>125006</v>
      </c>
      <c r="DO16" s="268">
        <v>105356</v>
      </c>
      <c r="DP16" s="268">
        <v>31806</v>
      </c>
      <c r="DQ16" s="268">
        <v>127043</v>
      </c>
      <c r="DR16" s="268">
        <f>SUM(Data[[#This Row],[Fall 18 All Enroll]:[Fall 20 All Enroll]])</f>
        <v>658478</v>
      </c>
      <c r="DS16" s="266">
        <v>124838</v>
      </c>
      <c r="DT16" s="267">
        <v>109499</v>
      </c>
      <c r="DU16" s="267">
        <v>31980</v>
      </c>
      <c r="DV16" s="268">
        <v>123810</v>
      </c>
      <c r="DW16" s="268">
        <v>104130</v>
      </c>
      <c r="DX16" s="268">
        <v>31627</v>
      </c>
      <c r="DY16" s="268">
        <v>125980</v>
      </c>
      <c r="DZ16" s="268">
        <f>SUM(Data[[#This Row],[Fall 18 Non-eCore Enroll]:[Fall 20 Non-eCore Enroll]])</f>
        <v>651864</v>
      </c>
      <c r="EA16" s="269">
        <v>93</v>
      </c>
      <c r="EB16" s="268">
        <v>123</v>
      </c>
      <c r="EC16" s="268">
        <v>226</v>
      </c>
      <c r="ED16" s="268">
        <v>6690</v>
      </c>
      <c r="EE16" s="268">
        <v>1967</v>
      </c>
      <c r="EF16" s="268">
        <v>264</v>
      </c>
      <c r="EG16" s="268">
        <v>13767</v>
      </c>
      <c r="EH16" s="268">
        <f>SUM(Data[[#This Row],[Fall 18 LC All Enroll]:[Fall 20 LC All Enroll]])</f>
        <v>23130</v>
      </c>
      <c r="EI16" s="89">
        <f t="shared" si="23"/>
        <v>3.5126458287140949E-2</v>
      </c>
      <c r="EJ16" s="252">
        <v>1E-3</v>
      </c>
      <c r="EK16" s="252">
        <f t="shared" si="24"/>
        <v>1.1087873652327552E-3</v>
      </c>
      <c r="EL16" s="252">
        <f t="shared" si="24"/>
        <v>6.9964708067611911E-3</v>
      </c>
      <c r="EM16" s="252">
        <f t="shared" si="24"/>
        <v>5.3517431163304159E-2</v>
      </c>
      <c r="EN16" s="259">
        <f t="shared" si="24"/>
        <v>1.8670033030866777E-2</v>
      </c>
      <c r="EO16" s="259">
        <f t="shared" si="24"/>
        <v>8.3003206942086401E-3</v>
      </c>
      <c r="EP16" s="259">
        <f t="shared" si="24"/>
        <v>0.10836488433050227</v>
      </c>
      <c r="EQ16" s="269">
        <v>1057</v>
      </c>
      <c r="ER16" s="268">
        <v>1908</v>
      </c>
      <c r="ES16" s="268">
        <v>444</v>
      </c>
      <c r="ET16" s="268">
        <v>2004</v>
      </c>
      <c r="EU16" s="268">
        <v>1468</v>
      </c>
      <c r="EV16" s="268">
        <v>203</v>
      </c>
      <c r="EW16" s="268">
        <v>5431</v>
      </c>
      <c r="EX16" s="268">
        <f>SUM(Data[[#This Row],[Fall 18 NC All Enroll]:[Fall 20 NC All Enroll]])</f>
        <v>12515</v>
      </c>
      <c r="EY16" s="89">
        <f t="shared" si="25"/>
        <v>1.9005950084892736E-2</v>
      </c>
      <c r="EZ16" s="252">
        <v>8.0000000000000002E-3</v>
      </c>
      <c r="FA16" s="252">
        <f t="shared" si="26"/>
        <v>1.7199725958244691E-2</v>
      </c>
      <c r="FB16" s="252">
        <f t="shared" si="26"/>
        <v>1.3745278930097207E-2</v>
      </c>
      <c r="FC16" s="252">
        <f t="shared" si="26"/>
        <v>1.6031230500935956E-2</v>
      </c>
      <c r="FD16" s="259">
        <f t="shared" si="26"/>
        <v>1.3933710467367782E-2</v>
      </c>
      <c r="FE16" s="259">
        <f t="shared" si="26"/>
        <v>6.3824435641074012E-3</v>
      </c>
      <c r="FF16" s="259">
        <f t="shared" si="26"/>
        <v>4.2749305353305574E-2</v>
      </c>
      <c r="FG16" s="269">
        <v>1150</v>
      </c>
      <c r="FH16" s="268">
        <v>2031</v>
      </c>
      <c r="FI16" s="268">
        <f t="shared" si="27"/>
        <v>670</v>
      </c>
      <c r="FJ16" s="268">
        <f t="shared" si="40"/>
        <v>8694</v>
      </c>
      <c r="FK16" s="256">
        <f t="shared" si="40"/>
        <v>3435</v>
      </c>
      <c r="FL16" s="256">
        <f t="shared" si="40"/>
        <v>467</v>
      </c>
      <c r="FM16" s="256">
        <f t="shared" si="40"/>
        <v>19198</v>
      </c>
      <c r="FN16" s="268">
        <f>SUM(Data[[#This Row],[Fall 18 LC+NC All Enroll]:[Fall 20 LC+NC All Enroll]])</f>
        <v>35645</v>
      </c>
      <c r="FO16" s="89">
        <f t="shared" si="28"/>
        <v>5.4132408372033688E-2</v>
      </c>
      <c r="FP16" s="252">
        <v>8.9999999999999993E-3</v>
      </c>
      <c r="FQ16" s="75">
        <f t="shared" si="29"/>
        <v>1.8308513323477445E-2</v>
      </c>
      <c r="FR16" s="75">
        <f t="shared" si="29"/>
        <v>2.0741749736858398E-2</v>
      </c>
      <c r="FS16" s="75">
        <f t="shared" si="29"/>
        <v>6.9548661664240119E-2</v>
      </c>
      <c r="FT16" s="260">
        <f t="shared" si="29"/>
        <v>3.2603743498234555E-2</v>
      </c>
      <c r="FU16" s="260">
        <f t="shared" si="29"/>
        <v>1.4682764258316041E-2</v>
      </c>
      <c r="FV16" s="260">
        <f t="shared" si="29"/>
        <v>0.15111418968380785</v>
      </c>
      <c r="FW16" s="269">
        <v>93</v>
      </c>
      <c r="FX16" s="268">
        <v>123</v>
      </c>
      <c r="FY16" s="268">
        <v>226</v>
      </c>
      <c r="FZ16" s="268">
        <v>6690</v>
      </c>
      <c r="GA16" s="268">
        <v>1967</v>
      </c>
      <c r="GB16" s="268">
        <v>264</v>
      </c>
      <c r="GC16" s="268">
        <v>13767</v>
      </c>
      <c r="GD16" s="268">
        <f>SUM(Data[[#This Row],[Fall 18 LC Non-eCore Enroll]:[Fall 20 LC Non-eCore Enroll]])</f>
        <v>23130</v>
      </c>
      <c r="GE16" s="89">
        <f t="shared" si="30"/>
        <v>3.5482861455763778E-2</v>
      </c>
      <c r="GF16" s="252">
        <v>1E-3</v>
      </c>
      <c r="GG16" s="252">
        <f t="shared" si="31"/>
        <v>1.1232979296614582E-3</v>
      </c>
      <c r="GH16" s="252">
        <f t="shared" si="31"/>
        <v>7.0669168230143844E-3</v>
      </c>
      <c r="GI16" s="252">
        <f t="shared" si="31"/>
        <v>5.4034407559970923E-2</v>
      </c>
      <c r="GJ16" s="259">
        <f t="shared" si="31"/>
        <v>1.8889849226927879E-2</v>
      </c>
      <c r="GK16" s="259">
        <f t="shared" si="31"/>
        <v>8.3472981945805803E-3</v>
      </c>
      <c r="GL16" s="259">
        <f t="shared" si="31"/>
        <v>0.10927925067471027</v>
      </c>
      <c r="GM16" s="269">
        <v>435</v>
      </c>
      <c r="GN16" s="268">
        <v>482</v>
      </c>
      <c r="GO16" s="268">
        <v>122</v>
      </c>
      <c r="GP16" s="268">
        <v>808</v>
      </c>
      <c r="GQ16" s="268">
        <v>272</v>
      </c>
      <c r="GR16" s="268">
        <v>24</v>
      </c>
      <c r="GS16" s="268">
        <v>4368</v>
      </c>
      <c r="GT16" s="268">
        <f>SUM(Data[[#This Row],[Fall 18 NC Non-eCore Enroll]:[Fall 20 NC Non-eCore Enroll]])</f>
        <v>6511</v>
      </c>
      <c r="GU16" s="89">
        <f t="shared" si="32"/>
        <v>9.9882797638771274E-3</v>
      </c>
      <c r="GV16" s="252">
        <v>3.0000000000000001E-3</v>
      </c>
      <c r="GW16" s="252">
        <f t="shared" si="33"/>
        <v>4.4018666837140064E-3</v>
      </c>
      <c r="GX16" s="252">
        <f t="shared" si="33"/>
        <v>3.8148843026891807E-3</v>
      </c>
      <c r="GY16" s="252">
        <f t="shared" si="33"/>
        <v>6.5261287456586702E-3</v>
      </c>
      <c r="GZ16" s="259">
        <f t="shared" si="33"/>
        <v>2.6121194660520502E-3</v>
      </c>
      <c r="HA16" s="259">
        <f t="shared" si="33"/>
        <v>7.5884529041641635E-4</v>
      </c>
      <c r="HB16" s="259">
        <f t="shared" si="33"/>
        <v>3.467217018574377E-2</v>
      </c>
      <c r="HC16" s="269">
        <v>528</v>
      </c>
      <c r="HD16" s="268">
        <v>605</v>
      </c>
      <c r="HE16" s="269">
        <f t="shared" si="41"/>
        <v>348</v>
      </c>
      <c r="HF16" s="269">
        <f t="shared" si="41"/>
        <v>7498</v>
      </c>
      <c r="HG16" s="257">
        <f t="shared" si="41"/>
        <v>2239</v>
      </c>
      <c r="HH16" s="257">
        <f t="shared" si="41"/>
        <v>288</v>
      </c>
      <c r="HI16" s="257">
        <f t="shared" si="41"/>
        <v>18135</v>
      </c>
      <c r="HJ16" s="269">
        <f>SUM(Data[[#This Row],[Fall 18 LC+NC Non-eCore Enroll]:[Fall 20 LC+NC Non-eCore Enroll]])</f>
        <v>29641</v>
      </c>
      <c r="HK16" s="91">
        <f t="shared" si="34"/>
        <v>4.5471141219640909E-2</v>
      </c>
      <c r="HL16" s="268">
        <v>124310</v>
      </c>
      <c r="HM16" s="268">
        <v>108894</v>
      </c>
      <c r="HN16" s="268">
        <v>31632</v>
      </c>
      <c r="HO16" s="82">
        <v>116312</v>
      </c>
      <c r="HP16" s="82">
        <v>101891</v>
      </c>
      <c r="HQ16" s="82">
        <v>31339</v>
      </c>
      <c r="HR16" s="82">
        <v>107845</v>
      </c>
      <c r="HS16" s="256">
        <f>SUM(Data[[#This Row],[Fall 18 Non-eCore None Enroll]:[Fall 20 Non-eCore None Enroll]])</f>
        <v>622223</v>
      </c>
      <c r="HT16" s="89">
        <f t="shared" si="35"/>
        <v>0.95452885878035909</v>
      </c>
      <c r="HU16" s="252">
        <v>4.0000000000000001E-3</v>
      </c>
      <c r="HV16" s="252">
        <f t="shared" si="36"/>
        <v>5.5251646133754649E-3</v>
      </c>
      <c r="HW16" s="252">
        <f t="shared" si="36"/>
        <v>1.0881801125703566E-2</v>
      </c>
      <c r="HX16" s="252">
        <f t="shared" si="36"/>
        <v>6.0560536305629596E-2</v>
      </c>
      <c r="HY16" s="259">
        <f t="shared" si="36"/>
        <v>2.150196869297993E-2</v>
      </c>
      <c r="HZ16" s="259">
        <f t="shared" si="36"/>
        <v>9.1061434849969963E-3</v>
      </c>
      <c r="IA16" s="259">
        <f t="shared" si="36"/>
        <v>0.14395142086045404</v>
      </c>
    </row>
    <row r="17" spans="1:235" x14ac:dyDescent="0.25">
      <c r="A17" s="79" t="s">
        <v>201</v>
      </c>
      <c r="B17" s="79" t="s">
        <v>2291</v>
      </c>
      <c r="C17" s="280">
        <f>Data[[#This Row],[Spring 20 No eCore Low-Cost Sections]]+Data[[#This Row],[Summer 20 No eCore Low-Cost Sections]]+Data[[#This Row],[Fall 20 No eCore Low-Cost Sections]]</f>
        <v>27</v>
      </c>
      <c r="D17" s="281">
        <f>Data[[#This Row],[2020 LC Total]]/(Data[[#This Row],[Spring 20 All Sections]]+Data[[#This Row],[Summer 20 All Sections]]+Data[[#This Row],[Fall 20 All Sections]])</f>
        <v>1.2505789717461788E-2</v>
      </c>
      <c r="E17" s="280">
        <f>Data[[#This Row],[Spring 20 No eCore No-Cost Sections]]+Data[[#This Row],[Summer 20 No eCore No-Cost Sections]]+Data[[#This Row],[Fall 20 No eCore No-Cost Sections]]</f>
        <v>315</v>
      </c>
      <c r="F17" s="281">
        <f>Data[[#This Row],[2020 NC Total]]/(Data[[#This Row],[Spring 20 All Sections]]+Data[[#This Row],[Summer 20 All Sections]]+Data[[#This Row],[Fall 20 All Sections]])</f>
        <v>0.1459008800370542</v>
      </c>
      <c r="G17" s="280">
        <f>Data[[#This Row],[2020 LC Total]]+Data[[#This Row],[2020 NC Total]]</f>
        <v>342</v>
      </c>
      <c r="H17" s="281">
        <f>Data[[#This Row],[2020 NC+LC Total]]/(Data[[#This Row],[Spring 20 All Sections]]+Data[[#This Row],[Summer 20 All Sections]]+Data[[#This Row],[Fall 20 All Sections]])</f>
        <v>0.15840666975451598</v>
      </c>
      <c r="I17" s="249">
        <v>882</v>
      </c>
      <c r="J17" s="250">
        <v>880</v>
      </c>
      <c r="K17" s="251">
        <v>347</v>
      </c>
      <c r="L17" s="82">
        <v>896</v>
      </c>
      <c r="M17" s="82">
        <v>863</v>
      </c>
      <c r="N17" s="82">
        <v>294</v>
      </c>
      <c r="O17" s="82">
        <v>1002</v>
      </c>
      <c r="P17" s="82">
        <f>SUM(Data[[#This Row],[Fall 18 All Sections]:[Fall 20 All Sections]])</f>
        <v>5164</v>
      </c>
      <c r="Q17" s="249">
        <v>186</v>
      </c>
      <c r="R17" s="250">
        <v>197</v>
      </c>
      <c r="S17" s="250">
        <v>68</v>
      </c>
      <c r="T17" s="82">
        <v>209</v>
      </c>
      <c r="U17" s="82">
        <v>195</v>
      </c>
      <c r="V17" s="82">
        <v>63</v>
      </c>
      <c r="W17" s="82">
        <v>302</v>
      </c>
      <c r="X17" s="249">
        <v>696</v>
      </c>
      <c r="Y17" s="250">
        <v>683</v>
      </c>
      <c r="Z17" s="84">
        <v>279</v>
      </c>
      <c r="AA17" s="82">
        <v>687</v>
      </c>
      <c r="AB17" s="82">
        <v>668</v>
      </c>
      <c r="AC17" s="82">
        <v>231</v>
      </c>
      <c r="AD17" s="82">
        <v>700</v>
      </c>
      <c r="AE17" s="249">
        <v>22</v>
      </c>
      <c r="AF17" s="82">
        <v>5</v>
      </c>
      <c r="AG17" s="82">
        <v>14</v>
      </c>
      <c r="AH17" s="82">
        <v>14</v>
      </c>
      <c r="AI17" s="82">
        <v>18</v>
      </c>
      <c r="AJ17" s="82">
        <v>4</v>
      </c>
      <c r="AK17" s="82">
        <v>5</v>
      </c>
      <c r="AL17" s="249">
        <v>262</v>
      </c>
      <c r="AM17" s="82">
        <v>260</v>
      </c>
      <c r="AN17" s="82">
        <v>136</v>
      </c>
      <c r="AO17" s="82">
        <v>436</v>
      </c>
      <c r="AP17" s="82">
        <v>345</v>
      </c>
      <c r="AQ17" s="82">
        <v>93</v>
      </c>
      <c r="AR17" s="82">
        <v>435</v>
      </c>
      <c r="AS17" s="249">
        <v>284</v>
      </c>
      <c r="AT17" s="82">
        <v>265</v>
      </c>
      <c r="AU17" s="82">
        <f t="shared" si="0"/>
        <v>150</v>
      </c>
      <c r="AV17" s="82">
        <f t="shared" si="0"/>
        <v>450</v>
      </c>
      <c r="AW17" s="82">
        <f t="shared" si="0"/>
        <v>363</v>
      </c>
      <c r="AX17" s="82">
        <f t="shared" si="0"/>
        <v>97</v>
      </c>
      <c r="AY17" s="82">
        <f t="shared" si="0"/>
        <v>440</v>
      </c>
      <c r="AZ17" s="249">
        <v>22</v>
      </c>
      <c r="BA17" s="82">
        <v>5</v>
      </c>
      <c r="BB17" s="82">
        <v>14</v>
      </c>
      <c r="BC17" s="82">
        <v>14</v>
      </c>
      <c r="BD17" s="82">
        <v>18</v>
      </c>
      <c r="BE17" s="82">
        <v>4</v>
      </c>
      <c r="BF17" s="82">
        <v>5</v>
      </c>
      <c r="BG17" s="249">
        <v>86</v>
      </c>
      <c r="BH17" s="82">
        <v>63</v>
      </c>
      <c r="BI17" s="82">
        <v>68</v>
      </c>
      <c r="BJ17" s="82">
        <v>227</v>
      </c>
      <c r="BK17" s="82">
        <v>151</v>
      </c>
      <c r="BL17" s="82">
        <v>31</v>
      </c>
      <c r="BM17" s="82">
        <v>133</v>
      </c>
      <c r="BN17" s="249">
        <v>108</v>
      </c>
      <c r="BO17" s="82">
        <v>68</v>
      </c>
      <c r="BP17" s="85">
        <f t="shared" si="1"/>
        <v>82</v>
      </c>
      <c r="BQ17" s="85">
        <f t="shared" si="37"/>
        <v>241</v>
      </c>
      <c r="BR17" s="85">
        <f t="shared" si="38"/>
        <v>169</v>
      </c>
      <c r="BS17" s="85">
        <f t="shared" si="39"/>
        <v>35</v>
      </c>
      <c r="BT17" s="85">
        <f t="shared" si="39"/>
        <v>138</v>
      </c>
      <c r="BU17" s="252">
        <v>2.5000000000000001E-2</v>
      </c>
      <c r="BV17" s="252">
        <f t="shared" si="2"/>
        <v>5.681818181818182E-3</v>
      </c>
      <c r="BW17" s="252">
        <f t="shared" si="3"/>
        <v>4.0345821325648415E-2</v>
      </c>
      <c r="BX17" s="252">
        <f t="shared" si="4"/>
        <v>1.5625E-2</v>
      </c>
      <c r="BY17" s="252">
        <f t="shared" si="5"/>
        <v>2.085747392815759E-2</v>
      </c>
      <c r="BZ17" s="252">
        <f t="shared" si="6"/>
        <v>1.3605442176870748E-2</v>
      </c>
      <c r="CA17" s="252">
        <f t="shared" si="7"/>
        <v>4.9900199600798403E-3</v>
      </c>
      <c r="CB17" s="252">
        <v>0.29699999999999999</v>
      </c>
      <c r="CC17" s="252">
        <f t="shared" si="8"/>
        <v>0.29545454545454547</v>
      </c>
      <c r="CD17" s="252">
        <f t="shared" si="9"/>
        <v>0.39193083573487031</v>
      </c>
      <c r="CE17" s="252">
        <f t="shared" si="10"/>
        <v>0.48660714285714285</v>
      </c>
      <c r="CF17" s="252">
        <f t="shared" si="11"/>
        <v>0.39976825028968715</v>
      </c>
      <c r="CG17" s="252">
        <f t="shared" si="12"/>
        <v>0.31632653061224492</v>
      </c>
      <c r="CH17" s="252">
        <f t="shared" si="13"/>
        <v>0.43413173652694609</v>
      </c>
      <c r="CI17" s="253">
        <v>0.32200000000000001</v>
      </c>
      <c r="CJ17" s="253">
        <f t="shared" si="14"/>
        <v>0.30113636363636365</v>
      </c>
      <c r="CK17" s="253">
        <f t="shared" si="15"/>
        <v>0.43227665706051871</v>
      </c>
      <c r="CL17" s="253">
        <f t="shared" si="16"/>
        <v>0.5022321428571429</v>
      </c>
      <c r="CM17" s="253">
        <f t="shared" si="17"/>
        <v>0.42062572421784472</v>
      </c>
      <c r="CN17" s="253">
        <f t="shared" si="18"/>
        <v>0.32993197278911562</v>
      </c>
      <c r="CO17" s="253">
        <f t="shared" si="19"/>
        <v>0.43912175648702595</v>
      </c>
      <c r="CP17" s="253">
        <v>3.2000000000000001E-2</v>
      </c>
      <c r="CQ17" s="253">
        <f t="shared" si="20"/>
        <v>7.320644216691069E-3</v>
      </c>
      <c r="CR17" s="253">
        <f t="shared" si="20"/>
        <v>5.0179211469534052E-2</v>
      </c>
      <c r="CS17" s="253">
        <f t="shared" si="20"/>
        <v>2.0378457059679767E-2</v>
      </c>
      <c r="CT17" s="253">
        <f t="shared" si="20"/>
        <v>2.6946107784431138E-2</v>
      </c>
      <c r="CU17" s="253">
        <f t="shared" si="20"/>
        <v>1.7316017316017316E-2</v>
      </c>
      <c r="CV17" s="253">
        <f t="shared" si="20"/>
        <v>7.1428571428571426E-3</v>
      </c>
      <c r="CW17" s="253">
        <v>0.124</v>
      </c>
      <c r="CX17" s="253">
        <f t="shared" si="21"/>
        <v>9.224011713030747E-2</v>
      </c>
      <c r="CY17" s="253">
        <f t="shared" si="21"/>
        <v>0.24372759856630824</v>
      </c>
      <c r="CZ17" s="253">
        <f t="shared" si="21"/>
        <v>0.33042212518195052</v>
      </c>
      <c r="DA17" s="253">
        <f t="shared" si="21"/>
        <v>0.22604790419161677</v>
      </c>
      <c r="DB17" s="253">
        <f t="shared" si="21"/>
        <v>0.13419913419913421</v>
      </c>
      <c r="DC17" s="253">
        <f t="shared" si="21"/>
        <v>0.19</v>
      </c>
      <c r="DD17" s="253">
        <v>0.155</v>
      </c>
      <c r="DE17" s="74">
        <f t="shared" si="22"/>
        <v>9.9560761346998539E-2</v>
      </c>
      <c r="DF17" s="74">
        <f t="shared" si="22"/>
        <v>0.29390681003584229</v>
      </c>
      <c r="DG17" s="74">
        <f t="shared" si="22"/>
        <v>0.3508005822416303</v>
      </c>
      <c r="DH17" s="74">
        <f t="shared" si="22"/>
        <v>0.25299401197604793</v>
      </c>
      <c r="DI17" s="74">
        <f t="shared" si="22"/>
        <v>0.15151515151515152</v>
      </c>
      <c r="DJ17" s="74">
        <f t="shared" si="22"/>
        <v>0.19714285714285715</v>
      </c>
      <c r="DK17" s="266">
        <v>12281</v>
      </c>
      <c r="DL17" s="266">
        <v>10877</v>
      </c>
      <c r="DM17" s="267">
        <v>4256</v>
      </c>
      <c r="DN17" s="268">
        <v>12365</v>
      </c>
      <c r="DO17" s="268">
        <v>10824</v>
      </c>
      <c r="DP17" s="268">
        <v>4388</v>
      </c>
      <c r="DQ17" s="268">
        <v>13223</v>
      </c>
      <c r="DR17" s="268">
        <f>SUM(Data[[#This Row],[Fall 18 All Enroll]:[Fall 20 All Enroll]])</f>
        <v>68214</v>
      </c>
      <c r="DS17" s="266">
        <v>11837</v>
      </c>
      <c r="DT17" s="267">
        <v>10431</v>
      </c>
      <c r="DU17" s="267">
        <v>4110</v>
      </c>
      <c r="DV17" s="268">
        <v>11886</v>
      </c>
      <c r="DW17" s="268">
        <v>10384</v>
      </c>
      <c r="DX17" s="268">
        <v>4244</v>
      </c>
      <c r="DY17" s="268">
        <v>12482</v>
      </c>
      <c r="DZ17" s="268">
        <f>SUM(Data[[#This Row],[Fall 18 Non-eCore Enroll]:[Fall 20 Non-eCore Enroll]])</f>
        <v>65374</v>
      </c>
      <c r="EA17" s="269">
        <v>320</v>
      </c>
      <c r="EB17" s="268">
        <v>103</v>
      </c>
      <c r="EC17" s="268">
        <v>129</v>
      </c>
      <c r="ED17" s="268">
        <v>225</v>
      </c>
      <c r="EE17" s="268">
        <v>223</v>
      </c>
      <c r="EF17" s="268">
        <v>60</v>
      </c>
      <c r="EG17" s="268">
        <v>91</v>
      </c>
      <c r="EH17" s="268">
        <f>SUM(Data[[#This Row],[Fall 18 LC All Enroll]:[Fall 20 LC All Enroll]])</f>
        <v>1151</v>
      </c>
      <c r="EI17" s="89">
        <f t="shared" si="23"/>
        <v>1.6873369103116664E-2</v>
      </c>
      <c r="EJ17" s="252">
        <v>2.5999999999999999E-2</v>
      </c>
      <c r="EK17" s="252">
        <f t="shared" si="24"/>
        <v>9.4695228463730803E-3</v>
      </c>
      <c r="EL17" s="252">
        <f t="shared" si="24"/>
        <v>3.031015037593985E-2</v>
      </c>
      <c r="EM17" s="252">
        <f t="shared" si="24"/>
        <v>1.8196522442377679E-2</v>
      </c>
      <c r="EN17" s="259">
        <f t="shared" si="24"/>
        <v>2.0602365114560237E-2</v>
      </c>
      <c r="EO17" s="259">
        <f t="shared" si="24"/>
        <v>1.3673655423883319E-2</v>
      </c>
      <c r="EP17" s="259">
        <f t="shared" si="24"/>
        <v>6.8819481206987823E-3</v>
      </c>
      <c r="EQ17" s="269">
        <v>2068</v>
      </c>
      <c r="ER17" s="268">
        <v>1390</v>
      </c>
      <c r="ES17" s="268">
        <v>1394</v>
      </c>
      <c r="ET17" s="268">
        <v>3866</v>
      </c>
      <c r="EU17" s="268">
        <v>2243</v>
      </c>
      <c r="EV17" s="268">
        <v>701</v>
      </c>
      <c r="EW17" s="268">
        <v>2793</v>
      </c>
      <c r="EX17" s="268">
        <f>SUM(Data[[#This Row],[Fall 18 NC All Enroll]:[Fall 20 NC All Enroll]])</f>
        <v>14455</v>
      </c>
      <c r="EY17" s="89">
        <f t="shared" si="25"/>
        <v>0.2119066467294104</v>
      </c>
      <c r="EZ17" s="252">
        <v>0.16800000000000001</v>
      </c>
      <c r="FA17" s="252">
        <f t="shared" si="26"/>
        <v>0.12779258986852993</v>
      </c>
      <c r="FB17" s="252">
        <f t="shared" si="26"/>
        <v>0.32753759398496241</v>
      </c>
      <c r="FC17" s="252">
        <f t="shared" si="26"/>
        <v>0.31265669227658716</v>
      </c>
      <c r="FD17" s="259">
        <f t="shared" si="26"/>
        <v>0.20722468588322246</v>
      </c>
      <c r="FE17" s="259">
        <f t="shared" si="26"/>
        <v>0.15975387420237011</v>
      </c>
      <c r="FF17" s="259">
        <f t="shared" si="26"/>
        <v>0.21122286924298569</v>
      </c>
      <c r="FG17" s="269">
        <v>2388</v>
      </c>
      <c r="FH17" s="268">
        <v>1493</v>
      </c>
      <c r="FI17" s="268">
        <f t="shared" si="27"/>
        <v>1523</v>
      </c>
      <c r="FJ17" s="268">
        <f t="shared" si="40"/>
        <v>4091</v>
      </c>
      <c r="FK17" s="256">
        <f t="shared" si="40"/>
        <v>2466</v>
      </c>
      <c r="FL17" s="256">
        <f t="shared" si="40"/>
        <v>761</v>
      </c>
      <c r="FM17" s="256">
        <f t="shared" si="40"/>
        <v>2884</v>
      </c>
      <c r="FN17" s="268">
        <f>SUM(Data[[#This Row],[Fall 18 LC+NC All Enroll]:[Fall 20 LC+NC All Enroll]])</f>
        <v>15606</v>
      </c>
      <c r="FO17" s="89">
        <f t="shared" si="28"/>
        <v>0.22878001583252705</v>
      </c>
      <c r="FP17" s="252">
        <v>0.19400000000000001</v>
      </c>
      <c r="FQ17" s="75">
        <f t="shared" si="29"/>
        <v>0.13726211271490302</v>
      </c>
      <c r="FR17" s="75">
        <f t="shared" si="29"/>
        <v>0.35784774436090228</v>
      </c>
      <c r="FS17" s="75">
        <f t="shared" si="29"/>
        <v>0.33085321471896484</v>
      </c>
      <c r="FT17" s="260">
        <f t="shared" si="29"/>
        <v>0.22782705099778269</v>
      </c>
      <c r="FU17" s="260">
        <f t="shared" si="29"/>
        <v>0.17342752962625341</v>
      </c>
      <c r="FV17" s="260">
        <f t="shared" si="29"/>
        <v>0.21810481736368448</v>
      </c>
      <c r="FW17" s="269">
        <v>320</v>
      </c>
      <c r="FX17" s="268">
        <v>103</v>
      </c>
      <c r="FY17" s="268">
        <v>129</v>
      </c>
      <c r="FZ17" s="268">
        <v>225</v>
      </c>
      <c r="GA17" s="268">
        <v>223</v>
      </c>
      <c r="GB17" s="268">
        <v>60</v>
      </c>
      <c r="GC17" s="268">
        <v>91</v>
      </c>
      <c r="GD17" s="268">
        <f>SUM(Data[[#This Row],[Fall 18 LC Non-eCore Enroll]:[Fall 20 LC Non-eCore Enroll]])</f>
        <v>1151</v>
      </c>
      <c r="GE17" s="89">
        <f t="shared" si="30"/>
        <v>1.760638786061737E-2</v>
      </c>
      <c r="GF17" s="252">
        <v>2.7E-2</v>
      </c>
      <c r="GG17" s="252">
        <f t="shared" si="31"/>
        <v>9.8744128079762249E-3</v>
      </c>
      <c r="GH17" s="252">
        <f t="shared" si="31"/>
        <v>3.1386861313868614E-2</v>
      </c>
      <c r="GI17" s="252">
        <f t="shared" si="31"/>
        <v>1.8929833417465926E-2</v>
      </c>
      <c r="GJ17" s="259">
        <f t="shared" si="31"/>
        <v>2.1475346687211093E-2</v>
      </c>
      <c r="GK17" s="259">
        <f t="shared" si="31"/>
        <v>1.413760603204524E-2</v>
      </c>
      <c r="GL17" s="259">
        <f t="shared" si="31"/>
        <v>7.2904983175773111E-3</v>
      </c>
      <c r="GM17" s="269">
        <v>1640</v>
      </c>
      <c r="GN17" s="268">
        <v>944</v>
      </c>
      <c r="GO17" s="268">
        <v>1248</v>
      </c>
      <c r="GP17" s="268">
        <v>3387</v>
      </c>
      <c r="GQ17" s="268">
        <v>1806</v>
      </c>
      <c r="GR17" s="268">
        <v>560</v>
      </c>
      <c r="GS17" s="268">
        <v>2052</v>
      </c>
      <c r="GT17" s="268">
        <f>SUM(Data[[#This Row],[Fall 18 NC Non-eCore Enroll]:[Fall 20 NC Non-eCore Enroll]])</f>
        <v>11637</v>
      </c>
      <c r="GU17" s="89">
        <f t="shared" si="32"/>
        <v>0.17800654694526877</v>
      </c>
      <c r="GV17" s="252">
        <v>0.13900000000000001</v>
      </c>
      <c r="GW17" s="252">
        <f t="shared" si="33"/>
        <v>9.0499472725529675E-2</v>
      </c>
      <c r="GX17" s="252">
        <f t="shared" si="33"/>
        <v>0.30364963503649633</v>
      </c>
      <c r="GY17" s="252">
        <f t="shared" si="33"/>
        <v>0.2849570923775871</v>
      </c>
      <c r="GZ17" s="259">
        <f t="shared" si="33"/>
        <v>0.17392141756548538</v>
      </c>
      <c r="HA17" s="259">
        <f t="shared" si="33"/>
        <v>0.13195098963242224</v>
      </c>
      <c r="HB17" s="259">
        <f t="shared" si="33"/>
        <v>0.16439673129306201</v>
      </c>
      <c r="HC17" s="269">
        <v>1960</v>
      </c>
      <c r="HD17" s="268">
        <v>1047</v>
      </c>
      <c r="HE17" s="269">
        <f t="shared" si="41"/>
        <v>1377</v>
      </c>
      <c r="HF17" s="269">
        <f t="shared" si="41"/>
        <v>3612</v>
      </c>
      <c r="HG17" s="257">
        <f t="shared" si="41"/>
        <v>2029</v>
      </c>
      <c r="HH17" s="257">
        <f t="shared" si="41"/>
        <v>620</v>
      </c>
      <c r="HI17" s="257">
        <f t="shared" si="41"/>
        <v>2143</v>
      </c>
      <c r="HJ17" s="269">
        <f>SUM(Data[[#This Row],[Fall 18 LC+NC Non-eCore Enroll]:[Fall 20 LC+NC Non-eCore Enroll]])</f>
        <v>12788</v>
      </c>
      <c r="HK17" s="91">
        <f t="shared" si="34"/>
        <v>0.19561293480588612</v>
      </c>
      <c r="HL17" s="268">
        <v>9877</v>
      </c>
      <c r="HM17" s="268">
        <v>9384</v>
      </c>
      <c r="HN17" s="268">
        <v>2733</v>
      </c>
      <c r="HO17" s="82">
        <v>8274</v>
      </c>
      <c r="HP17" s="82">
        <v>8355</v>
      </c>
      <c r="HQ17" s="82">
        <v>3624</v>
      </c>
      <c r="HR17" s="82">
        <v>10339</v>
      </c>
      <c r="HS17" s="256">
        <f>SUM(Data[[#This Row],[Fall 18 Non-eCore None Enroll]:[Fall 20 Non-eCore None Enroll]])</f>
        <v>52586</v>
      </c>
      <c r="HT17" s="89">
        <f t="shared" si="35"/>
        <v>0.80438706519411385</v>
      </c>
      <c r="HU17" s="252">
        <v>0.16600000000000001</v>
      </c>
      <c r="HV17" s="252">
        <f t="shared" si="36"/>
        <v>0.1003738855335059</v>
      </c>
      <c r="HW17" s="252">
        <f t="shared" si="36"/>
        <v>0.33503649635036498</v>
      </c>
      <c r="HX17" s="252">
        <f t="shared" si="36"/>
        <v>0.303886925795053</v>
      </c>
      <c r="HY17" s="259">
        <f t="shared" si="36"/>
        <v>0.19539676425269645</v>
      </c>
      <c r="HZ17" s="259">
        <f t="shared" si="36"/>
        <v>0.1460885956644675</v>
      </c>
      <c r="IA17" s="259">
        <f t="shared" si="36"/>
        <v>0.17168722961063931</v>
      </c>
    </row>
    <row r="18" spans="1:235" x14ac:dyDescent="0.25">
      <c r="A18" s="79" t="s">
        <v>172</v>
      </c>
      <c r="B18" s="79" t="s">
        <v>2292</v>
      </c>
      <c r="C18" s="280">
        <f>Data[[#This Row],[Spring 20 No eCore Low-Cost Sections]]+Data[[#This Row],[Summer 20 No eCore Low-Cost Sections]]+Data[[#This Row],[Fall 20 No eCore Low-Cost Sections]]</f>
        <v>677</v>
      </c>
      <c r="D18" s="281">
        <f>Data[[#This Row],[2020 LC Total]]/(Data[[#This Row],[Spring 20 All Sections]]+Data[[#This Row],[Summer 20 All Sections]]+Data[[#This Row],[Fall 20 All Sections]])</f>
        <v>3.0771328575973818E-2</v>
      </c>
      <c r="E18" s="280">
        <f>Data[[#This Row],[Spring 20 No eCore No-Cost Sections]]+Data[[#This Row],[Summer 20 No eCore No-Cost Sections]]+Data[[#This Row],[Fall 20 No eCore No-Cost Sections]]</f>
        <v>2974</v>
      </c>
      <c r="F18" s="281">
        <f>Data[[#This Row],[2020 NC Total]]/(Data[[#This Row],[Spring 20 All Sections]]+Data[[#This Row],[Summer 20 All Sections]]+Data[[#This Row],[Fall 20 All Sections]])</f>
        <v>0.1351756738330076</v>
      </c>
      <c r="G18" s="280">
        <f>Data[[#This Row],[2020 LC Total]]+Data[[#This Row],[2020 NC Total]]</f>
        <v>3651</v>
      </c>
      <c r="H18" s="281">
        <f>Data[[#This Row],[2020 NC+LC Total]]/(Data[[#This Row],[Spring 20 All Sections]]+Data[[#This Row],[Summer 20 All Sections]]+Data[[#This Row],[Fall 20 All Sections]])</f>
        <v>0.16594700240898141</v>
      </c>
      <c r="I18" s="249">
        <v>9966</v>
      </c>
      <c r="J18" s="250">
        <v>8875</v>
      </c>
      <c r="K18" s="251">
        <v>3623</v>
      </c>
      <c r="L18" s="82">
        <v>10549</v>
      </c>
      <c r="M18" s="82">
        <v>8963</v>
      </c>
      <c r="N18" s="82">
        <v>3284</v>
      </c>
      <c r="O18" s="82">
        <v>9754</v>
      </c>
      <c r="P18" s="82">
        <f>SUM(Data[[#This Row],[Fall 18 All Sections]:[Fall 20 All Sections]])</f>
        <v>55014</v>
      </c>
      <c r="Q18" s="265">
        <v>0</v>
      </c>
      <c r="R18" s="265">
        <v>0</v>
      </c>
      <c r="S18" s="270">
        <v>0</v>
      </c>
      <c r="T18" s="82">
        <v>0</v>
      </c>
      <c r="U18" s="82">
        <v>0</v>
      </c>
      <c r="V18" s="82">
        <v>0</v>
      </c>
      <c r="W18" s="82">
        <v>0</v>
      </c>
      <c r="X18" s="249">
        <v>9966</v>
      </c>
      <c r="Y18" s="250">
        <v>8875</v>
      </c>
      <c r="Z18" s="84">
        <v>3623</v>
      </c>
      <c r="AA18" s="82">
        <v>10549</v>
      </c>
      <c r="AB18" s="82">
        <v>8963</v>
      </c>
      <c r="AC18" s="82">
        <v>3284</v>
      </c>
      <c r="AD18" s="82">
        <v>9754</v>
      </c>
      <c r="AE18" s="249">
        <v>359</v>
      </c>
      <c r="AF18" s="82"/>
      <c r="AG18" s="82">
        <v>193</v>
      </c>
      <c r="AH18" s="82">
        <v>277</v>
      </c>
      <c r="AI18" s="82">
        <v>232</v>
      </c>
      <c r="AJ18" s="82">
        <v>114</v>
      </c>
      <c r="AK18" s="82">
        <v>331</v>
      </c>
      <c r="AL18" s="249">
        <v>1110</v>
      </c>
      <c r="AM18" s="82">
        <v>14</v>
      </c>
      <c r="AN18" s="82">
        <v>283</v>
      </c>
      <c r="AO18" s="82">
        <v>1295</v>
      </c>
      <c r="AP18" s="82">
        <v>1117</v>
      </c>
      <c r="AQ18" s="82">
        <v>463</v>
      </c>
      <c r="AR18" s="82">
        <v>1394</v>
      </c>
      <c r="AS18" s="249">
        <v>1469</v>
      </c>
      <c r="AT18" s="82">
        <v>14</v>
      </c>
      <c r="AU18" s="82">
        <f t="shared" si="0"/>
        <v>476</v>
      </c>
      <c r="AV18" s="82">
        <f t="shared" si="0"/>
        <v>1572</v>
      </c>
      <c r="AW18" s="82">
        <f t="shared" si="0"/>
        <v>1349</v>
      </c>
      <c r="AX18" s="82">
        <f t="shared" si="0"/>
        <v>577</v>
      </c>
      <c r="AY18" s="82">
        <f t="shared" si="0"/>
        <v>1725</v>
      </c>
      <c r="AZ18" s="249">
        <v>359</v>
      </c>
      <c r="BA18" s="82"/>
      <c r="BB18" s="82">
        <v>193</v>
      </c>
      <c r="BC18" s="82">
        <v>277</v>
      </c>
      <c r="BD18" s="82">
        <v>232</v>
      </c>
      <c r="BE18" s="82">
        <v>114</v>
      </c>
      <c r="BF18" s="82">
        <v>331</v>
      </c>
      <c r="BG18" s="249">
        <v>1110</v>
      </c>
      <c r="BH18" s="82">
        <v>14</v>
      </c>
      <c r="BI18" s="82">
        <v>283</v>
      </c>
      <c r="BJ18" s="82">
        <v>1295</v>
      </c>
      <c r="BK18" s="82">
        <v>1117</v>
      </c>
      <c r="BL18" s="82">
        <v>463</v>
      </c>
      <c r="BM18" s="82">
        <v>1394</v>
      </c>
      <c r="BN18" s="249">
        <v>1469</v>
      </c>
      <c r="BO18" s="82">
        <v>14</v>
      </c>
      <c r="BP18" s="85">
        <f t="shared" si="1"/>
        <v>476</v>
      </c>
      <c r="BQ18" s="85">
        <f t="shared" si="37"/>
        <v>1572</v>
      </c>
      <c r="BR18" s="85">
        <f t="shared" si="38"/>
        <v>1349</v>
      </c>
      <c r="BS18" s="85">
        <f t="shared" si="39"/>
        <v>577</v>
      </c>
      <c r="BT18" s="85">
        <f t="shared" si="39"/>
        <v>1725</v>
      </c>
      <c r="BU18" s="252">
        <v>3.5999999999999997E-2</v>
      </c>
      <c r="BV18" s="252">
        <f t="shared" si="2"/>
        <v>0</v>
      </c>
      <c r="BW18" s="252">
        <f t="shared" si="3"/>
        <v>5.3270770080044161E-2</v>
      </c>
      <c r="BX18" s="252">
        <f t="shared" si="4"/>
        <v>2.625841311972699E-2</v>
      </c>
      <c r="BY18" s="252">
        <f t="shared" si="5"/>
        <v>2.5884190561196029E-2</v>
      </c>
      <c r="BZ18" s="252">
        <f t="shared" si="6"/>
        <v>3.4713763702801465E-2</v>
      </c>
      <c r="CA18" s="252">
        <f t="shared" si="7"/>
        <v>3.3934795981135947E-2</v>
      </c>
      <c r="CB18" s="252">
        <v>0.111</v>
      </c>
      <c r="CC18" s="252">
        <f t="shared" si="8"/>
        <v>1.5774647887323943E-3</v>
      </c>
      <c r="CD18" s="252">
        <f t="shared" si="9"/>
        <v>7.8112061827215015E-2</v>
      </c>
      <c r="CE18" s="252">
        <f t="shared" si="10"/>
        <v>0.12276045122760451</v>
      </c>
      <c r="CF18" s="252">
        <f t="shared" si="11"/>
        <v>0.12462345196920674</v>
      </c>
      <c r="CG18" s="252">
        <f t="shared" si="12"/>
        <v>0.14098660170523752</v>
      </c>
      <c r="CH18" s="252">
        <f t="shared" si="13"/>
        <v>0.14291572688127949</v>
      </c>
      <c r="CI18" s="253">
        <v>0.14699999999999999</v>
      </c>
      <c r="CJ18" s="253">
        <f t="shared" si="14"/>
        <v>1.5774647887323943E-3</v>
      </c>
      <c r="CK18" s="253">
        <f t="shared" si="15"/>
        <v>0.13138283190725919</v>
      </c>
      <c r="CL18" s="253">
        <f t="shared" si="16"/>
        <v>0.1490188643473315</v>
      </c>
      <c r="CM18" s="253">
        <f t="shared" si="17"/>
        <v>0.15050764253040277</v>
      </c>
      <c r="CN18" s="253">
        <f t="shared" si="18"/>
        <v>0.17570036540803899</v>
      </c>
      <c r="CO18" s="253">
        <f t="shared" si="19"/>
        <v>0.17685052286241543</v>
      </c>
      <c r="CP18" s="253">
        <v>3.5999999999999997E-2</v>
      </c>
      <c r="CQ18" s="253">
        <f t="shared" ref="CQ18:CV27" si="42">BA18/Y18</f>
        <v>0</v>
      </c>
      <c r="CR18" s="253">
        <f t="shared" si="42"/>
        <v>5.3270770080044161E-2</v>
      </c>
      <c r="CS18" s="253">
        <f t="shared" si="42"/>
        <v>2.625841311972699E-2</v>
      </c>
      <c r="CT18" s="253">
        <f t="shared" si="42"/>
        <v>2.5884190561196029E-2</v>
      </c>
      <c r="CU18" s="253">
        <f t="shared" si="42"/>
        <v>3.4713763702801465E-2</v>
      </c>
      <c r="CV18" s="253">
        <f t="shared" si="42"/>
        <v>3.3934795981135947E-2</v>
      </c>
      <c r="CW18" s="253">
        <v>0.111</v>
      </c>
      <c r="CX18" s="253">
        <f t="shared" ref="CX18:DC27" si="43">BH18/Y18</f>
        <v>1.5774647887323943E-3</v>
      </c>
      <c r="CY18" s="253">
        <f t="shared" si="43"/>
        <v>7.8112061827215015E-2</v>
      </c>
      <c r="CZ18" s="253">
        <f t="shared" si="43"/>
        <v>0.12276045122760451</v>
      </c>
      <c r="DA18" s="253">
        <f t="shared" si="43"/>
        <v>0.12462345196920674</v>
      </c>
      <c r="DB18" s="253">
        <f t="shared" si="43"/>
        <v>0.14098660170523752</v>
      </c>
      <c r="DC18" s="253">
        <f t="shared" si="43"/>
        <v>0.14291572688127949</v>
      </c>
      <c r="DD18" s="253">
        <v>0.14699999999999999</v>
      </c>
      <c r="DE18" s="74">
        <f t="shared" ref="DE18:DJ27" si="44">BO18/Y18</f>
        <v>1.5774647887323943E-3</v>
      </c>
      <c r="DF18" s="74">
        <f t="shared" si="44"/>
        <v>0.13138283190725919</v>
      </c>
      <c r="DG18" s="74">
        <f t="shared" si="44"/>
        <v>0.1490188643473315</v>
      </c>
      <c r="DH18" s="74">
        <f t="shared" si="44"/>
        <v>0.15050764253040277</v>
      </c>
      <c r="DI18" s="74">
        <f t="shared" si="44"/>
        <v>0.17570036540803899</v>
      </c>
      <c r="DJ18" s="74">
        <f t="shared" si="44"/>
        <v>0.17685052286241543</v>
      </c>
      <c r="DK18" s="266">
        <v>207324</v>
      </c>
      <c r="DL18" s="266">
        <v>191307</v>
      </c>
      <c r="DM18" s="267">
        <v>58762</v>
      </c>
      <c r="DN18" s="268">
        <v>212969</v>
      </c>
      <c r="DO18" s="268">
        <v>191975</v>
      </c>
      <c r="DP18" s="268">
        <v>64992</v>
      </c>
      <c r="DQ18" s="268">
        <v>210874</v>
      </c>
      <c r="DR18" s="268">
        <f>SUM(Data[[#This Row],[Fall 18 All Enroll]:[Fall 20 All Enroll]])</f>
        <v>1138203</v>
      </c>
      <c r="DS18" s="266">
        <v>207324</v>
      </c>
      <c r="DT18" s="267">
        <v>191307</v>
      </c>
      <c r="DU18" s="267">
        <v>58762</v>
      </c>
      <c r="DV18" s="268">
        <v>212969</v>
      </c>
      <c r="DW18" s="268">
        <v>191975</v>
      </c>
      <c r="DX18" s="268">
        <v>64992</v>
      </c>
      <c r="DY18" s="268">
        <v>210874</v>
      </c>
      <c r="DZ18" s="268">
        <f>SUM(Data[[#This Row],[Fall 18 Non-eCore Enroll]:[Fall 20 Non-eCore Enroll]])</f>
        <v>1138203</v>
      </c>
      <c r="EA18" s="269">
        <v>6914</v>
      </c>
      <c r="EB18" s="268"/>
      <c r="EC18" s="268">
        <v>3926</v>
      </c>
      <c r="ED18" s="268">
        <v>5553</v>
      </c>
      <c r="EE18" s="268">
        <v>5964</v>
      </c>
      <c r="EF18" s="268">
        <v>2379</v>
      </c>
      <c r="EG18" s="268">
        <v>8051</v>
      </c>
      <c r="EH18" s="268">
        <f>SUM(Data[[#This Row],[Fall 18 LC All Enroll]:[Fall 20 LC All Enroll]])</f>
        <v>32787</v>
      </c>
      <c r="EI18" s="89">
        <f t="shared" si="23"/>
        <v>2.880593356369646E-2</v>
      </c>
      <c r="EJ18" s="252">
        <v>3.3000000000000002E-2</v>
      </c>
      <c r="EK18" s="252">
        <f t="shared" si="24"/>
        <v>0</v>
      </c>
      <c r="EL18" s="252">
        <f t="shared" si="24"/>
        <v>6.6811885231952625E-2</v>
      </c>
      <c r="EM18" s="252">
        <f t="shared" si="24"/>
        <v>2.6074217374359648E-2</v>
      </c>
      <c r="EN18" s="259">
        <f t="shared" si="24"/>
        <v>3.1066545123062898E-2</v>
      </c>
      <c r="EO18" s="259">
        <f t="shared" si="24"/>
        <v>3.660450516986706E-2</v>
      </c>
      <c r="EP18" s="259">
        <f t="shared" si="24"/>
        <v>3.8179197056061917E-2</v>
      </c>
      <c r="EQ18" s="269">
        <v>19009</v>
      </c>
      <c r="ER18" s="268">
        <v>383</v>
      </c>
      <c r="ES18" s="268">
        <v>5279</v>
      </c>
      <c r="ET18" s="268">
        <v>20605</v>
      </c>
      <c r="EU18" s="268">
        <v>18821</v>
      </c>
      <c r="EV18" s="268">
        <v>8345</v>
      </c>
      <c r="EW18" s="268">
        <v>24199</v>
      </c>
      <c r="EX18" s="268">
        <f>SUM(Data[[#This Row],[Fall 18 NC All Enroll]:[Fall 20 NC All Enroll]])</f>
        <v>96641</v>
      </c>
      <c r="EY18" s="89">
        <f t="shared" si="25"/>
        <v>8.4906646705376815E-2</v>
      </c>
      <c r="EZ18" s="252">
        <v>9.1999999999999998E-2</v>
      </c>
      <c r="FA18" s="252">
        <f t="shared" si="26"/>
        <v>2.0020176993000779E-3</v>
      </c>
      <c r="FB18" s="252">
        <f t="shared" si="26"/>
        <v>8.9836969470065683E-2</v>
      </c>
      <c r="FC18" s="252">
        <f t="shared" si="26"/>
        <v>9.6751170358127234E-2</v>
      </c>
      <c r="FD18" s="259">
        <f t="shared" si="26"/>
        <v>9.8038807136345885E-2</v>
      </c>
      <c r="FE18" s="259">
        <f t="shared" si="26"/>
        <v>0.12840041851304776</v>
      </c>
      <c r="FF18" s="259">
        <f t="shared" si="26"/>
        <v>0.11475573091040148</v>
      </c>
      <c r="FG18" s="269">
        <v>25923</v>
      </c>
      <c r="FH18" s="268">
        <v>383</v>
      </c>
      <c r="FI18" s="268">
        <f t="shared" si="27"/>
        <v>9205</v>
      </c>
      <c r="FJ18" s="268">
        <f t="shared" si="40"/>
        <v>26158</v>
      </c>
      <c r="FK18" s="256">
        <f t="shared" si="40"/>
        <v>24785</v>
      </c>
      <c r="FL18" s="256">
        <f t="shared" si="40"/>
        <v>10724</v>
      </c>
      <c r="FM18" s="256">
        <f t="shared" si="40"/>
        <v>32250</v>
      </c>
      <c r="FN18" s="268">
        <f>SUM(Data[[#This Row],[Fall 18 LC+NC All Enroll]:[Fall 20 LC+NC All Enroll]])</f>
        <v>129428</v>
      </c>
      <c r="FO18" s="89">
        <f t="shared" si="28"/>
        <v>0.11371258026907327</v>
      </c>
      <c r="FP18" s="252">
        <v>0.125</v>
      </c>
      <c r="FQ18" s="75">
        <f t="shared" si="29"/>
        <v>2.0020176993000779E-3</v>
      </c>
      <c r="FR18" s="75">
        <f t="shared" si="29"/>
        <v>0.15664885470201831</v>
      </c>
      <c r="FS18" s="75">
        <f t="shared" si="29"/>
        <v>0.12282538773248688</v>
      </c>
      <c r="FT18" s="260">
        <f t="shared" si="29"/>
        <v>0.12910535225940878</v>
      </c>
      <c r="FU18" s="260">
        <f t="shared" si="29"/>
        <v>0.16500492368291483</v>
      </c>
      <c r="FV18" s="260">
        <f t="shared" si="29"/>
        <v>0.15293492796646338</v>
      </c>
      <c r="FW18" s="269">
        <v>6914</v>
      </c>
      <c r="FX18" s="268">
        <v>0</v>
      </c>
      <c r="FY18" s="268">
        <v>3926</v>
      </c>
      <c r="FZ18" s="268">
        <v>5553</v>
      </c>
      <c r="GA18" s="268">
        <v>5964</v>
      </c>
      <c r="GB18" s="268">
        <v>2379</v>
      </c>
      <c r="GC18" s="268">
        <v>8051</v>
      </c>
      <c r="GD18" s="268">
        <f>SUM(Data[[#This Row],[Fall 18 LC Non-eCore Enroll]:[Fall 20 LC Non-eCore Enroll]])</f>
        <v>32787</v>
      </c>
      <c r="GE18" s="89">
        <f t="shared" si="30"/>
        <v>2.880593356369646E-2</v>
      </c>
      <c r="GF18" s="252">
        <v>3.3000000000000002E-2</v>
      </c>
      <c r="GG18" s="252">
        <f t="shared" si="31"/>
        <v>0</v>
      </c>
      <c r="GH18" s="252">
        <f t="shared" si="31"/>
        <v>6.6811885231952625E-2</v>
      </c>
      <c r="GI18" s="252">
        <f t="shared" si="31"/>
        <v>2.6074217374359648E-2</v>
      </c>
      <c r="GJ18" s="259">
        <f t="shared" si="31"/>
        <v>3.1066545123062898E-2</v>
      </c>
      <c r="GK18" s="259">
        <f t="shared" si="31"/>
        <v>3.660450516986706E-2</v>
      </c>
      <c r="GL18" s="259">
        <f t="shared" si="31"/>
        <v>3.8179197056061917E-2</v>
      </c>
      <c r="GM18" s="269">
        <v>19009</v>
      </c>
      <c r="GN18" s="268">
        <v>383</v>
      </c>
      <c r="GO18" s="268">
        <v>5279</v>
      </c>
      <c r="GP18" s="268">
        <v>20605</v>
      </c>
      <c r="GQ18" s="268">
        <v>18821</v>
      </c>
      <c r="GR18" s="268">
        <v>8345</v>
      </c>
      <c r="GS18" s="268">
        <v>24199</v>
      </c>
      <c r="GT18" s="268">
        <f>SUM(Data[[#This Row],[Fall 18 NC Non-eCore Enroll]:[Fall 20 NC Non-eCore Enroll]])</f>
        <v>96641</v>
      </c>
      <c r="GU18" s="89">
        <f t="shared" si="32"/>
        <v>8.4906646705376815E-2</v>
      </c>
      <c r="GV18" s="252">
        <v>9.1999999999999998E-2</v>
      </c>
      <c r="GW18" s="252">
        <f t="shared" ref="GW18:HB27" si="45">GN18/DT18</f>
        <v>2.0020176993000779E-3</v>
      </c>
      <c r="GX18" s="252">
        <f t="shared" si="45"/>
        <v>8.9836969470065683E-2</v>
      </c>
      <c r="GY18" s="252">
        <f t="shared" si="45"/>
        <v>9.6751170358127234E-2</v>
      </c>
      <c r="GZ18" s="259">
        <f t="shared" si="45"/>
        <v>9.8038807136345885E-2</v>
      </c>
      <c r="HA18" s="259">
        <f t="shared" si="45"/>
        <v>0.12840041851304776</v>
      </c>
      <c r="HB18" s="259">
        <f t="shared" si="45"/>
        <v>0.11475573091040148</v>
      </c>
      <c r="HC18" s="269">
        <v>25923</v>
      </c>
      <c r="HD18" s="268">
        <v>383</v>
      </c>
      <c r="HE18" s="269">
        <f t="shared" si="41"/>
        <v>9205</v>
      </c>
      <c r="HF18" s="269">
        <f t="shared" si="41"/>
        <v>26158</v>
      </c>
      <c r="HG18" s="257">
        <f t="shared" si="41"/>
        <v>24785</v>
      </c>
      <c r="HH18" s="257">
        <f t="shared" si="41"/>
        <v>10724</v>
      </c>
      <c r="HI18" s="257">
        <f t="shared" si="41"/>
        <v>32250</v>
      </c>
      <c r="HJ18" s="269">
        <f>SUM(Data[[#This Row],[Fall 18 LC+NC Non-eCore Enroll]:[Fall 20 LC+NC Non-eCore Enroll]])</f>
        <v>129428</v>
      </c>
      <c r="HK18" s="91">
        <f t="shared" si="34"/>
        <v>0.11371258026907327</v>
      </c>
      <c r="HL18" s="268">
        <v>181401</v>
      </c>
      <c r="HM18" s="268">
        <v>190924</v>
      </c>
      <c r="HN18" s="268">
        <v>49557</v>
      </c>
      <c r="HO18" s="82">
        <v>186811</v>
      </c>
      <c r="HP18" s="82">
        <v>167190</v>
      </c>
      <c r="HQ18" s="82">
        <v>54268</v>
      </c>
      <c r="HR18" s="82">
        <v>178624</v>
      </c>
      <c r="HS18" s="256">
        <f>SUM(Data[[#This Row],[Fall 18 Non-eCore None Enroll]:[Fall 20 Non-eCore None Enroll]])</f>
        <v>1008775</v>
      </c>
      <c r="HT18" s="89">
        <f t="shared" si="35"/>
        <v>0.88628741973092673</v>
      </c>
      <c r="HU18" s="252">
        <v>0.125</v>
      </c>
      <c r="HV18" s="252">
        <f t="shared" ref="HV18:IA27" si="46">HD18/DT18</f>
        <v>2.0020176993000779E-3</v>
      </c>
      <c r="HW18" s="252">
        <f t="shared" si="46"/>
        <v>0.15664885470201831</v>
      </c>
      <c r="HX18" s="252">
        <f t="shared" si="46"/>
        <v>0.12282538773248688</v>
      </c>
      <c r="HY18" s="259">
        <f t="shared" si="46"/>
        <v>0.12910535225940878</v>
      </c>
      <c r="HZ18" s="259">
        <f t="shared" si="46"/>
        <v>0.16500492368291483</v>
      </c>
      <c r="IA18" s="259">
        <f t="shared" si="46"/>
        <v>0.15293492796646338</v>
      </c>
    </row>
    <row r="19" spans="1:235" x14ac:dyDescent="0.25">
      <c r="A19" s="79" t="s">
        <v>324</v>
      </c>
      <c r="B19" s="79" t="s">
        <v>2290</v>
      </c>
      <c r="C19" s="280">
        <f>Data[[#This Row],[Spring 20 No eCore Low-Cost Sections]]+Data[[#This Row],[Summer 20 No eCore Low-Cost Sections]]+Data[[#This Row],[Fall 20 No eCore Low-Cost Sections]]</f>
        <v>146</v>
      </c>
      <c r="D19" s="281">
        <f>Data[[#This Row],[2020 LC Total]]/(Data[[#This Row],[Spring 20 All Sections]]+Data[[#This Row],[Summer 20 All Sections]]+Data[[#This Row],[Fall 20 All Sections]])</f>
        <v>8.2766439909297052E-2</v>
      </c>
      <c r="E19" s="280">
        <f>Data[[#This Row],[Spring 20 No eCore No-Cost Sections]]+Data[[#This Row],[Summer 20 No eCore No-Cost Sections]]+Data[[#This Row],[Fall 20 No eCore No-Cost Sections]]</f>
        <v>286</v>
      </c>
      <c r="F19" s="281">
        <f>Data[[#This Row],[2020 NC Total]]/(Data[[#This Row],[Spring 20 All Sections]]+Data[[#This Row],[Summer 20 All Sections]]+Data[[#This Row],[Fall 20 All Sections]])</f>
        <v>0.16213151927437641</v>
      </c>
      <c r="G19" s="280">
        <f>Data[[#This Row],[2020 LC Total]]+Data[[#This Row],[2020 NC Total]]</f>
        <v>432</v>
      </c>
      <c r="H19" s="281">
        <f>Data[[#This Row],[2020 NC+LC Total]]/(Data[[#This Row],[Spring 20 All Sections]]+Data[[#This Row],[Summer 20 All Sections]]+Data[[#This Row],[Fall 20 All Sections]])</f>
        <v>0.24489795918367346</v>
      </c>
      <c r="I19" s="249">
        <v>877</v>
      </c>
      <c r="J19" s="250">
        <v>771</v>
      </c>
      <c r="K19" s="251">
        <v>176</v>
      </c>
      <c r="L19" s="82">
        <v>833</v>
      </c>
      <c r="M19" s="82">
        <v>778</v>
      </c>
      <c r="N19" s="82">
        <v>181</v>
      </c>
      <c r="O19" s="82">
        <v>805</v>
      </c>
      <c r="P19" s="82">
        <f>SUM(Data[[#This Row],[Fall 18 All Sections]:[Fall 20 All Sections]])</f>
        <v>4421</v>
      </c>
      <c r="Q19" s="249">
        <v>210</v>
      </c>
      <c r="R19" s="250">
        <v>210</v>
      </c>
      <c r="S19" s="250">
        <v>70</v>
      </c>
      <c r="T19" s="82">
        <v>205</v>
      </c>
      <c r="U19" s="82">
        <v>229</v>
      </c>
      <c r="V19" s="82">
        <v>65</v>
      </c>
      <c r="W19" s="82">
        <v>268</v>
      </c>
      <c r="X19" s="249">
        <v>667</v>
      </c>
      <c r="Y19" s="250">
        <v>561</v>
      </c>
      <c r="Z19" s="84">
        <v>106</v>
      </c>
      <c r="AA19" s="82">
        <v>628</v>
      </c>
      <c r="AB19" s="82">
        <v>549</v>
      </c>
      <c r="AC19" s="82">
        <v>116</v>
      </c>
      <c r="AD19" s="82">
        <v>537</v>
      </c>
      <c r="AE19" s="249">
        <v>433</v>
      </c>
      <c r="AF19" s="82">
        <v>55</v>
      </c>
      <c r="AG19" s="82">
        <v>11</v>
      </c>
      <c r="AH19" s="82">
        <v>83</v>
      </c>
      <c r="AI19" s="82">
        <v>57</v>
      </c>
      <c r="AJ19" s="82">
        <v>1</v>
      </c>
      <c r="AK19" s="82">
        <v>88</v>
      </c>
      <c r="AL19" s="249">
        <v>31</v>
      </c>
      <c r="AM19" s="82">
        <v>352</v>
      </c>
      <c r="AN19" s="82">
        <v>93</v>
      </c>
      <c r="AO19" s="82">
        <v>321</v>
      </c>
      <c r="AP19" s="82">
        <v>335</v>
      </c>
      <c r="AQ19" s="82">
        <v>70</v>
      </c>
      <c r="AR19" s="82">
        <v>443</v>
      </c>
      <c r="AS19" s="249">
        <v>464</v>
      </c>
      <c r="AT19" s="82">
        <v>407</v>
      </c>
      <c r="AU19" s="82">
        <f t="shared" si="0"/>
        <v>104</v>
      </c>
      <c r="AV19" s="82">
        <f t="shared" si="0"/>
        <v>404</v>
      </c>
      <c r="AW19" s="82">
        <f t="shared" si="0"/>
        <v>392</v>
      </c>
      <c r="AX19" s="82">
        <f t="shared" si="0"/>
        <v>71</v>
      </c>
      <c r="AY19" s="82">
        <f t="shared" si="0"/>
        <v>531</v>
      </c>
      <c r="AZ19" s="249">
        <v>253</v>
      </c>
      <c r="BA19" s="82">
        <v>55</v>
      </c>
      <c r="BB19" s="82">
        <v>11</v>
      </c>
      <c r="BC19" s="82">
        <v>83</v>
      </c>
      <c r="BD19" s="82">
        <v>57</v>
      </c>
      <c r="BE19" s="82">
        <v>1</v>
      </c>
      <c r="BF19" s="82">
        <v>88</v>
      </c>
      <c r="BG19" s="249">
        <v>1</v>
      </c>
      <c r="BH19" s="82">
        <v>142</v>
      </c>
      <c r="BI19" s="82">
        <v>23</v>
      </c>
      <c r="BJ19" s="82">
        <v>116</v>
      </c>
      <c r="BK19" s="82">
        <v>106</v>
      </c>
      <c r="BL19" s="82">
        <v>5</v>
      </c>
      <c r="BM19" s="82">
        <v>175</v>
      </c>
      <c r="BN19" s="249">
        <v>254</v>
      </c>
      <c r="BO19" s="82">
        <v>197</v>
      </c>
      <c r="BP19" s="85">
        <f t="shared" si="1"/>
        <v>34</v>
      </c>
      <c r="BQ19" s="85">
        <f t="shared" si="37"/>
        <v>199</v>
      </c>
      <c r="BR19" s="85">
        <f t="shared" si="38"/>
        <v>163</v>
      </c>
      <c r="BS19" s="85">
        <f t="shared" si="39"/>
        <v>6</v>
      </c>
      <c r="BT19" s="85">
        <f t="shared" si="39"/>
        <v>263</v>
      </c>
      <c r="BU19" s="252">
        <v>0.49399999999999999</v>
      </c>
      <c r="BV19" s="252">
        <f t="shared" si="2"/>
        <v>7.1335927367055768E-2</v>
      </c>
      <c r="BW19" s="252">
        <f t="shared" si="3"/>
        <v>6.25E-2</v>
      </c>
      <c r="BX19" s="252">
        <f t="shared" si="4"/>
        <v>9.9639855942376954E-2</v>
      </c>
      <c r="BY19" s="252">
        <f t="shared" si="5"/>
        <v>7.3264781491002573E-2</v>
      </c>
      <c r="BZ19" s="252">
        <f t="shared" si="6"/>
        <v>5.5248618784530384E-3</v>
      </c>
      <c r="CA19" s="252">
        <f t="shared" si="7"/>
        <v>0.1093167701863354</v>
      </c>
      <c r="CB19" s="252">
        <v>3.5000000000000003E-2</v>
      </c>
      <c r="CC19" s="252">
        <f t="shared" si="8"/>
        <v>0.45654993514915693</v>
      </c>
      <c r="CD19" s="252">
        <f t="shared" si="9"/>
        <v>0.52840909090909094</v>
      </c>
      <c r="CE19" s="252">
        <f t="shared" si="10"/>
        <v>0.38535414165666265</v>
      </c>
      <c r="CF19" s="252">
        <f t="shared" si="11"/>
        <v>0.43059125964010281</v>
      </c>
      <c r="CG19" s="252">
        <f t="shared" si="12"/>
        <v>0.38674033149171272</v>
      </c>
      <c r="CH19" s="252">
        <f t="shared" si="13"/>
        <v>0.55031055900621118</v>
      </c>
      <c r="CI19" s="253">
        <v>0.52900000000000003</v>
      </c>
      <c r="CJ19" s="253">
        <f t="shared" si="14"/>
        <v>0.52788586251621272</v>
      </c>
      <c r="CK19" s="253">
        <f t="shared" si="15"/>
        <v>0.59090909090909094</v>
      </c>
      <c r="CL19" s="253">
        <f t="shared" si="16"/>
        <v>0.48499399759903961</v>
      </c>
      <c r="CM19" s="253">
        <f t="shared" si="17"/>
        <v>0.50385604113110538</v>
      </c>
      <c r="CN19" s="253">
        <f t="shared" si="18"/>
        <v>0.39226519337016574</v>
      </c>
      <c r="CO19" s="253">
        <f t="shared" si="19"/>
        <v>0.65962732919254663</v>
      </c>
      <c r="CP19" s="253">
        <v>0.379</v>
      </c>
      <c r="CQ19" s="253">
        <f t="shared" si="42"/>
        <v>9.8039215686274508E-2</v>
      </c>
      <c r="CR19" s="253">
        <f t="shared" si="42"/>
        <v>0.10377358490566038</v>
      </c>
      <c r="CS19" s="253">
        <f t="shared" si="42"/>
        <v>0.1321656050955414</v>
      </c>
      <c r="CT19" s="253">
        <f t="shared" si="42"/>
        <v>0.10382513661202186</v>
      </c>
      <c r="CU19" s="253">
        <f t="shared" si="42"/>
        <v>8.6206896551724137E-3</v>
      </c>
      <c r="CV19" s="253">
        <f t="shared" si="42"/>
        <v>0.16387337057728119</v>
      </c>
      <c r="CW19" s="253">
        <v>1E-3</v>
      </c>
      <c r="CX19" s="253">
        <f t="shared" si="43"/>
        <v>0.25311942959001782</v>
      </c>
      <c r="CY19" s="253">
        <f t="shared" si="43"/>
        <v>0.21698113207547171</v>
      </c>
      <c r="CZ19" s="253">
        <f t="shared" si="43"/>
        <v>0.18471337579617833</v>
      </c>
      <c r="DA19" s="253">
        <f t="shared" si="43"/>
        <v>0.19307832422586521</v>
      </c>
      <c r="DB19" s="253">
        <f t="shared" si="43"/>
        <v>4.3103448275862072E-2</v>
      </c>
      <c r="DC19" s="253">
        <f t="shared" si="43"/>
        <v>0.32588454376163872</v>
      </c>
      <c r="DD19" s="253">
        <v>0.38100000000000001</v>
      </c>
      <c r="DE19" s="74">
        <f t="shared" si="44"/>
        <v>0.35115864527629231</v>
      </c>
      <c r="DF19" s="74">
        <f t="shared" si="44"/>
        <v>0.32075471698113206</v>
      </c>
      <c r="DG19" s="74">
        <f t="shared" si="44"/>
        <v>0.31687898089171973</v>
      </c>
      <c r="DH19" s="74">
        <f t="shared" si="44"/>
        <v>0.29690346083788705</v>
      </c>
      <c r="DI19" s="74">
        <f t="shared" si="44"/>
        <v>5.1724137931034482E-2</v>
      </c>
      <c r="DJ19" s="74">
        <f t="shared" si="44"/>
        <v>0.48975791433891991</v>
      </c>
      <c r="DK19" s="266">
        <v>15148</v>
      </c>
      <c r="DL19" s="266">
        <v>12888</v>
      </c>
      <c r="DM19" s="267">
        <v>1876</v>
      </c>
      <c r="DN19" s="268">
        <v>13812</v>
      </c>
      <c r="DO19" s="268">
        <v>11744</v>
      </c>
      <c r="DP19" s="268">
        <v>2135</v>
      </c>
      <c r="DQ19" s="268">
        <v>11773</v>
      </c>
      <c r="DR19" s="268">
        <f>SUM(Data[[#This Row],[Fall 18 All Enroll]:[Fall 20 All Enroll]])</f>
        <v>69376</v>
      </c>
      <c r="DS19" s="266">
        <v>14762</v>
      </c>
      <c r="DT19" s="267">
        <v>12414</v>
      </c>
      <c r="DU19" s="267">
        <v>1730</v>
      </c>
      <c r="DV19" s="268">
        <v>13407</v>
      </c>
      <c r="DW19" s="268">
        <v>11260</v>
      </c>
      <c r="DX19" s="268">
        <v>2021</v>
      </c>
      <c r="DY19" s="268">
        <v>11220</v>
      </c>
      <c r="DZ19" s="268">
        <f>SUM(Data[[#This Row],[Fall 18 Non-eCore Enroll]:[Fall 20 Non-eCore Enroll]])</f>
        <v>66814</v>
      </c>
      <c r="EA19" s="269">
        <v>5522</v>
      </c>
      <c r="EB19" s="268">
        <v>1272</v>
      </c>
      <c r="EC19" s="268">
        <v>252</v>
      </c>
      <c r="ED19" s="268">
        <v>1803</v>
      </c>
      <c r="EE19" s="268">
        <v>1168</v>
      </c>
      <c r="EF19" s="268">
        <v>1</v>
      </c>
      <c r="EG19" s="268">
        <v>1975</v>
      </c>
      <c r="EH19" s="268">
        <f>SUM(Data[[#This Row],[Fall 18 LC All Enroll]:[Fall 20 LC All Enroll]])</f>
        <v>11993</v>
      </c>
      <c r="EI19" s="89">
        <f t="shared" si="23"/>
        <v>0.1728695802583026</v>
      </c>
      <c r="EJ19" s="252">
        <v>0.36499999999999999</v>
      </c>
      <c r="EK19" s="252">
        <f t="shared" si="24"/>
        <v>9.8696461824953452E-2</v>
      </c>
      <c r="EL19" s="252">
        <f t="shared" si="24"/>
        <v>0.13432835820895522</v>
      </c>
      <c r="EM19" s="252">
        <f t="shared" si="24"/>
        <v>0.13053866203301476</v>
      </c>
      <c r="EN19" s="259">
        <f t="shared" si="24"/>
        <v>9.9455040871934602E-2</v>
      </c>
      <c r="EO19" s="259">
        <f t="shared" si="24"/>
        <v>4.6838407494145199E-4</v>
      </c>
      <c r="EP19" s="259">
        <f t="shared" si="24"/>
        <v>0.16775673150428946</v>
      </c>
      <c r="EQ19" s="269">
        <v>73</v>
      </c>
      <c r="ER19" s="268">
        <v>3201</v>
      </c>
      <c r="ES19" s="268">
        <v>496</v>
      </c>
      <c r="ET19" s="268">
        <v>2901</v>
      </c>
      <c r="EU19" s="268">
        <v>2670</v>
      </c>
      <c r="EV19" s="268">
        <v>150</v>
      </c>
      <c r="EW19" s="268">
        <v>3938</v>
      </c>
      <c r="EX19" s="268">
        <f>SUM(Data[[#This Row],[Fall 18 NC All Enroll]:[Fall 20 NC All Enroll]])</f>
        <v>13429</v>
      </c>
      <c r="EY19" s="89">
        <f t="shared" si="25"/>
        <v>0.19356838099630996</v>
      </c>
      <c r="EZ19" s="252">
        <v>5.0000000000000001E-3</v>
      </c>
      <c r="FA19" s="252">
        <f t="shared" si="26"/>
        <v>0.2483705772811918</v>
      </c>
      <c r="FB19" s="252">
        <f t="shared" si="26"/>
        <v>0.26439232409381663</v>
      </c>
      <c r="FC19" s="252">
        <f t="shared" si="26"/>
        <v>0.21003475238922675</v>
      </c>
      <c r="FD19" s="259">
        <f t="shared" si="26"/>
        <v>0.22735013623978201</v>
      </c>
      <c r="FE19" s="259">
        <f t="shared" si="26"/>
        <v>7.0257611241217793E-2</v>
      </c>
      <c r="FF19" s="259">
        <f t="shared" si="26"/>
        <v>0.33449418160197059</v>
      </c>
      <c r="FG19" s="269">
        <v>5595</v>
      </c>
      <c r="FH19" s="268">
        <v>4473</v>
      </c>
      <c r="FI19" s="268">
        <f t="shared" si="27"/>
        <v>748</v>
      </c>
      <c r="FJ19" s="268">
        <f t="shared" si="40"/>
        <v>4704</v>
      </c>
      <c r="FK19" s="256">
        <f t="shared" si="40"/>
        <v>3838</v>
      </c>
      <c r="FL19" s="256">
        <f t="shared" si="40"/>
        <v>151</v>
      </c>
      <c r="FM19" s="256">
        <f t="shared" si="40"/>
        <v>5913</v>
      </c>
      <c r="FN19" s="268">
        <f>SUM(Data[[#This Row],[Fall 18 LC+NC All Enroll]:[Fall 20 LC+NC All Enroll]])</f>
        <v>25422</v>
      </c>
      <c r="FO19" s="89">
        <f t="shared" si="28"/>
        <v>0.36643796125461253</v>
      </c>
      <c r="FP19" s="252">
        <v>0.36899999999999999</v>
      </c>
      <c r="FQ19" s="75">
        <f t="shared" si="29"/>
        <v>0.34706703910614523</v>
      </c>
      <c r="FR19" s="75">
        <f t="shared" si="29"/>
        <v>0.39872068230277186</v>
      </c>
      <c r="FS19" s="75">
        <f t="shared" si="29"/>
        <v>0.34057341442224154</v>
      </c>
      <c r="FT19" s="260">
        <f t="shared" si="29"/>
        <v>0.32680517711171664</v>
      </c>
      <c r="FU19" s="260">
        <f t="shared" si="29"/>
        <v>7.0725995316159251E-2</v>
      </c>
      <c r="FV19" s="260">
        <f t="shared" si="29"/>
        <v>0.50225091310626013</v>
      </c>
      <c r="FW19" s="269">
        <v>5186</v>
      </c>
      <c r="FX19" s="268">
        <v>1272</v>
      </c>
      <c r="FY19" s="268">
        <v>252</v>
      </c>
      <c r="FZ19" s="268">
        <v>1803</v>
      </c>
      <c r="GA19" s="268">
        <v>1168</v>
      </c>
      <c r="GB19" s="268">
        <v>1</v>
      </c>
      <c r="GC19" s="268">
        <v>1975</v>
      </c>
      <c r="GD19" s="268">
        <f>SUM(Data[[#This Row],[Fall 18 LC Non-eCore Enroll]:[Fall 20 LC Non-eCore Enroll]])</f>
        <v>11657</v>
      </c>
      <c r="GE19" s="89">
        <f t="shared" si="30"/>
        <v>0.17446942257610681</v>
      </c>
      <c r="GF19" s="252">
        <v>0.35099999999999998</v>
      </c>
      <c r="GG19" s="252">
        <f t="shared" si="31"/>
        <v>0.10246495891735138</v>
      </c>
      <c r="GH19" s="252">
        <f t="shared" si="31"/>
        <v>0.14566473988439307</v>
      </c>
      <c r="GI19" s="252">
        <f t="shared" si="31"/>
        <v>0.13448198702170508</v>
      </c>
      <c r="GJ19" s="259">
        <f t="shared" si="31"/>
        <v>0.10373001776198934</v>
      </c>
      <c r="GK19" s="259">
        <f t="shared" si="31"/>
        <v>4.9480455220188031E-4</v>
      </c>
      <c r="GL19" s="259">
        <f t="shared" si="31"/>
        <v>0.17602495543672014</v>
      </c>
      <c r="GM19" s="269">
        <v>23</v>
      </c>
      <c r="GN19" s="268">
        <v>2727</v>
      </c>
      <c r="GO19" s="268">
        <v>350</v>
      </c>
      <c r="GP19" s="268">
        <v>2496</v>
      </c>
      <c r="GQ19" s="268">
        <v>2186</v>
      </c>
      <c r="GR19" s="268">
        <v>36</v>
      </c>
      <c r="GS19" s="268">
        <v>3385</v>
      </c>
      <c r="GT19" s="268">
        <f>SUM(Data[[#This Row],[Fall 18 NC Non-eCore Enroll]:[Fall 20 NC Non-eCore Enroll]])</f>
        <v>11203</v>
      </c>
      <c r="GU19" s="89">
        <f t="shared" si="32"/>
        <v>0.1676744394887299</v>
      </c>
      <c r="GV19" s="252">
        <v>2E-3</v>
      </c>
      <c r="GW19" s="252">
        <f t="shared" si="45"/>
        <v>0.21967133881101983</v>
      </c>
      <c r="GX19" s="252">
        <f t="shared" si="45"/>
        <v>0.20231213872832371</v>
      </c>
      <c r="GY19" s="252">
        <f t="shared" si="45"/>
        <v>0.18617140299843365</v>
      </c>
      <c r="GZ19" s="259">
        <f t="shared" si="45"/>
        <v>0.1941385435168739</v>
      </c>
      <c r="HA19" s="259">
        <f t="shared" si="45"/>
        <v>1.7812963879267688E-2</v>
      </c>
      <c r="HB19" s="259">
        <f t="shared" si="45"/>
        <v>0.30169340463458111</v>
      </c>
      <c r="HC19" s="269">
        <v>5209</v>
      </c>
      <c r="HD19" s="268">
        <v>3999</v>
      </c>
      <c r="HE19" s="269">
        <f t="shared" si="41"/>
        <v>602</v>
      </c>
      <c r="HF19" s="269">
        <f t="shared" si="41"/>
        <v>4299</v>
      </c>
      <c r="HG19" s="257">
        <f t="shared" si="41"/>
        <v>3354</v>
      </c>
      <c r="HH19" s="257">
        <f t="shared" si="41"/>
        <v>37</v>
      </c>
      <c r="HI19" s="257">
        <f t="shared" si="41"/>
        <v>5360</v>
      </c>
      <c r="HJ19" s="269">
        <f>SUM(Data[[#This Row],[Fall 18 LC+NC Non-eCore Enroll]:[Fall 20 LC+NC Non-eCore Enroll]])</f>
        <v>22860</v>
      </c>
      <c r="HK19" s="91">
        <f t="shared" si="34"/>
        <v>0.34214386206483671</v>
      </c>
      <c r="HL19" s="268">
        <v>9553</v>
      </c>
      <c r="HM19" s="268">
        <v>8415</v>
      </c>
      <c r="HN19" s="268">
        <v>1128</v>
      </c>
      <c r="HO19" s="82">
        <v>9108</v>
      </c>
      <c r="HP19" s="82">
        <v>7906</v>
      </c>
      <c r="HQ19" s="82">
        <v>1984</v>
      </c>
      <c r="HR19" s="82">
        <v>5860</v>
      </c>
      <c r="HS19" s="256">
        <f>SUM(Data[[#This Row],[Fall 18 Non-eCore None Enroll]:[Fall 20 Non-eCore None Enroll]])</f>
        <v>43954</v>
      </c>
      <c r="HT19" s="89">
        <f t="shared" si="35"/>
        <v>0.65785613793516329</v>
      </c>
      <c r="HU19" s="252">
        <v>0.35299999999999998</v>
      </c>
      <c r="HV19" s="252">
        <f t="shared" si="46"/>
        <v>0.32213629772837121</v>
      </c>
      <c r="HW19" s="252">
        <f t="shared" si="46"/>
        <v>0.34797687861271676</v>
      </c>
      <c r="HX19" s="252">
        <f t="shared" si="46"/>
        <v>0.32065339002013871</v>
      </c>
      <c r="HY19" s="259">
        <f t="shared" si="46"/>
        <v>0.29786856127886324</v>
      </c>
      <c r="HZ19" s="259">
        <f t="shared" si="46"/>
        <v>1.830776843146957E-2</v>
      </c>
      <c r="IA19" s="259">
        <f t="shared" si="46"/>
        <v>0.47771836007130125</v>
      </c>
    </row>
    <row r="20" spans="1:235" x14ac:dyDescent="0.25">
      <c r="A20" s="79" t="s">
        <v>132</v>
      </c>
      <c r="B20" s="79" t="s">
        <v>2293</v>
      </c>
      <c r="C20" s="280">
        <f>Data[[#This Row],[Spring 20 No eCore Low-Cost Sections]]+Data[[#This Row],[Summer 20 No eCore Low-Cost Sections]]+Data[[#This Row],[Fall 20 No eCore Low-Cost Sections]]</f>
        <v>367</v>
      </c>
      <c r="D20" s="281">
        <f>Data[[#This Row],[2020 LC Total]]/(Data[[#This Row],[Spring 20 All Sections]]+Data[[#This Row],[Summer 20 All Sections]]+Data[[#This Row],[Fall 20 All Sections]])</f>
        <v>2.5116342732001095E-2</v>
      </c>
      <c r="E20" s="280">
        <f>Data[[#This Row],[Spring 20 No eCore No-Cost Sections]]+Data[[#This Row],[Summer 20 No eCore No-Cost Sections]]+Data[[#This Row],[Fall 20 No eCore No-Cost Sections]]</f>
        <v>882</v>
      </c>
      <c r="F20" s="281">
        <f>Data[[#This Row],[2020 NC Total]]/(Data[[#This Row],[Spring 20 All Sections]]+Data[[#This Row],[Summer 20 All Sections]]+Data[[#This Row],[Fall 20 All Sections]])</f>
        <v>6.0361346838215167E-2</v>
      </c>
      <c r="G20" s="280">
        <f>Data[[#This Row],[2020 LC Total]]+Data[[#This Row],[2020 NC Total]]</f>
        <v>1249</v>
      </c>
      <c r="H20" s="281">
        <f>Data[[#This Row],[2020 NC+LC Total]]/(Data[[#This Row],[Spring 20 All Sections]]+Data[[#This Row],[Summer 20 All Sections]]+Data[[#This Row],[Fall 20 All Sections]])</f>
        <v>8.5477689570216259E-2</v>
      </c>
      <c r="I20" s="249">
        <v>6058</v>
      </c>
      <c r="J20" s="250">
        <v>6190</v>
      </c>
      <c r="K20" s="251">
        <v>2317</v>
      </c>
      <c r="L20" s="82">
        <v>6167</v>
      </c>
      <c r="M20" s="82">
        <v>5903</v>
      </c>
      <c r="N20" s="82">
        <v>2178</v>
      </c>
      <c r="O20" s="82">
        <v>6531</v>
      </c>
      <c r="P20" s="82">
        <f>SUM(Data[[#This Row],[Fall 18 All Sections]:[Fall 20 All Sections]])</f>
        <v>35344</v>
      </c>
      <c r="Q20" s="249">
        <v>257</v>
      </c>
      <c r="R20" s="250">
        <v>275</v>
      </c>
      <c r="S20" s="250">
        <v>90</v>
      </c>
      <c r="T20" s="82">
        <v>314</v>
      </c>
      <c r="U20" s="82">
        <v>291</v>
      </c>
      <c r="V20" s="82">
        <v>97</v>
      </c>
      <c r="W20" s="82">
        <v>355</v>
      </c>
      <c r="X20" s="249">
        <v>5801</v>
      </c>
      <c r="Y20" s="250">
        <v>5915</v>
      </c>
      <c r="Z20" s="84">
        <v>2227</v>
      </c>
      <c r="AA20" s="82">
        <v>5853</v>
      </c>
      <c r="AB20" s="82">
        <v>5612</v>
      </c>
      <c r="AC20" s="82">
        <v>2081</v>
      </c>
      <c r="AD20" s="82">
        <v>6176</v>
      </c>
      <c r="AE20" s="249">
        <v>389</v>
      </c>
      <c r="AF20" s="82">
        <v>232</v>
      </c>
      <c r="AG20" s="82">
        <v>67</v>
      </c>
      <c r="AH20" s="82">
        <v>127</v>
      </c>
      <c r="AI20" s="82">
        <v>256</v>
      </c>
      <c r="AJ20" s="82">
        <v>47</v>
      </c>
      <c r="AK20" s="82">
        <v>64</v>
      </c>
      <c r="AL20" s="249">
        <v>815</v>
      </c>
      <c r="AM20" s="82">
        <v>629</v>
      </c>
      <c r="AN20" s="82">
        <v>232</v>
      </c>
      <c r="AO20" s="82">
        <v>570</v>
      </c>
      <c r="AP20" s="82">
        <v>770</v>
      </c>
      <c r="AQ20" s="82">
        <v>254</v>
      </c>
      <c r="AR20" s="82">
        <v>597</v>
      </c>
      <c r="AS20" s="249">
        <v>1204</v>
      </c>
      <c r="AT20" s="82">
        <v>861</v>
      </c>
      <c r="AU20" s="82">
        <f t="shared" si="0"/>
        <v>299</v>
      </c>
      <c r="AV20" s="82">
        <f t="shared" si="0"/>
        <v>697</v>
      </c>
      <c r="AW20" s="82">
        <f t="shared" si="0"/>
        <v>1026</v>
      </c>
      <c r="AX20" s="82">
        <f t="shared" si="0"/>
        <v>301</v>
      </c>
      <c r="AY20" s="82">
        <f t="shared" si="0"/>
        <v>661</v>
      </c>
      <c r="AZ20" s="249">
        <v>389</v>
      </c>
      <c r="BA20" s="82">
        <v>232</v>
      </c>
      <c r="BB20" s="82">
        <v>67</v>
      </c>
      <c r="BC20" s="82">
        <v>127</v>
      </c>
      <c r="BD20" s="82">
        <v>256</v>
      </c>
      <c r="BE20" s="82">
        <v>47</v>
      </c>
      <c r="BF20" s="82">
        <v>64</v>
      </c>
      <c r="BG20" s="249">
        <v>558</v>
      </c>
      <c r="BH20" s="82">
        <v>355</v>
      </c>
      <c r="BI20" s="82">
        <v>142</v>
      </c>
      <c r="BJ20" s="82">
        <v>259</v>
      </c>
      <c r="BK20" s="82">
        <v>481</v>
      </c>
      <c r="BL20" s="82">
        <v>157</v>
      </c>
      <c r="BM20" s="82">
        <v>244</v>
      </c>
      <c r="BN20" s="249">
        <v>947</v>
      </c>
      <c r="BO20" s="82">
        <v>587</v>
      </c>
      <c r="BP20" s="85">
        <f t="shared" si="1"/>
        <v>209</v>
      </c>
      <c r="BQ20" s="85">
        <f t="shared" si="37"/>
        <v>386</v>
      </c>
      <c r="BR20" s="85">
        <f t="shared" si="38"/>
        <v>737</v>
      </c>
      <c r="BS20" s="85">
        <f t="shared" si="39"/>
        <v>204</v>
      </c>
      <c r="BT20" s="85">
        <f t="shared" si="39"/>
        <v>308</v>
      </c>
      <c r="BU20" s="252">
        <v>6.4000000000000001E-2</v>
      </c>
      <c r="BV20" s="252">
        <f t="shared" si="2"/>
        <v>3.7479806138933765E-2</v>
      </c>
      <c r="BW20" s="252">
        <f t="shared" si="3"/>
        <v>2.8916702632714716E-2</v>
      </c>
      <c r="BX20" s="252">
        <f t="shared" si="4"/>
        <v>2.059348143343603E-2</v>
      </c>
      <c r="BY20" s="252">
        <f t="shared" si="5"/>
        <v>4.3367779095375231E-2</v>
      </c>
      <c r="BZ20" s="252">
        <f t="shared" si="6"/>
        <v>2.157943067033976E-2</v>
      </c>
      <c r="CA20" s="252">
        <f t="shared" si="7"/>
        <v>9.7994181595467775E-3</v>
      </c>
      <c r="CB20" s="252">
        <v>0.13500000000000001</v>
      </c>
      <c r="CC20" s="252">
        <f t="shared" si="8"/>
        <v>0.10161550888529887</v>
      </c>
      <c r="CD20" s="252">
        <f t="shared" si="9"/>
        <v>0.10012947777298231</v>
      </c>
      <c r="CE20" s="252">
        <f t="shared" si="10"/>
        <v>9.2427436354791628E-2</v>
      </c>
      <c r="CF20" s="252">
        <f t="shared" si="11"/>
        <v>0.13044214806030832</v>
      </c>
      <c r="CG20" s="252">
        <f t="shared" si="12"/>
        <v>0.11662075298438934</v>
      </c>
      <c r="CH20" s="252">
        <f t="shared" si="13"/>
        <v>9.1410197519522285E-2</v>
      </c>
      <c r="CI20" s="253">
        <v>0.19900000000000001</v>
      </c>
      <c r="CJ20" s="253">
        <f t="shared" si="14"/>
        <v>0.13909531502423264</v>
      </c>
      <c r="CK20" s="253">
        <f t="shared" si="15"/>
        <v>0.12904618040569701</v>
      </c>
      <c r="CL20" s="253">
        <f t="shared" si="16"/>
        <v>0.11302091778822766</v>
      </c>
      <c r="CM20" s="253">
        <f t="shared" si="17"/>
        <v>0.17380992715568355</v>
      </c>
      <c r="CN20" s="253">
        <f t="shared" si="18"/>
        <v>0.13820018365472911</v>
      </c>
      <c r="CO20" s="253">
        <f t="shared" si="19"/>
        <v>0.10120961567906905</v>
      </c>
      <c r="CP20" s="253">
        <v>6.7000000000000004E-2</v>
      </c>
      <c r="CQ20" s="253">
        <f t="shared" si="42"/>
        <v>3.9222316145393066E-2</v>
      </c>
      <c r="CR20" s="253">
        <f t="shared" si="42"/>
        <v>3.0085316569375842E-2</v>
      </c>
      <c r="CS20" s="253">
        <f t="shared" si="42"/>
        <v>2.1698274389202118E-2</v>
      </c>
      <c r="CT20" s="253">
        <f t="shared" si="42"/>
        <v>4.5616535994297935E-2</v>
      </c>
      <c r="CU20" s="253">
        <f t="shared" si="42"/>
        <v>2.2585295530994715E-2</v>
      </c>
      <c r="CV20" s="253">
        <f t="shared" si="42"/>
        <v>1.0362694300518135E-2</v>
      </c>
      <c r="CW20" s="253">
        <v>9.6000000000000002E-2</v>
      </c>
      <c r="CX20" s="253">
        <f t="shared" si="43"/>
        <v>6.0016906170752324E-2</v>
      </c>
      <c r="CY20" s="253">
        <f t="shared" si="43"/>
        <v>6.3762909744050286E-2</v>
      </c>
      <c r="CZ20" s="253">
        <f t="shared" si="43"/>
        <v>4.4250811549632667E-2</v>
      </c>
      <c r="DA20" s="253">
        <f t="shared" si="43"/>
        <v>8.5709194583036344E-2</v>
      </c>
      <c r="DB20" s="253">
        <f t="shared" si="43"/>
        <v>7.5444497837578089E-2</v>
      </c>
      <c r="DC20" s="253">
        <f t="shared" si="43"/>
        <v>3.950777202072539E-2</v>
      </c>
      <c r="DD20" s="253">
        <v>0.16300000000000001</v>
      </c>
      <c r="DE20" s="74">
        <f t="shared" si="44"/>
        <v>9.923922231614539E-2</v>
      </c>
      <c r="DF20" s="74">
        <f t="shared" si="44"/>
        <v>9.3848226313426139E-2</v>
      </c>
      <c r="DG20" s="74">
        <f t="shared" si="44"/>
        <v>6.5949085938834792E-2</v>
      </c>
      <c r="DH20" s="74">
        <f t="shared" si="44"/>
        <v>0.13132573057733429</v>
      </c>
      <c r="DI20" s="74">
        <f t="shared" si="44"/>
        <v>9.8029793368572801E-2</v>
      </c>
      <c r="DJ20" s="74">
        <f t="shared" si="44"/>
        <v>4.987046632124352E-2</v>
      </c>
      <c r="DK20" s="266">
        <v>149513</v>
      </c>
      <c r="DL20" s="266">
        <v>145633</v>
      </c>
      <c r="DM20" s="267">
        <v>39442</v>
      </c>
      <c r="DN20" s="268">
        <v>159789</v>
      </c>
      <c r="DO20" s="268">
        <v>146941</v>
      </c>
      <c r="DP20" s="268">
        <v>46160</v>
      </c>
      <c r="DQ20" s="268">
        <v>171436</v>
      </c>
      <c r="DR20" s="268">
        <f>SUM(Data[[#This Row],[Fall 18 All Enroll]:[Fall 20 All Enroll]])</f>
        <v>858914</v>
      </c>
      <c r="DS20" s="266">
        <v>148279</v>
      </c>
      <c r="DT20" s="267">
        <v>144176</v>
      </c>
      <c r="DU20" s="267">
        <v>39147</v>
      </c>
      <c r="DV20" s="268">
        <v>157431</v>
      </c>
      <c r="DW20" s="268">
        <v>145159</v>
      </c>
      <c r="DX20" s="268">
        <v>45651</v>
      </c>
      <c r="DY20" s="268">
        <v>169524</v>
      </c>
      <c r="DZ20" s="268">
        <f>SUM(Data[[#This Row],[Fall 18 Non-eCore Enroll]:[Fall 20 Non-eCore Enroll]])</f>
        <v>849367</v>
      </c>
      <c r="EA20" s="269">
        <v>9885</v>
      </c>
      <c r="EB20" s="268">
        <v>6407</v>
      </c>
      <c r="EC20" s="268">
        <v>1353</v>
      </c>
      <c r="ED20" s="268">
        <v>2836</v>
      </c>
      <c r="EE20" s="268">
        <v>7345</v>
      </c>
      <c r="EF20" s="268">
        <v>943</v>
      </c>
      <c r="EG20" s="268">
        <v>2573</v>
      </c>
      <c r="EH20" s="268">
        <f>SUM(Data[[#This Row],[Fall 18 LC All Enroll]:[Fall 20 LC All Enroll]])</f>
        <v>31342</v>
      </c>
      <c r="EI20" s="89">
        <f t="shared" si="23"/>
        <v>3.6490265614485269E-2</v>
      </c>
      <c r="EJ20" s="252">
        <v>6.6000000000000003E-2</v>
      </c>
      <c r="EK20" s="252">
        <f t="shared" si="24"/>
        <v>4.399414967761428E-2</v>
      </c>
      <c r="EL20" s="252">
        <f t="shared" si="24"/>
        <v>3.4303534303534305E-2</v>
      </c>
      <c r="EM20" s="252">
        <f t="shared" si="24"/>
        <v>1.7748405710030103E-2</v>
      </c>
      <c r="EN20" s="259">
        <f t="shared" si="24"/>
        <v>4.9986048822316442E-2</v>
      </c>
      <c r="EO20" s="259">
        <f t="shared" si="24"/>
        <v>2.0428942807625649E-2</v>
      </c>
      <c r="EP20" s="259">
        <f t="shared" si="24"/>
        <v>1.5008516297627103E-2</v>
      </c>
      <c r="EQ20" s="269">
        <v>12022</v>
      </c>
      <c r="ER20" s="268">
        <v>8547</v>
      </c>
      <c r="ES20" s="268">
        <v>2875</v>
      </c>
      <c r="ET20" s="268">
        <v>9880</v>
      </c>
      <c r="EU20" s="268">
        <v>12227</v>
      </c>
      <c r="EV20" s="268">
        <v>3347</v>
      </c>
      <c r="EW20" s="268">
        <v>9130</v>
      </c>
      <c r="EX20" s="268">
        <f>SUM(Data[[#This Row],[Fall 18 NC All Enroll]:[Fall 20 NC All Enroll]])</f>
        <v>58028</v>
      </c>
      <c r="EY20" s="89">
        <f t="shared" si="25"/>
        <v>6.7559732406271181E-2</v>
      </c>
      <c r="EZ20" s="252">
        <v>0.08</v>
      </c>
      <c r="FA20" s="252">
        <f t="shared" si="26"/>
        <v>5.8688621397622792E-2</v>
      </c>
      <c r="FB20" s="252">
        <f t="shared" si="26"/>
        <v>7.2891841184524117E-2</v>
      </c>
      <c r="FC20" s="252">
        <f t="shared" si="26"/>
        <v>6.1831540343828421E-2</v>
      </c>
      <c r="FD20" s="259">
        <f t="shared" si="26"/>
        <v>8.3210268066775103E-2</v>
      </c>
      <c r="FE20" s="259">
        <f t="shared" si="26"/>
        <v>7.2508665511265169E-2</v>
      </c>
      <c r="FF20" s="259">
        <f t="shared" si="26"/>
        <v>5.3256025572225203E-2</v>
      </c>
      <c r="FG20" s="269">
        <v>21907</v>
      </c>
      <c r="FH20" s="268">
        <v>14954</v>
      </c>
      <c r="FI20" s="268">
        <f t="shared" si="27"/>
        <v>4228</v>
      </c>
      <c r="FJ20" s="268">
        <f t="shared" si="40"/>
        <v>12716</v>
      </c>
      <c r="FK20" s="256">
        <f t="shared" si="40"/>
        <v>19572</v>
      </c>
      <c r="FL20" s="256">
        <f t="shared" si="40"/>
        <v>4290</v>
      </c>
      <c r="FM20" s="256">
        <f t="shared" si="40"/>
        <v>11703</v>
      </c>
      <c r="FN20" s="268">
        <f>SUM(Data[[#This Row],[Fall 18 LC+NC All Enroll]:[Fall 20 LC+NC All Enroll]])</f>
        <v>89370</v>
      </c>
      <c r="FO20" s="89">
        <f t="shared" si="28"/>
        <v>0.10404999802075644</v>
      </c>
      <c r="FP20" s="252">
        <v>0.14699999999999999</v>
      </c>
      <c r="FQ20" s="75">
        <f t="shared" si="29"/>
        <v>0.10268277107523707</v>
      </c>
      <c r="FR20" s="75">
        <f t="shared" si="29"/>
        <v>0.10719537548805841</v>
      </c>
      <c r="FS20" s="75">
        <f t="shared" si="29"/>
        <v>7.9579946053858527E-2</v>
      </c>
      <c r="FT20" s="260">
        <f t="shared" si="29"/>
        <v>0.13319631688909153</v>
      </c>
      <c r="FU20" s="260">
        <f t="shared" si="29"/>
        <v>9.2937608318890821E-2</v>
      </c>
      <c r="FV20" s="260">
        <f t="shared" si="29"/>
        <v>6.8264541869852313E-2</v>
      </c>
      <c r="FW20" s="269">
        <v>9885</v>
      </c>
      <c r="FX20" s="268">
        <v>6407</v>
      </c>
      <c r="FY20" s="268">
        <v>1353</v>
      </c>
      <c r="FZ20" s="268">
        <v>2836</v>
      </c>
      <c r="GA20" s="268">
        <v>7345</v>
      </c>
      <c r="GB20" s="268">
        <v>943</v>
      </c>
      <c r="GC20" s="268">
        <v>2573</v>
      </c>
      <c r="GD20" s="268">
        <f>SUM(Data[[#This Row],[Fall 18 LC Non-eCore Enroll]:[Fall 20 LC Non-eCore Enroll]])</f>
        <v>31342</v>
      </c>
      <c r="GE20" s="89">
        <f t="shared" si="30"/>
        <v>3.6900421137152729E-2</v>
      </c>
      <c r="GF20" s="252">
        <v>6.7000000000000004E-2</v>
      </c>
      <c r="GG20" s="252">
        <f t="shared" si="31"/>
        <v>4.4438741538120073E-2</v>
      </c>
      <c r="GH20" s="252">
        <f t="shared" si="31"/>
        <v>3.4562035405011876E-2</v>
      </c>
      <c r="GI20" s="252">
        <f t="shared" si="31"/>
        <v>1.8014241159619134E-2</v>
      </c>
      <c r="GJ20" s="259">
        <f t="shared" si="31"/>
        <v>5.0599687239509777E-2</v>
      </c>
      <c r="GK20" s="259">
        <f t="shared" si="31"/>
        <v>2.0656721649032879E-2</v>
      </c>
      <c r="GL20" s="259">
        <f t="shared" si="31"/>
        <v>1.5177791935065242E-2</v>
      </c>
      <c r="GM20" s="269">
        <v>10788</v>
      </c>
      <c r="GN20" s="268">
        <v>7095</v>
      </c>
      <c r="GO20" s="268">
        <v>2580</v>
      </c>
      <c r="GP20" s="268">
        <v>7548</v>
      </c>
      <c r="GQ20" s="268">
        <v>10469</v>
      </c>
      <c r="GR20" s="268">
        <v>2838</v>
      </c>
      <c r="GS20" s="268">
        <v>7223</v>
      </c>
      <c r="GT20" s="268">
        <f>SUM(Data[[#This Row],[Fall 18 NC Non-eCore Enroll]:[Fall 20 NC Non-eCore Enroll]])</f>
        <v>48541</v>
      </c>
      <c r="GU20" s="89">
        <f t="shared" si="32"/>
        <v>5.7149618480586133E-2</v>
      </c>
      <c r="GV20" s="252">
        <v>7.2999999999999995E-2</v>
      </c>
      <c r="GW20" s="252">
        <f t="shared" si="45"/>
        <v>4.9210686938186664E-2</v>
      </c>
      <c r="GX20" s="252">
        <f t="shared" si="45"/>
        <v>6.5905433366541491E-2</v>
      </c>
      <c r="GY20" s="252">
        <f t="shared" si="45"/>
        <v>4.7944813918478574E-2</v>
      </c>
      <c r="GZ20" s="259">
        <f t="shared" si="45"/>
        <v>7.212091568555859E-2</v>
      </c>
      <c r="HA20" s="259">
        <f t="shared" si="45"/>
        <v>6.2167312873759609E-2</v>
      </c>
      <c r="HB20" s="259">
        <f t="shared" si="45"/>
        <v>4.2607536396026519E-2</v>
      </c>
      <c r="HC20" s="269">
        <v>20673</v>
      </c>
      <c r="HD20" s="268">
        <v>13502</v>
      </c>
      <c r="HE20" s="269">
        <f t="shared" si="41"/>
        <v>3933</v>
      </c>
      <c r="HF20" s="269">
        <f t="shared" si="41"/>
        <v>10384</v>
      </c>
      <c r="HG20" s="257">
        <f t="shared" si="41"/>
        <v>17814</v>
      </c>
      <c r="HH20" s="257">
        <f t="shared" si="41"/>
        <v>3781</v>
      </c>
      <c r="HI20" s="257">
        <f t="shared" si="41"/>
        <v>9796</v>
      </c>
      <c r="HJ20" s="269">
        <f>SUM(Data[[#This Row],[Fall 18 LC+NC Non-eCore Enroll]:[Fall 20 LC+NC Non-eCore Enroll]])</f>
        <v>79883</v>
      </c>
      <c r="HK20" s="91">
        <f t="shared" si="34"/>
        <v>9.4050039617738862E-2</v>
      </c>
      <c r="HL20" s="268">
        <v>127606</v>
      </c>
      <c r="HM20" s="268">
        <v>130674</v>
      </c>
      <c r="HN20" s="268">
        <v>35214</v>
      </c>
      <c r="HO20" s="82">
        <v>147047</v>
      </c>
      <c r="HP20" s="82">
        <v>127345</v>
      </c>
      <c r="HQ20" s="82">
        <v>41870</v>
      </c>
      <c r="HR20" s="82">
        <v>159728</v>
      </c>
      <c r="HS20" s="256">
        <f>SUM(Data[[#This Row],[Fall 18 Non-eCore None Enroll]:[Fall 20 Non-eCore None Enroll]])</f>
        <v>769484</v>
      </c>
      <c r="HT20" s="89">
        <f t="shared" si="35"/>
        <v>0.90594996038226117</v>
      </c>
      <c r="HU20" s="252">
        <v>0.13900000000000001</v>
      </c>
      <c r="HV20" s="252">
        <f t="shared" si="46"/>
        <v>9.3649428476306737E-2</v>
      </c>
      <c r="HW20" s="252">
        <f t="shared" si="46"/>
        <v>0.10046746877155338</v>
      </c>
      <c r="HX20" s="252">
        <f t="shared" si="46"/>
        <v>6.5959055078097711E-2</v>
      </c>
      <c r="HY20" s="259">
        <f t="shared" si="46"/>
        <v>0.12272060292506837</v>
      </c>
      <c r="HZ20" s="259">
        <f t="shared" si="46"/>
        <v>8.2824034522792495E-2</v>
      </c>
      <c r="IA20" s="259">
        <f t="shared" si="46"/>
        <v>5.7785328331091762E-2</v>
      </c>
    </row>
    <row r="21" spans="1:235" x14ac:dyDescent="0.25">
      <c r="A21" s="79" t="s">
        <v>119</v>
      </c>
      <c r="B21" s="79" t="s">
        <v>2291</v>
      </c>
      <c r="C21" s="280">
        <f>Data[[#This Row],[Spring 20 No eCore Low-Cost Sections]]+Data[[#This Row],[Summer 20 No eCore Low-Cost Sections]]+Data[[#This Row],[Fall 20 No eCore Low-Cost Sections]]</f>
        <v>83</v>
      </c>
      <c r="D21" s="281">
        <f>Data[[#This Row],[2020 LC Total]]/(Data[[#This Row],[Spring 20 All Sections]]+Data[[#This Row],[Summer 20 All Sections]]+Data[[#This Row],[Fall 20 All Sections]])</f>
        <v>2.1233051931440265E-2</v>
      </c>
      <c r="E21" s="280">
        <f>Data[[#This Row],[Spring 20 No eCore No-Cost Sections]]+Data[[#This Row],[Summer 20 No eCore No-Cost Sections]]+Data[[#This Row],[Fall 20 No eCore No-Cost Sections]]</f>
        <v>461</v>
      </c>
      <c r="F21" s="281">
        <f>Data[[#This Row],[2020 NC Total]]/(Data[[#This Row],[Spring 20 All Sections]]+Data[[#This Row],[Summer 20 All Sections]]+Data[[#This Row],[Fall 20 All Sections]])</f>
        <v>0.11793297518546943</v>
      </c>
      <c r="G21" s="280">
        <f>Data[[#This Row],[2020 LC Total]]+Data[[#This Row],[2020 NC Total]]</f>
        <v>544</v>
      </c>
      <c r="H21" s="281">
        <f>Data[[#This Row],[2020 NC+LC Total]]/(Data[[#This Row],[Spring 20 All Sections]]+Data[[#This Row],[Summer 20 All Sections]]+Data[[#This Row],[Fall 20 All Sections]])</f>
        <v>0.1391660271169097</v>
      </c>
      <c r="I21" s="249">
        <v>1740</v>
      </c>
      <c r="J21" s="250">
        <v>1890</v>
      </c>
      <c r="K21" s="251">
        <v>558</v>
      </c>
      <c r="L21" s="82">
        <v>1757</v>
      </c>
      <c r="M21" s="82">
        <v>1686</v>
      </c>
      <c r="N21" s="82">
        <v>508</v>
      </c>
      <c r="O21" s="82">
        <v>1715</v>
      </c>
      <c r="P21" s="82">
        <f>SUM(Data[[#This Row],[Fall 18 All Sections]:[Fall 20 All Sections]])</f>
        <v>9854</v>
      </c>
      <c r="Q21" s="249">
        <v>155</v>
      </c>
      <c r="R21" s="250">
        <v>154</v>
      </c>
      <c r="S21" s="250">
        <v>38</v>
      </c>
      <c r="T21" s="82">
        <v>115</v>
      </c>
      <c r="U21" s="82">
        <v>98</v>
      </c>
      <c r="V21" s="82">
        <v>19</v>
      </c>
      <c r="W21" s="82">
        <v>184</v>
      </c>
      <c r="X21" s="249">
        <v>1585</v>
      </c>
      <c r="Y21" s="250">
        <v>1736</v>
      </c>
      <c r="Z21" s="84">
        <v>520</v>
      </c>
      <c r="AA21" s="82">
        <v>1642</v>
      </c>
      <c r="AB21" s="82">
        <v>1588</v>
      </c>
      <c r="AC21" s="82">
        <v>489</v>
      </c>
      <c r="AD21" s="82">
        <v>1531</v>
      </c>
      <c r="AE21" s="249">
        <v>89</v>
      </c>
      <c r="AF21" s="82">
        <v>81</v>
      </c>
      <c r="AG21" s="82">
        <v>27</v>
      </c>
      <c r="AH21" s="82">
        <v>126</v>
      </c>
      <c r="AI21" s="82">
        <v>0</v>
      </c>
      <c r="AJ21" s="82">
        <v>0</v>
      </c>
      <c r="AK21" s="82">
        <v>83</v>
      </c>
      <c r="AL21" s="249">
        <v>420</v>
      </c>
      <c r="AM21" s="82">
        <v>638</v>
      </c>
      <c r="AN21" s="82">
        <v>145</v>
      </c>
      <c r="AO21" s="82">
        <v>573</v>
      </c>
      <c r="AP21" s="82">
        <v>110</v>
      </c>
      <c r="AQ21" s="82">
        <v>20</v>
      </c>
      <c r="AR21" s="82">
        <v>632</v>
      </c>
      <c r="AS21" s="249">
        <v>509</v>
      </c>
      <c r="AT21" s="82">
        <v>719</v>
      </c>
      <c r="AU21" s="82">
        <f t="shared" si="0"/>
        <v>172</v>
      </c>
      <c r="AV21" s="82">
        <f t="shared" si="0"/>
        <v>699</v>
      </c>
      <c r="AW21" s="82">
        <f t="shared" si="0"/>
        <v>110</v>
      </c>
      <c r="AX21" s="82">
        <f t="shared" si="0"/>
        <v>20</v>
      </c>
      <c r="AY21" s="82">
        <f t="shared" si="0"/>
        <v>715</v>
      </c>
      <c r="AZ21" s="249">
        <v>89</v>
      </c>
      <c r="BA21" s="82">
        <v>81</v>
      </c>
      <c r="BB21" s="82">
        <v>27</v>
      </c>
      <c r="BC21" s="82">
        <v>126</v>
      </c>
      <c r="BD21" s="82">
        <v>0</v>
      </c>
      <c r="BE21" s="82">
        <v>0</v>
      </c>
      <c r="BF21" s="82">
        <v>83</v>
      </c>
      <c r="BG21" s="249">
        <v>420</v>
      </c>
      <c r="BH21" s="82">
        <v>484</v>
      </c>
      <c r="BI21" s="82">
        <v>107</v>
      </c>
      <c r="BJ21" s="82">
        <v>458</v>
      </c>
      <c r="BK21" s="82">
        <v>12</v>
      </c>
      <c r="BL21" s="82">
        <v>1</v>
      </c>
      <c r="BM21" s="82">
        <v>448</v>
      </c>
      <c r="BN21" s="249">
        <v>509</v>
      </c>
      <c r="BO21" s="82">
        <v>565</v>
      </c>
      <c r="BP21" s="85">
        <f t="shared" si="1"/>
        <v>134</v>
      </c>
      <c r="BQ21" s="85">
        <f t="shared" si="37"/>
        <v>584</v>
      </c>
      <c r="BR21" s="85">
        <f t="shared" si="38"/>
        <v>12</v>
      </c>
      <c r="BS21" s="85">
        <f t="shared" si="39"/>
        <v>1</v>
      </c>
      <c r="BT21" s="85">
        <f t="shared" si="39"/>
        <v>531</v>
      </c>
      <c r="BU21" s="252">
        <v>5.0999999999999997E-2</v>
      </c>
      <c r="BV21" s="252">
        <f t="shared" si="2"/>
        <v>4.2857142857142858E-2</v>
      </c>
      <c r="BW21" s="252">
        <f t="shared" si="3"/>
        <v>4.8387096774193547E-2</v>
      </c>
      <c r="BX21" s="252">
        <f t="shared" si="4"/>
        <v>7.1713147410358571E-2</v>
      </c>
      <c r="BY21" s="252">
        <f t="shared" si="5"/>
        <v>0</v>
      </c>
      <c r="BZ21" s="252">
        <f t="shared" si="6"/>
        <v>0</v>
      </c>
      <c r="CA21" s="252">
        <f t="shared" si="7"/>
        <v>4.8396501457725949E-2</v>
      </c>
      <c r="CB21" s="252">
        <v>0.24099999999999999</v>
      </c>
      <c r="CC21" s="252">
        <f t="shared" si="8"/>
        <v>0.33756613756613757</v>
      </c>
      <c r="CD21" s="252">
        <f t="shared" si="9"/>
        <v>0.25985663082437277</v>
      </c>
      <c r="CE21" s="252">
        <f t="shared" si="10"/>
        <v>0.32612407512805919</v>
      </c>
      <c r="CF21" s="252">
        <f t="shared" si="11"/>
        <v>6.5243179122182679E-2</v>
      </c>
      <c r="CG21" s="252">
        <f t="shared" si="12"/>
        <v>3.937007874015748E-2</v>
      </c>
      <c r="CH21" s="252">
        <f t="shared" si="13"/>
        <v>0.36851311953352772</v>
      </c>
      <c r="CI21" s="253">
        <v>0.29299999999999998</v>
      </c>
      <c r="CJ21" s="253">
        <f t="shared" si="14"/>
        <v>0.38042328042328044</v>
      </c>
      <c r="CK21" s="253">
        <f t="shared" si="15"/>
        <v>0.30824372759856633</v>
      </c>
      <c r="CL21" s="253">
        <f t="shared" si="16"/>
        <v>0.39783722253841775</v>
      </c>
      <c r="CM21" s="253">
        <f t="shared" si="17"/>
        <v>6.5243179122182679E-2</v>
      </c>
      <c r="CN21" s="253">
        <f t="shared" si="18"/>
        <v>3.937007874015748E-2</v>
      </c>
      <c r="CO21" s="253">
        <f t="shared" si="19"/>
        <v>0.41690962099125367</v>
      </c>
      <c r="CP21" s="253">
        <v>5.6000000000000001E-2</v>
      </c>
      <c r="CQ21" s="253">
        <f t="shared" si="42"/>
        <v>4.6658986175115207E-2</v>
      </c>
      <c r="CR21" s="253">
        <f t="shared" si="42"/>
        <v>5.1923076923076926E-2</v>
      </c>
      <c r="CS21" s="253">
        <f t="shared" si="42"/>
        <v>7.6735688185140066E-2</v>
      </c>
      <c r="CT21" s="253">
        <f t="shared" si="42"/>
        <v>0</v>
      </c>
      <c r="CU21" s="253">
        <f t="shared" si="42"/>
        <v>0</v>
      </c>
      <c r="CV21" s="253">
        <f t="shared" si="42"/>
        <v>5.4212932723709993E-2</v>
      </c>
      <c r="CW21" s="253">
        <v>0.26500000000000001</v>
      </c>
      <c r="CX21" s="253">
        <f t="shared" si="43"/>
        <v>0.27880184331797236</v>
      </c>
      <c r="CY21" s="253">
        <f t="shared" si="43"/>
        <v>0.20576923076923076</v>
      </c>
      <c r="CZ21" s="253">
        <f t="shared" si="43"/>
        <v>0.27892813641900122</v>
      </c>
      <c r="DA21" s="253">
        <f t="shared" si="43"/>
        <v>7.556675062972292E-3</v>
      </c>
      <c r="DB21" s="253">
        <f t="shared" si="43"/>
        <v>2.0449897750511249E-3</v>
      </c>
      <c r="DC21" s="253">
        <f t="shared" si="43"/>
        <v>0.29261920313520573</v>
      </c>
      <c r="DD21" s="253">
        <v>0.32100000000000001</v>
      </c>
      <c r="DE21" s="74">
        <f t="shared" si="44"/>
        <v>0.32546082949308758</v>
      </c>
      <c r="DF21" s="74">
        <f t="shared" si="44"/>
        <v>0.25769230769230766</v>
      </c>
      <c r="DG21" s="74">
        <f t="shared" si="44"/>
        <v>0.35566382460414131</v>
      </c>
      <c r="DH21" s="74">
        <f t="shared" si="44"/>
        <v>7.556675062972292E-3</v>
      </c>
      <c r="DI21" s="74">
        <f t="shared" si="44"/>
        <v>2.0449897750511249E-3</v>
      </c>
      <c r="DJ21" s="74">
        <f t="shared" si="44"/>
        <v>0.34683213585891576</v>
      </c>
      <c r="DK21" s="266">
        <v>32482</v>
      </c>
      <c r="DL21" s="266">
        <v>31571</v>
      </c>
      <c r="DM21" s="267">
        <v>8343</v>
      </c>
      <c r="DN21" s="268">
        <v>30561</v>
      </c>
      <c r="DO21" s="268">
        <v>28708</v>
      </c>
      <c r="DP21" s="268">
        <v>9200</v>
      </c>
      <c r="DQ21" s="268">
        <v>30858</v>
      </c>
      <c r="DR21" s="268">
        <f>SUM(Data[[#This Row],[Fall 18 All Enroll]:[Fall 20 All Enroll]])</f>
        <v>171723</v>
      </c>
      <c r="DS21" s="266">
        <v>32178</v>
      </c>
      <c r="DT21" s="267">
        <v>31280</v>
      </c>
      <c r="DU21" s="267">
        <v>8289</v>
      </c>
      <c r="DV21" s="268">
        <v>30363</v>
      </c>
      <c r="DW21" s="268">
        <v>28555</v>
      </c>
      <c r="DX21" s="268">
        <v>9180</v>
      </c>
      <c r="DY21" s="268">
        <v>30491</v>
      </c>
      <c r="DZ21" s="268">
        <f>SUM(Data[[#This Row],[Fall 18 Non-eCore Enroll]:[Fall 20 Non-eCore Enroll]])</f>
        <v>170336</v>
      </c>
      <c r="EA21" s="269">
        <v>2045</v>
      </c>
      <c r="EB21" s="268">
        <v>1488</v>
      </c>
      <c r="EC21" s="268">
        <v>481</v>
      </c>
      <c r="ED21" s="268">
        <v>2665</v>
      </c>
      <c r="EE21" s="268">
        <v>0</v>
      </c>
      <c r="EF21" s="268">
        <v>0</v>
      </c>
      <c r="EG21" s="268">
        <v>1719</v>
      </c>
      <c r="EH21" s="268">
        <f>SUM(Data[[#This Row],[Fall 18 LC All Enroll]:[Fall 20 LC All Enroll]])</f>
        <v>8398</v>
      </c>
      <c r="EI21" s="89">
        <f t="shared" si="23"/>
        <v>4.8904340129161498E-2</v>
      </c>
      <c r="EJ21" s="252">
        <v>6.3E-2</v>
      </c>
      <c r="EK21" s="252">
        <f t="shared" si="24"/>
        <v>4.713186151848215E-2</v>
      </c>
      <c r="EL21" s="252">
        <f t="shared" si="24"/>
        <v>5.7653122378041474E-2</v>
      </c>
      <c r="EM21" s="252">
        <f t="shared" si="24"/>
        <v>8.7202643892542786E-2</v>
      </c>
      <c r="EN21" s="259">
        <f t="shared" si="24"/>
        <v>0</v>
      </c>
      <c r="EO21" s="259">
        <f t="shared" si="24"/>
        <v>0</v>
      </c>
      <c r="EP21" s="259">
        <f t="shared" si="24"/>
        <v>5.5706785922613258E-2</v>
      </c>
      <c r="EQ21" s="269">
        <v>6898</v>
      </c>
      <c r="ER21" s="268">
        <v>7463</v>
      </c>
      <c r="ES21" s="268">
        <v>1903</v>
      </c>
      <c r="ET21" s="268">
        <v>6655</v>
      </c>
      <c r="EU21" s="268">
        <v>314</v>
      </c>
      <c r="EV21" s="268">
        <v>47</v>
      </c>
      <c r="EW21" s="268">
        <v>8092</v>
      </c>
      <c r="EX21" s="268">
        <f>SUM(Data[[#This Row],[Fall 18 NC All Enroll]:[Fall 20 NC All Enroll]])</f>
        <v>31372</v>
      </c>
      <c r="EY21" s="89">
        <f t="shared" si="25"/>
        <v>0.18268956400715106</v>
      </c>
      <c r="EZ21" s="252">
        <v>0.21199999999999999</v>
      </c>
      <c r="FA21" s="252">
        <f t="shared" si="26"/>
        <v>0.23638782426910773</v>
      </c>
      <c r="FB21" s="252">
        <f t="shared" si="26"/>
        <v>0.2280954093251828</v>
      </c>
      <c r="FC21" s="252">
        <f t="shared" si="26"/>
        <v>0.21776119891364812</v>
      </c>
      <c r="FD21" s="259">
        <f t="shared" si="26"/>
        <v>1.093771770934931E-2</v>
      </c>
      <c r="FE21" s="259">
        <f t="shared" si="26"/>
        <v>5.1086956521739129E-3</v>
      </c>
      <c r="FF21" s="259">
        <f t="shared" si="26"/>
        <v>0.26223345647806079</v>
      </c>
      <c r="FG21" s="269">
        <v>8943</v>
      </c>
      <c r="FH21" s="268">
        <v>8951</v>
      </c>
      <c r="FI21" s="268">
        <f t="shared" si="27"/>
        <v>2384</v>
      </c>
      <c r="FJ21" s="268">
        <f t="shared" si="40"/>
        <v>9320</v>
      </c>
      <c r="FK21" s="256">
        <f t="shared" si="40"/>
        <v>314</v>
      </c>
      <c r="FL21" s="256">
        <f t="shared" si="40"/>
        <v>47</v>
      </c>
      <c r="FM21" s="256">
        <f t="shared" si="40"/>
        <v>9811</v>
      </c>
      <c r="FN21" s="268">
        <f>SUM(Data[[#This Row],[Fall 18 LC+NC All Enroll]:[Fall 20 LC+NC All Enroll]])</f>
        <v>39770</v>
      </c>
      <c r="FO21" s="89">
        <f t="shared" si="28"/>
        <v>0.23159390413631256</v>
      </c>
      <c r="FP21" s="252">
        <v>0.27500000000000002</v>
      </c>
      <c r="FQ21" s="75">
        <f t="shared" si="29"/>
        <v>0.2835196857875899</v>
      </c>
      <c r="FR21" s="75">
        <f t="shared" si="29"/>
        <v>0.28574853170322428</v>
      </c>
      <c r="FS21" s="75">
        <f t="shared" si="29"/>
        <v>0.30496384280619088</v>
      </c>
      <c r="FT21" s="260">
        <f t="shared" si="29"/>
        <v>1.093771770934931E-2</v>
      </c>
      <c r="FU21" s="260">
        <f t="shared" si="29"/>
        <v>5.1086956521739129E-3</v>
      </c>
      <c r="FV21" s="260">
        <f t="shared" si="29"/>
        <v>0.31794024240067403</v>
      </c>
      <c r="FW21" s="269">
        <v>2045</v>
      </c>
      <c r="FX21" s="268">
        <v>1488</v>
      </c>
      <c r="FY21" s="268">
        <v>481</v>
      </c>
      <c r="FZ21" s="268">
        <v>2665</v>
      </c>
      <c r="GA21" s="268">
        <v>0</v>
      </c>
      <c r="GB21" s="268">
        <v>0</v>
      </c>
      <c r="GC21" s="268">
        <v>1719</v>
      </c>
      <c r="GD21" s="268">
        <f>SUM(Data[[#This Row],[Fall 18 LC Non-eCore Enroll]:[Fall 20 LC Non-eCore Enroll]])</f>
        <v>8398</v>
      </c>
      <c r="GE21" s="89">
        <f t="shared" si="30"/>
        <v>4.9302554950216043E-2</v>
      </c>
      <c r="GF21" s="252">
        <v>6.4000000000000001E-2</v>
      </c>
      <c r="GG21" s="252">
        <f t="shared" si="31"/>
        <v>4.7570332480818413E-2</v>
      </c>
      <c r="GH21" s="252">
        <f t="shared" si="31"/>
        <v>5.8028712751839788E-2</v>
      </c>
      <c r="GI21" s="252">
        <f t="shared" si="31"/>
        <v>8.7771300596120275E-2</v>
      </c>
      <c r="GJ21" s="259">
        <f t="shared" si="31"/>
        <v>0</v>
      </c>
      <c r="GK21" s="259">
        <f t="shared" si="31"/>
        <v>0</v>
      </c>
      <c r="GL21" s="259">
        <f t="shared" si="31"/>
        <v>5.6377291659834051E-2</v>
      </c>
      <c r="GM21" s="269">
        <v>6898</v>
      </c>
      <c r="GN21" s="268">
        <v>7172</v>
      </c>
      <c r="GO21" s="268">
        <v>1849</v>
      </c>
      <c r="GP21" s="268">
        <v>6457</v>
      </c>
      <c r="GQ21" s="268">
        <v>161</v>
      </c>
      <c r="GR21" s="268">
        <v>27</v>
      </c>
      <c r="GS21" s="268">
        <v>7725</v>
      </c>
      <c r="GT21" s="268">
        <f>SUM(Data[[#This Row],[Fall 18 NC Non-eCore Enroll]:[Fall 20 NC Non-eCore Enroll]])</f>
        <v>30289</v>
      </c>
      <c r="GU21" s="89">
        <f t="shared" si="32"/>
        <v>0.17781913394702237</v>
      </c>
      <c r="GV21" s="252">
        <v>0.214</v>
      </c>
      <c r="GW21" s="252">
        <f t="shared" si="45"/>
        <v>0.22928388746803069</v>
      </c>
      <c r="GX21" s="252">
        <f t="shared" si="45"/>
        <v>0.22306671492339245</v>
      </c>
      <c r="GY21" s="252">
        <f t="shared" si="45"/>
        <v>0.21266014557191318</v>
      </c>
      <c r="GZ21" s="259">
        <f t="shared" si="45"/>
        <v>5.6382419891437578E-3</v>
      </c>
      <c r="HA21" s="259">
        <f t="shared" si="45"/>
        <v>2.9411764705882353E-3</v>
      </c>
      <c r="HB21" s="259">
        <f t="shared" si="45"/>
        <v>0.25335344855859104</v>
      </c>
      <c r="HC21" s="269">
        <v>8943</v>
      </c>
      <c r="HD21" s="268">
        <v>8660</v>
      </c>
      <c r="HE21" s="269">
        <f t="shared" si="41"/>
        <v>2330</v>
      </c>
      <c r="HF21" s="269">
        <f t="shared" si="41"/>
        <v>9122</v>
      </c>
      <c r="HG21" s="257">
        <f t="shared" si="41"/>
        <v>161</v>
      </c>
      <c r="HH21" s="257">
        <f t="shared" si="41"/>
        <v>27</v>
      </c>
      <c r="HI21" s="257">
        <f t="shared" si="41"/>
        <v>9444</v>
      </c>
      <c r="HJ21" s="269">
        <f>SUM(Data[[#This Row],[Fall 18 LC+NC Non-eCore Enroll]:[Fall 20 LC+NC Non-eCore Enroll]])</f>
        <v>38687</v>
      </c>
      <c r="HK21" s="91">
        <f t="shared" si="34"/>
        <v>0.22712168889723841</v>
      </c>
      <c r="HL21" s="268">
        <v>23235</v>
      </c>
      <c r="HM21" s="268">
        <v>22620</v>
      </c>
      <c r="HN21" s="268">
        <v>5959</v>
      </c>
      <c r="HO21" s="82">
        <v>21241</v>
      </c>
      <c r="HP21" s="82">
        <v>28394</v>
      </c>
      <c r="HQ21" s="82">
        <v>9153</v>
      </c>
      <c r="HR21" s="82">
        <v>21047</v>
      </c>
      <c r="HS21" s="256">
        <f>SUM(Data[[#This Row],[Fall 18 Non-eCore None Enroll]:[Fall 20 Non-eCore None Enroll]])</f>
        <v>131649</v>
      </c>
      <c r="HT21" s="89">
        <f t="shared" si="35"/>
        <v>0.77287831110276162</v>
      </c>
      <c r="HU21" s="252">
        <v>0.27800000000000002</v>
      </c>
      <c r="HV21" s="252">
        <f t="shared" si="46"/>
        <v>0.27685421994884912</v>
      </c>
      <c r="HW21" s="252">
        <f t="shared" si="46"/>
        <v>0.28109542767523221</v>
      </c>
      <c r="HX21" s="252">
        <f t="shared" si="46"/>
        <v>0.30043144616803347</v>
      </c>
      <c r="HY21" s="259">
        <f t="shared" si="46"/>
        <v>5.6382419891437578E-3</v>
      </c>
      <c r="HZ21" s="259">
        <f t="shared" si="46"/>
        <v>2.9411764705882353E-3</v>
      </c>
      <c r="IA21" s="259">
        <f t="shared" si="46"/>
        <v>0.30973074021842512</v>
      </c>
    </row>
    <row r="22" spans="1:235" x14ac:dyDescent="0.25">
      <c r="A22" s="79" t="s">
        <v>574</v>
      </c>
      <c r="B22" s="79" t="s">
        <v>2291</v>
      </c>
      <c r="C22" s="280">
        <f>Data[[#This Row],[Spring 20 No eCore Low-Cost Sections]]+Data[[#This Row],[Summer 20 No eCore Low-Cost Sections]]+Data[[#This Row],[Fall 20 No eCore Low-Cost Sections]]</f>
        <v>104</v>
      </c>
      <c r="D22" s="281">
        <f>Data[[#This Row],[2020 LC Total]]/(Data[[#This Row],[Spring 20 All Sections]]+Data[[#This Row],[Summer 20 All Sections]]+Data[[#This Row],[Fall 20 All Sections]])</f>
        <v>4.4924406047516199E-2</v>
      </c>
      <c r="E22" s="280">
        <f>Data[[#This Row],[Spring 20 No eCore No-Cost Sections]]+Data[[#This Row],[Summer 20 No eCore No-Cost Sections]]+Data[[#This Row],[Fall 20 No eCore No-Cost Sections]]</f>
        <v>544</v>
      </c>
      <c r="F22" s="281">
        <f>Data[[#This Row],[2020 NC Total]]/(Data[[#This Row],[Spring 20 All Sections]]+Data[[#This Row],[Summer 20 All Sections]]+Data[[#This Row],[Fall 20 All Sections]])</f>
        <v>0.23498920086393088</v>
      </c>
      <c r="G22" s="280">
        <f>Data[[#This Row],[2020 LC Total]]+Data[[#This Row],[2020 NC Total]]</f>
        <v>648</v>
      </c>
      <c r="H22" s="281">
        <f>Data[[#This Row],[2020 NC+LC Total]]/(Data[[#This Row],[Spring 20 All Sections]]+Data[[#This Row],[Summer 20 All Sections]]+Data[[#This Row],[Fall 20 All Sections]])</f>
        <v>0.27991360691144707</v>
      </c>
      <c r="I22" s="249">
        <v>1161</v>
      </c>
      <c r="J22" s="250">
        <v>1007</v>
      </c>
      <c r="K22" s="251">
        <v>271</v>
      </c>
      <c r="L22" s="82">
        <v>986</v>
      </c>
      <c r="M22" s="82">
        <v>933</v>
      </c>
      <c r="N22" s="82">
        <v>216</v>
      </c>
      <c r="O22" s="82">
        <v>1166</v>
      </c>
      <c r="P22" s="82">
        <f>SUM(Data[[#This Row],[Fall 18 All Sections]:[Fall 20 All Sections]])</f>
        <v>5740</v>
      </c>
      <c r="Q22" s="249">
        <v>176</v>
      </c>
      <c r="R22" s="250">
        <v>149</v>
      </c>
      <c r="S22" s="250">
        <v>49</v>
      </c>
      <c r="T22" s="82">
        <v>131</v>
      </c>
      <c r="U22" s="82">
        <v>173</v>
      </c>
      <c r="V22" s="82">
        <v>41</v>
      </c>
      <c r="W22" s="82">
        <v>374</v>
      </c>
      <c r="X22" s="249">
        <v>985</v>
      </c>
      <c r="Y22" s="250">
        <v>858</v>
      </c>
      <c r="Z22" s="84">
        <v>222</v>
      </c>
      <c r="AA22" s="82">
        <v>855</v>
      </c>
      <c r="AB22" s="82">
        <v>760</v>
      </c>
      <c r="AC22" s="82">
        <v>175</v>
      </c>
      <c r="AD22" s="82">
        <v>792</v>
      </c>
      <c r="AE22" s="249">
        <v>19</v>
      </c>
      <c r="AF22" s="82">
        <v>11</v>
      </c>
      <c r="AG22" s="82">
        <v>6</v>
      </c>
      <c r="AH22" s="82">
        <v>12</v>
      </c>
      <c r="AI22" s="82">
        <v>31</v>
      </c>
      <c r="AJ22" s="82">
        <v>4</v>
      </c>
      <c r="AK22" s="82">
        <v>69</v>
      </c>
      <c r="AL22" s="249">
        <v>365</v>
      </c>
      <c r="AM22" s="82">
        <v>125</v>
      </c>
      <c r="AN22" s="82">
        <v>93</v>
      </c>
      <c r="AO22" s="82">
        <v>318</v>
      </c>
      <c r="AP22" s="82">
        <v>356</v>
      </c>
      <c r="AQ22" s="82">
        <v>45</v>
      </c>
      <c r="AR22" s="82">
        <v>731</v>
      </c>
      <c r="AS22" s="249">
        <v>384</v>
      </c>
      <c r="AT22" s="82">
        <v>136</v>
      </c>
      <c r="AU22" s="82">
        <f t="shared" si="0"/>
        <v>99</v>
      </c>
      <c r="AV22" s="82">
        <f t="shared" si="0"/>
        <v>330</v>
      </c>
      <c r="AW22" s="82">
        <f t="shared" si="0"/>
        <v>387</v>
      </c>
      <c r="AX22" s="82">
        <f t="shared" si="0"/>
        <v>49</v>
      </c>
      <c r="AY22" s="82">
        <f t="shared" si="0"/>
        <v>800</v>
      </c>
      <c r="AZ22" s="249">
        <v>19</v>
      </c>
      <c r="BA22" s="82">
        <v>10</v>
      </c>
      <c r="BB22" s="82">
        <v>6</v>
      </c>
      <c r="BC22" s="82">
        <v>12</v>
      </c>
      <c r="BD22" s="82">
        <v>31</v>
      </c>
      <c r="BE22" s="82">
        <v>4</v>
      </c>
      <c r="BF22" s="82">
        <v>69</v>
      </c>
      <c r="BG22" s="249">
        <v>192</v>
      </c>
      <c r="BH22" s="82">
        <v>7</v>
      </c>
      <c r="BI22" s="82">
        <v>44</v>
      </c>
      <c r="BJ22" s="82">
        <v>189</v>
      </c>
      <c r="BK22" s="82">
        <v>183</v>
      </c>
      <c r="BL22" s="82">
        <v>4</v>
      </c>
      <c r="BM22" s="82">
        <v>357</v>
      </c>
      <c r="BN22" s="249">
        <v>211</v>
      </c>
      <c r="BO22" s="82">
        <v>17</v>
      </c>
      <c r="BP22" s="85">
        <f t="shared" si="1"/>
        <v>50</v>
      </c>
      <c r="BQ22" s="85">
        <f t="shared" si="37"/>
        <v>201</v>
      </c>
      <c r="BR22" s="85">
        <f t="shared" si="38"/>
        <v>214</v>
      </c>
      <c r="BS22" s="85">
        <f t="shared" si="39"/>
        <v>8</v>
      </c>
      <c r="BT22" s="85">
        <f t="shared" si="39"/>
        <v>426</v>
      </c>
      <c r="BU22" s="252">
        <v>1.6E-2</v>
      </c>
      <c r="BV22" s="252">
        <f t="shared" si="2"/>
        <v>1.0923535253227408E-2</v>
      </c>
      <c r="BW22" s="252">
        <f t="shared" si="3"/>
        <v>2.2140221402214021E-2</v>
      </c>
      <c r="BX22" s="252">
        <f t="shared" si="4"/>
        <v>1.2170385395537525E-2</v>
      </c>
      <c r="BY22" s="252">
        <f t="shared" si="5"/>
        <v>3.3226152197213289E-2</v>
      </c>
      <c r="BZ22" s="252">
        <f t="shared" si="6"/>
        <v>1.8518518518518517E-2</v>
      </c>
      <c r="CA22" s="252">
        <f t="shared" si="7"/>
        <v>5.9176672384219552E-2</v>
      </c>
      <c r="CB22" s="252">
        <v>0.314</v>
      </c>
      <c r="CC22" s="252">
        <f t="shared" si="8"/>
        <v>0.12413108242303873</v>
      </c>
      <c r="CD22" s="252">
        <f t="shared" si="9"/>
        <v>0.34317343173431736</v>
      </c>
      <c r="CE22" s="252">
        <f t="shared" si="10"/>
        <v>0.3225152129817444</v>
      </c>
      <c r="CF22" s="252">
        <f t="shared" si="11"/>
        <v>0.38156484458735263</v>
      </c>
      <c r="CG22" s="252">
        <f t="shared" si="12"/>
        <v>0.20833333333333334</v>
      </c>
      <c r="CH22" s="252">
        <f t="shared" si="13"/>
        <v>0.62692967409948541</v>
      </c>
      <c r="CI22" s="253">
        <v>0.33100000000000002</v>
      </c>
      <c r="CJ22" s="253">
        <f t="shared" si="14"/>
        <v>0.13505461767626614</v>
      </c>
      <c r="CK22" s="253">
        <f t="shared" si="15"/>
        <v>0.36531365313653136</v>
      </c>
      <c r="CL22" s="253">
        <f t="shared" si="16"/>
        <v>0.33468559837728196</v>
      </c>
      <c r="CM22" s="253">
        <f t="shared" si="17"/>
        <v>0.41479099678456594</v>
      </c>
      <c r="CN22" s="253">
        <f t="shared" si="18"/>
        <v>0.22685185185185186</v>
      </c>
      <c r="CO22" s="253">
        <f t="shared" si="19"/>
        <v>0.68610634648370494</v>
      </c>
      <c r="CP22" s="253">
        <v>1.9E-2</v>
      </c>
      <c r="CQ22" s="253">
        <f t="shared" si="42"/>
        <v>1.1655011655011656E-2</v>
      </c>
      <c r="CR22" s="253">
        <f t="shared" si="42"/>
        <v>2.7027027027027029E-2</v>
      </c>
      <c r="CS22" s="253">
        <f t="shared" si="42"/>
        <v>1.4035087719298246E-2</v>
      </c>
      <c r="CT22" s="253">
        <f t="shared" si="42"/>
        <v>4.0789473684210528E-2</v>
      </c>
      <c r="CU22" s="253">
        <f t="shared" si="42"/>
        <v>2.2857142857142857E-2</v>
      </c>
      <c r="CV22" s="253">
        <f t="shared" si="42"/>
        <v>8.7121212121212127E-2</v>
      </c>
      <c r="CW22" s="253">
        <v>0.19500000000000001</v>
      </c>
      <c r="CX22" s="253">
        <f t="shared" si="43"/>
        <v>8.1585081585081581E-3</v>
      </c>
      <c r="CY22" s="253">
        <f t="shared" si="43"/>
        <v>0.1981981981981982</v>
      </c>
      <c r="CZ22" s="253">
        <f t="shared" si="43"/>
        <v>0.22105263157894736</v>
      </c>
      <c r="DA22" s="253">
        <f t="shared" si="43"/>
        <v>0.24078947368421053</v>
      </c>
      <c r="DB22" s="253">
        <f t="shared" si="43"/>
        <v>2.2857142857142857E-2</v>
      </c>
      <c r="DC22" s="253">
        <f t="shared" si="43"/>
        <v>0.45075757575757575</v>
      </c>
      <c r="DD22" s="253">
        <v>0.214</v>
      </c>
      <c r="DE22" s="74">
        <f t="shared" si="44"/>
        <v>1.9813519813519812E-2</v>
      </c>
      <c r="DF22" s="74">
        <f t="shared" si="44"/>
        <v>0.22522522522522523</v>
      </c>
      <c r="DG22" s="74">
        <f t="shared" si="44"/>
        <v>0.23508771929824562</v>
      </c>
      <c r="DH22" s="74">
        <f t="shared" si="44"/>
        <v>0.28157894736842104</v>
      </c>
      <c r="DI22" s="74">
        <f t="shared" si="44"/>
        <v>4.5714285714285714E-2</v>
      </c>
      <c r="DJ22" s="74">
        <f t="shared" si="44"/>
        <v>0.53787878787878785</v>
      </c>
      <c r="DK22" s="266">
        <v>21602</v>
      </c>
      <c r="DL22" s="266">
        <v>18456</v>
      </c>
      <c r="DM22" s="267">
        <v>3689</v>
      </c>
      <c r="DN22" s="268">
        <v>17544</v>
      </c>
      <c r="DO22" s="268">
        <v>15299</v>
      </c>
      <c r="DP22" s="268">
        <v>3294</v>
      </c>
      <c r="DQ22" s="268">
        <v>15879</v>
      </c>
      <c r="DR22" s="268">
        <f>SUM(Data[[#This Row],[Fall 18 All Enroll]:[Fall 20 All Enroll]])</f>
        <v>95763</v>
      </c>
      <c r="DS22" s="266">
        <v>21307</v>
      </c>
      <c r="DT22" s="267">
        <v>18183</v>
      </c>
      <c r="DU22" s="267">
        <v>3603</v>
      </c>
      <c r="DV22" s="268">
        <v>17349</v>
      </c>
      <c r="DW22" s="268">
        <v>14990</v>
      </c>
      <c r="DX22" s="268">
        <v>3236</v>
      </c>
      <c r="DY22" s="268">
        <v>14820</v>
      </c>
      <c r="DZ22" s="268">
        <f>SUM(Data[[#This Row],[Fall 18 Non-eCore Enroll]:[Fall 20 Non-eCore Enroll]])</f>
        <v>93488</v>
      </c>
      <c r="EA22" s="269">
        <v>374</v>
      </c>
      <c r="EB22" s="268">
        <v>142</v>
      </c>
      <c r="EC22" s="268">
        <v>139</v>
      </c>
      <c r="ED22" s="268">
        <v>234</v>
      </c>
      <c r="EE22" s="268">
        <v>773</v>
      </c>
      <c r="EF22" s="268">
        <v>41</v>
      </c>
      <c r="EG22" s="268">
        <v>1759</v>
      </c>
      <c r="EH22" s="268">
        <f>SUM(Data[[#This Row],[Fall 18 LC All Enroll]:[Fall 20 LC All Enroll]])</f>
        <v>3462</v>
      </c>
      <c r="EI22" s="89">
        <f t="shared" si="23"/>
        <v>3.6151749631903762E-2</v>
      </c>
      <c r="EJ22" s="252">
        <v>1.7000000000000001E-2</v>
      </c>
      <c r="EK22" s="252">
        <f t="shared" si="24"/>
        <v>7.6939748591244037E-3</v>
      </c>
      <c r="EL22" s="252">
        <f t="shared" si="24"/>
        <v>3.7679587964217942E-2</v>
      </c>
      <c r="EM22" s="252">
        <f t="shared" si="24"/>
        <v>1.3337893296853625E-2</v>
      </c>
      <c r="EN22" s="259">
        <f t="shared" si="24"/>
        <v>5.0526178181580499E-2</v>
      </c>
      <c r="EO22" s="259">
        <f t="shared" si="24"/>
        <v>1.2446873102610808E-2</v>
      </c>
      <c r="EP22" s="259">
        <f t="shared" si="24"/>
        <v>0.11077523773537376</v>
      </c>
      <c r="EQ22" s="269">
        <v>3730</v>
      </c>
      <c r="ER22" s="268">
        <v>390</v>
      </c>
      <c r="ES22" s="268">
        <v>847</v>
      </c>
      <c r="ET22" s="268">
        <v>4076</v>
      </c>
      <c r="EU22" s="268">
        <v>3833</v>
      </c>
      <c r="EV22" s="268">
        <v>101</v>
      </c>
      <c r="EW22" s="268">
        <v>7182</v>
      </c>
      <c r="EX22" s="268">
        <f>SUM(Data[[#This Row],[Fall 18 NC All Enroll]:[Fall 20 NC All Enroll]])</f>
        <v>20159</v>
      </c>
      <c r="EY22" s="89">
        <f t="shared" si="25"/>
        <v>0.21050927811367648</v>
      </c>
      <c r="EZ22" s="252">
        <v>0.17299999999999999</v>
      </c>
      <c r="FA22" s="252">
        <f t="shared" si="26"/>
        <v>2.1131339401820545E-2</v>
      </c>
      <c r="FB22" s="252">
        <f t="shared" si="26"/>
        <v>0.22960151802656548</v>
      </c>
      <c r="FC22" s="252">
        <f t="shared" si="26"/>
        <v>0.23233014135886912</v>
      </c>
      <c r="FD22" s="259">
        <f t="shared" si="26"/>
        <v>0.25053925093143342</v>
      </c>
      <c r="FE22" s="259">
        <f t="shared" si="26"/>
        <v>3.0661809350333941E-2</v>
      </c>
      <c r="FF22" s="259">
        <f t="shared" si="26"/>
        <v>0.45229548460230495</v>
      </c>
      <c r="FG22" s="269">
        <v>4104</v>
      </c>
      <c r="FH22" s="268">
        <v>532</v>
      </c>
      <c r="FI22" s="268">
        <f t="shared" si="27"/>
        <v>986</v>
      </c>
      <c r="FJ22" s="268">
        <f t="shared" si="40"/>
        <v>4310</v>
      </c>
      <c r="FK22" s="256">
        <f t="shared" si="40"/>
        <v>4606</v>
      </c>
      <c r="FL22" s="256">
        <f t="shared" si="40"/>
        <v>142</v>
      </c>
      <c r="FM22" s="256">
        <f t="shared" si="40"/>
        <v>8941</v>
      </c>
      <c r="FN22" s="268">
        <f>SUM(Data[[#This Row],[Fall 18 LC+NC All Enroll]:[Fall 20 LC+NC All Enroll]])</f>
        <v>23621</v>
      </c>
      <c r="FO22" s="89">
        <f t="shared" si="28"/>
        <v>0.24666102774558024</v>
      </c>
      <c r="FP22" s="252">
        <v>0.19</v>
      </c>
      <c r="FQ22" s="75">
        <f t="shared" si="29"/>
        <v>2.8825314260944951E-2</v>
      </c>
      <c r="FR22" s="75">
        <f t="shared" si="29"/>
        <v>0.26728110599078342</v>
      </c>
      <c r="FS22" s="75">
        <f t="shared" si="29"/>
        <v>0.24566803465572276</v>
      </c>
      <c r="FT22" s="260">
        <f t="shared" si="29"/>
        <v>0.30106542911301393</v>
      </c>
      <c r="FU22" s="260">
        <f t="shared" si="29"/>
        <v>4.3108682452944747E-2</v>
      </c>
      <c r="FV22" s="260">
        <f t="shared" si="29"/>
        <v>0.56307072233767874</v>
      </c>
      <c r="FW22" s="269">
        <v>374</v>
      </c>
      <c r="FX22" s="268">
        <v>141</v>
      </c>
      <c r="FY22" s="268">
        <v>139</v>
      </c>
      <c r="FZ22" s="268">
        <v>234</v>
      </c>
      <c r="GA22" s="268">
        <v>773</v>
      </c>
      <c r="GB22" s="268">
        <v>41</v>
      </c>
      <c r="GC22" s="268">
        <v>1759</v>
      </c>
      <c r="GD22" s="268">
        <f>SUM(Data[[#This Row],[Fall 18 LC Non-eCore Enroll]:[Fall 20 LC Non-eCore Enroll]])</f>
        <v>3461</v>
      </c>
      <c r="GE22" s="89">
        <f t="shared" si="30"/>
        <v>3.7020794112613387E-2</v>
      </c>
      <c r="GF22" s="252">
        <v>1.7999999999999999E-2</v>
      </c>
      <c r="GG22" s="252">
        <f t="shared" si="31"/>
        <v>7.7544959577627451E-3</v>
      </c>
      <c r="GH22" s="252">
        <f t="shared" si="31"/>
        <v>3.8578961976131004E-2</v>
      </c>
      <c r="GI22" s="252">
        <f t="shared" si="31"/>
        <v>1.3487809095625108E-2</v>
      </c>
      <c r="GJ22" s="259">
        <f t="shared" si="31"/>
        <v>5.1567711807871917E-2</v>
      </c>
      <c r="GK22" s="259">
        <f t="shared" si="31"/>
        <v>1.2669962917181705E-2</v>
      </c>
      <c r="GL22" s="259">
        <f t="shared" si="31"/>
        <v>0.11869095816464237</v>
      </c>
      <c r="GM22" s="269">
        <v>3438</v>
      </c>
      <c r="GN22" s="268">
        <v>175</v>
      </c>
      <c r="GO22" s="268">
        <v>761</v>
      </c>
      <c r="GP22" s="268">
        <v>3883</v>
      </c>
      <c r="GQ22" s="268">
        <v>3524</v>
      </c>
      <c r="GR22" s="268">
        <v>43</v>
      </c>
      <c r="GS22" s="268">
        <v>6123</v>
      </c>
      <c r="GT22" s="268">
        <f>SUM(Data[[#This Row],[Fall 18 NC Non-eCore Enroll]:[Fall 20 NC Non-eCore Enroll]])</f>
        <v>17947</v>
      </c>
      <c r="GU22" s="89">
        <f t="shared" si="32"/>
        <v>0.19197116207427692</v>
      </c>
      <c r="GV22" s="252">
        <v>0.161</v>
      </c>
      <c r="GW22" s="252">
        <f t="shared" si="45"/>
        <v>9.6243744156629812E-3</v>
      </c>
      <c r="GX22" s="252">
        <f t="shared" si="45"/>
        <v>0.2112128781570913</v>
      </c>
      <c r="GY22" s="252">
        <f t="shared" si="45"/>
        <v>0.22381693469364228</v>
      </c>
      <c r="GZ22" s="259">
        <f t="shared" si="45"/>
        <v>0.23509006004002669</v>
      </c>
      <c r="HA22" s="259">
        <f t="shared" si="45"/>
        <v>1.3288009888751545E-2</v>
      </c>
      <c r="HB22" s="259">
        <f t="shared" si="45"/>
        <v>0.41315789473684211</v>
      </c>
      <c r="HC22" s="269">
        <v>3812</v>
      </c>
      <c r="HD22" s="268">
        <v>316</v>
      </c>
      <c r="HE22" s="269">
        <f t="shared" si="41"/>
        <v>900</v>
      </c>
      <c r="HF22" s="269">
        <f t="shared" si="41"/>
        <v>4117</v>
      </c>
      <c r="HG22" s="257">
        <f t="shared" si="41"/>
        <v>4297</v>
      </c>
      <c r="HH22" s="257">
        <f t="shared" si="41"/>
        <v>84</v>
      </c>
      <c r="HI22" s="257">
        <f t="shared" si="41"/>
        <v>7882</v>
      </c>
      <c r="HJ22" s="269">
        <f>SUM(Data[[#This Row],[Fall 18 LC+NC Non-eCore Enroll]:[Fall 20 LC+NC Non-eCore Enroll]])</f>
        <v>21408</v>
      </c>
      <c r="HK22" s="91">
        <f t="shared" si="34"/>
        <v>0.22899195618689031</v>
      </c>
      <c r="HL22" s="268">
        <v>17495</v>
      </c>
      <c r="HM22" s="268">
        <v>17867</v>
      </c>
      <c r="HN22" s="268">
        <v>2703</v>
      </c>
      <c r="HO22" s="82">
        <v>13232</v>
      </c>
      <c r="HP22" s="82">
        <v>10693</v>
      </c>
      <c r="HQ22" s="82">
        <v>3152</v>
      </c>
      <c r="HR22" s="82">
        <v>6938</v>
      </c>
      <c r="HS22" s="256">
        <f>SUM(Data[[#This Row],[Fall 18 Non-eCore None Enroll]:[Fall 20 Non-eCore None Enroll]])</f>
        <v>72080</v>
      </c>
      <c r="HT22" s="89">
        <f t="shared" si="35"/>
        <v>0.77100804381310972</v>
      </c>
      <c r="HU22" s="252">
        <v>0.17899999999999999</v>
      </c>
      <c r="HV22" s="252">
        <f t="shared" si="46"/>
        <v>1.7378870373425729E-2</v>
      </c>
      <c r="HW22" s="252">
        <f t="shared" si="46"/>
        <v>0.24979184013322231</v>
      </c>
      <c r="HX22" s="252">
        <f t="shared" si="46"/>
        <v>0.23730474378926739</v>
      </c>
      <c r="HY22" s="259">
        <f t="shared" si="46"/>
        <v>0.28665777184789859</v>
      </c>
      <c r="HZ22" s="259">
        <f t="shared" si="46"/>
        <v>2.595797280593325E-2</v>
      </c>
      <c r="IA22" s="259">
        <f t="shared" si="46"/>
        <v>0.53184885290148443</v>
      </c>
    </row>
    <row r="23" spans="1:235" x14ac:dyDescent="0.25">
      <c r="A23" s="79" t="s">
        <v>257</v>
      </c>
      <c r="B23" s="79" t="s">
        <v>2290</v>
      </c>
      <c r="C23" s="280">
        <f>Data[[#This Row],[Spring 20 No eCore Low-Cost Sections]]+Data[[#This Row],[Summer 20 No eCore Low-Cost Sections]]+Data[[#This Row],[Fall 20 No eCore Low-Cost Sections]]</f>
        <v>60</v>
      </c>
      <c r="D23" s="281">
        <f>Data[[#This Row],[2020 LC Total]]/(Data[[#This Row],[Spring 20 All Sections]]+Data[[#This Row],[Summer 20 All Sections]]+Data[[#This Row],[Fall 20 All Sections]])</f>
        <v>5.3619302949061663E-2</v>
      </c>
      <c r="E23" s="280">
        <f>Data[[#This Row],[Spring 20 No eCore No-Cost Sections]]+Data[[#This Row],[Summer 20 No eCore No-Cost Sections]]+Data[[#This Row],[Fall 20 No eCore No-Cost Sections]]</f>
        <v>230</v>
      </c>
      <c r="F23" s="281">
        <f>Data[[#This Row],[2020 NC Total]]/(Data[[#This Row],[Spring 20 All Sections]]+Data[[#This Row],[Summer 20 All Sections]]+Data[[#This Row],[Fall 20 All Sections]])</f>
        <v>0.20554066130473636</v>
      </c>
      <c r="G23" s="280">
        <f>Data[[#This Row],[2020 LC Total]]+Data[[#This Row],[2020 NC Total]]</f>
        <v>290</v>
      </c>
      <c r="H23" s="281">
        <f>Data[[#This Row],[2020 NC+LC Total]]/(Data[[#This Row],[Spring 20 All Sections]]+Data[[#This Row],[Summer 20 All Sections]]+Data[[#This Row],[Fall 20 All Sections]])</f>
        <v>0.25915996425379806</v>
      </c>
      <c r="I23" s="249">
        <v>577</v>
      </c>
      <c r="J23" s="250">
        <v>548</v>
      </c>
      <c r="K23" s="251">
        <v>172</v>
      </c>
      <c r="L23" s="82">
        <v>581</v>
      </c>
      <c r="M23" s="82">
        <v>492</v>
      </c>
      <c r="N23" s="82">
        <v>144</v>
      </c>
      <c r="O23" s="82">
        <v>483</v>
      </c>
      <c r="P23" s="82">
        <f>SUM(Data[[#This Row],[Fall 18 All Sections]:[Fall 20 All Sections]])</f>
        <v>2997</v>
      </c>
      <c r="Q23" s="249">
        <v>148</v>
      </c>
      <c r="R23" s="250">
        <v>154</v>
      </c>
      <c r="S23" s="250">
        <v>34</v>
      </c>
      <c r="T23" s="82">
        <v>150</v>
      </c>
      <c r="U23" s="82">
        <v>99</v>
      </c>
      <c r="V23" s="82">
        <v>10</v>
      </c>
      <c r="W23" s="82">
        <v>66</v>
      </c>
      <c r="X23" s="249">
        <v>429</v>
      </c>
      <c r="Y23" s="250">
        <v>394</v>
      </c>
      <c r="Z23" s="84">
        <v>138</v>
      </c>
      <c r="AA23" s="82">
        <v>431</v>
      </c>
      <c r="AB23" s="82">
        <v>393</v>
      </c>
      <c r="AC23" s="82">
        <v>134</v>
      </c>
      <c r="AD23" s="82">
        <v>417</v>
      </c>
      <c r="AE23" s="249">
        <v>14</v>
      </c>
      <c r="AF23" s="82">
        <v>27</v>
      </c>
      <c r="AG23" s="82">
        <v>1</v>
      </c>
      <c r="AH23" s="82">
        <v>33</v>
      </c>
      <c r="AI23" s="82">
        <v>29</v>
      </c>
      <c r="AJ23" s="82">
        <v>1</v>
      </c>
      <c r="AK23" s="82">
        <v>30</v>
      </c>
      <c r="AL23" s="249">
        <v>73</v>
      </c>
      <c r="AM23" s="82">
        <v>207</v>
      </c>
      <c r="AN23" s="82">
        <v>35</v>
      </c>
      <c r="AO23" s="82">
        <v>267</v>
      </c>
      <c r="AP23" s="82">
        <v>208</v>
      </c>
      <c r="AQ23" s="82">
        <v>11</v>
      </c>
      <c r="AR23" s="82">
        <v>186</v>
      </c>
      <c r="AS23" s="249">
        <v>87</v>
      </c>
      <c r="AT23" s="82">
        <v>234</v>
      </c>
      <c r="AU23" s="82">
        <f t="shared" si="0"/>
        <v>36</v>
      </c>
      <c r="AV23" s="82">
        <f t="shared" si="0"/>
        <v>300</v>
      </c>
      <c r="AW23" s="82">
        <f t="shared" si="0"/>
        <v>237</v>
      </c>
      <c r="AX23" s="82">
        <f t="shared" si="0"/>
        <v>12</v>
      </c>
      <c r="AY23" s="82">
        <f t="shared" si="0"/>
        <v>216</v>
      </c>
      <c r="AZ23" s="249">
        <v>14</v>
      </c>
      <c r="BA23" s="82">
        <v>27</v>
      </c>
      <c r="BB23" s="82">
        <v>1</v>
      </c>
      <c r="BC23" s="82">
        <v>33</v>
      </c>
      <c r="BD23" s="82">
        <v>29</v>
      </c>
      <c r="BE23" s="82">
        <v>1</v>
      </c>
      <c r="BF23" s="82">
        <v>30</v>
      </c>
      <c r="BG23" s="249">
        <v>73</v>
      </c>
      <c r="BH23" s="82">
        <v>53</v>
      </c>
      <c r="BI23" s="82">
        <v>1</v>
      </c>
      <c r="BJ23" s="82">
        <v>118</v>
      </c>
      <c r="BK23" s="82">
        <v>109</v>
      </c>
      <c r="BL23" s="82">
        <v>1</v>
      </c>
      <c r="BM23" s="82">
        <v>120</v>
      </c>
      <c r="BN23" s="249">
        <v>87</v>
      </c>
      <c r="BO23" s="82">
        <v>80</v>
      </c>
      <c r="BP23" s="85">
        <f t="shared" si="1"/>
        <v>2</v>
      </c>
      <c r="BQ23" s="85">
        <f t="shared" si="37"/>
        <v>151</v>
      </c>
      <c r="BR23" s="85">
        <f t="shared" si="38"/>
        <v>138</v>
      </c>
      <c r="BS23" s="85">
        <f t="shared" si="39"/>
        <v>2</v>
      </c>
      <c r="BT23" s="85">
        <f t="shared" si="39"/>
        <v>150</v>
      </c>
      <c r="BU23" s="252">
        <v>2.4E-2</v>
      </c>
      <c r="BV23" s="252">
        <f t="shared" si="2"/>
        <v>4.9270072992700732E-2</v>
      </c>
      <c r="BW23" s="252">
        <f t="shared" si="3"/>
        <v>5.8139534883720929E-3</v>
      </c>
      <c r="BX23" s="252">
        <f t="shared" si="4"/>
        <v>5.6798623063683308E-2</v>
      </c>
      <c r="BY23" s="252">
        <f t="shared" si="5"/>
        <v>5.894308943089431E-2</v>
      </c>
      <c r="BZ23" s="252">
        <f t="shared" si="6"/>
        <v>6.9444444444444441E-3</v>
      </c>
      <c r="CA23" s="252">
        <f t="shared" si="7"/>
        <v>6.2111801242236024E-2</v>
      </c>
      <c r="CB23" s="252">
        <v>0.127</v>
      </c>
      <c r="CC23" s="252">
        <f t="shared" si="8"/>
        <v>0.37773722627737227</v>
      </c>
      <c r="CD23" s="252">
        <f t="shared" si="9"/>
        <v>0.20348837209302326</v>
      </c>
      <c r="CE23" s="252">
        <f t="shared" si="10"/>
        <v>0.45955249569707401</v>
      </c>
      <c r="CF23" s="252">
        <f t="shared" si="11"/>
        <v>0.42276422764227645</v>
      </c>
      <c r="CG23" s="252">
        <f t="shared" si="12"/>
        <v>7.6388888888888895E-2</v>
      </c>
      <c r="CH23" s="252">
        <f t="shared" si="13"/>
        <v>0.38509316770186336</v>
      </c>
      <c r="CI23" s="253">
        <v>0.151</v>
      </c>
      <c r="CJ23" s="253">
        <f t="shared" si="14"/>
        <v>0.42700729927007297</v>
      </c>
      <c r="CK23" s="253">
        <f t="shared" si="15"/>
        <v>0.20930232558139536</v>
      </c>
      <c r="CL23" s="253">
        <f t="shared" si="16"/>
        <v>0.51635111876075734</v>
      </c>
      <c r="CM23" s="253">
        <f t="shared" si="17"/>
        <v>0.48170731707317072</v>
      </c>
      <c r="CN23" s="253">
        <f t="shared" si="18"/>
        <v>8.3333333333333329E-2</v>
      </c>
      <c r="CO23" s="253">
        <f t="shared" si="19"/>
        <v>0.44720496894409939</v>
      </c>
      <c r="CP23" s="253">
        <v>3.3000000000000002E-2</v>
      </c>
      <c r="CQ23" s="253">
        <f t="shared" si="42"/>
        <v>6.8527918781725886E-2</v>
      </c>
      <c r="CR23" s="253">
        <f t="shared" si="42"/>
        <v>7.246376811594203E-3</v>
      </c>
      <c r="CS23" s="253">
        <f t="shared" si="42"/>
        <v>7.6566125290023199E-2</v>
      </c>
      <c r="CT23" s="253">
        <f t="shared" si="42"/>
        <v>7.3791348600508899E-2</v>
      </c>
      <c r="CU23" s="253">
        <f t="shared" si="42"/>
        <v>7.462686567164179E-3</v>
      </c>
      <c r="CV23" s="253">
        <f t="shared" si="42"/>
        <v>7.1942446043165464E-2</v>
      </c>
      <c r="CW23" s="253">
        <v>0.17</v>
      </c>
      <c r="CX23" s="253">
        <f t="shared" si="43"/>
        <v>0.13451776649746192</v>
      </c>
      <c r="CY23" s="253">
        <f t="shared" si="43"/>
        <v>7.246376811594203E-3</v>
      </c>
      <c r="CZ23" s="253">
        <f t="shared" si="43"/>
        <v>0.27378190255220419</v>
      </c>
      <c r="DA23" s="253">
        <f t="shared" si="43"/>
        <v>0.27735368956743001</v>
      </c>
      <c r="DB23" s="253">
        <f t="shared" si="43"/>
        <v>7.462686567164179E-3</v>
      </c>
      <c r="DC23" s="253">
        <f t="shared" si="43"/>
        <v>0.28776978417266186</v>
      </c>
      <c r="DD23" s="253">
        <v>0.20300000000000001</v>
      </c>
      <c r="DE23" s="74">
        <f t="shared" si="44"/>
        <v>0.20304568527918782</v>
      </c>
      <c r="DF23" s="74">
        <f t="shared" si="44"/>
        <v>1.4492753623188406E-2</v>
      </c>
      <c r="DG23" s="74">
        <f t="shared" si="44"/>
        <v>0.35034802784222741</v>
      </c>
      <c r="DH23" s="74">
        <f t="shared" si="44"/>
        <v>0.35114503816793891</v>
      </c>
      <c r="DI23" s="74">
        <f t="shared" si="44"/>
        <v>1.4925373134328358E-2</v>
      </c>
      <c r="DJ23" s="74">
        <f t="shared" si="44"/>
        <v>0.35971223021582732</v>
      </c>
      <c r="DK23" s="266">
        <v>12075</v>
      </c>
      <c r="DL23" s="266">
        <v>10217</v>
      </c>
      <c r="DM23" s="267">
        <v>2843</v>
      </c>
      <c r="DN23" s="268">
        <v>9575</v>
      </c>
      <c r="DO23" s="268">
        <v>8524</v>
      </c>
      <c r="DP23" s="268">
        <v>2663</v>
      </c>
      <c r="DQ23" s="268">
        <v>7546</v>
      </c>
      <c r="DR23" s="268">
        <f>SUM(Data[[#This Row],[Fall 18 All Enroll]:[Fall 20 All Enroll]])</f>
        <v>53443</v>
      </c>
      <c r="DS23" s="266">
        <v>11789</v>
      </c>
      <c r="DT23" s="267">
        <v>9927</v>
      </c>
      <c r="DU23" s="267">
        <v>2796</v>
      </c>
      <c r="DV23" s="268">
        <v>9354</v>
      </c>
      <c r="DW23" s="268">
        <v>8360</v>
      </c>
      <c r="DX23" s="268">
        <v>2649</v>
      </c>
      <c r="DY23" s="268">
        <v>7461</v>
      </c>
      <c r="DZ23" s="268">
        <f>SUM(Data[[#This Row],[Fall 18 Non-eCore Enroll]:[Fall 20 Non-eCore Enroll]])</f>
        <v>52336</v>
      </c>
      <c r="EA23" s="269">
        <v>403</v>
      </c>
      <c r="EB23" s="268">
        <v>652</v>
      </c>
      <c r="EC23" s="268">
        <v>30</v>
      </c>
      <c r="ED23" s="268">
        <v>720</v>
      </c>
      <c r="EE23" s="268">
        <v>663</v>
      </c>
      <c r="EF23" s="268">
        <v>27</v>
      </c>
      <c r="EG23" s="268">
        <v>566</v>
      </c>
      <c r="EH23" s="268">
        <f>SUM(Data[[#This Row],[Fall 18 LC All Enroll]:[Fall 20 LC All Enroll]])</f>
        <v>3061</v>
      </c>
      <c r="EI23" s="89">
        <f t="shared" si="23"/>
        <v>5.7275976273787027E-2</v>
      </c>
      <c r="EJ23" s="252">
        <v>3.3000000000000002E-2</v>
      </c>
      <c r="EK23" s="252">
        <f t="shared" si="24"/>
        <v>6.3815209944210624E-2</v>
      </c>
      <c r="EL23" s="252">
        <f t="shared" si="24"/>
        <v>1.0552233556102708E-2</v>
      </c>
      <c r="EM23" s="252">
        <f t="shared" si="24"/>
        <v>7.5195822454308101E-2</v>
      </c>
      <c r="EN23" s="259">
        <f t="shared" si="24"/>
        <v>7.7780384795870489E-2</v>
      </c>
      <c r="EO23" s="259">
        <f t="shared" si="24"/>
        <v>1.0138941043935411E-2</v>
      </c>
      <c r="EP23" s="259">
        <f t="shared" si="24"/>
        <v>7.5006626027034187E-2</v>
      </c>
      <c r="EQ23" s="269">
        <v>2143</v>
      </c>
      <c r="ER23" s="268">
        <v>1713</v>
      </c>
      <c r="ES23" s="268">
        <v>65</v>
      </c>
      <c r="ET23" s="268">
        <v>3090</v>
      </c>
      <c r="EU23" s="268">
        <v>2867</v>
      </c>
      <c r="EV23" s="268">
        <v>41</v>
      </c>
      <c r="EW23" s="268">
        <v>2092</v>
      </c>
      <c r="EX23" s="268">
        <f>SUM(Data[[#This Row],[Fall 18 NC All Enroll]:[Fall 20 NC All Enroll]])</f>
        <v>12011</v>
      </c>
      <c r="EY23" s="89">
        <f t="shared" si="25"/>
        <v>0.22474411990344853</v>
      </c>
      <c r="EZ23" s="252">
        <v>0.17699999999999999</v>
      </c>
      <c r="FA23" s="252">
        <f t="shared" si="26"/>
        <v>0.16766174023686015</v>
      </c>
      <c r="FB23" s="252">
        <f t="shared" si="26"/>
        <v>2.28631727048892E-2</v>
      </c>
      <c r="FC23" s="252">
        <f t="shared" si="26"/>
        <v>0.32271540469973892</v>
      </c>
      <c r="FD23" s="259">
        <f t="shared" si="26"/>
        <v>0.33634443923040824</v>
      </c>
      <c r="FE23" s="259">
        <f t="shared" si="26"/>
        <v>1.5396169733383402E-2</v>
      </c>
      <c r="FF23" s="259">
        <f t="shared" si="26"/>
        <v>0.27723297111052214</v>
      </c>
      <c r="FG23" s="269">
        <v>2546</v>
      </c>
      <c r="FH23" s="268">
        <v>2365</v>
      </c>
      <c r="FI23" s="268">
        <f t="shared" si="27"/>
        <v>95</v>
      </c>
      <c r="FJ23" s="268">
        <f t="shared" si="40"/>
        <v>3810</v>
      </c>
      <c r="FK23" s="256">
        <f t="shared" si="40"/>
        <v>3530</v>
      </c>
      <c r="FL23" s="256">
        <f t="shared" si="40"/>
        <v>68</v>
      </c>
      <c r="FM23" s="256">
        <f t="shared" si="40"/>
        <v>2658</v>
      </c>
      <c r="FN23" s="268">
        <f>SUM(Data[[#This Row],[Fall 18 LC+NC All Enroll]:[Fall 20 LC+NC All Enroll]])</f>
        <v>15072</v>
      </c>
      <c r="FO23" s="89">
        <f t="shared" si="28"/>
        <v>0.28202009617723556</v>
      </c>
      <c r="FP23" s="252">
        <v>0.21099999999999999</v>
      </c>
      <c r="FQ23" s="75">
        <f t="shared" si="29"/>
        <v>0.23147695018107076</v>
      </c>
      <c r="FR23" s="75">
        <f t="shared" si="29"/>
        <v>3.341540626099191E-2</v>
      </c>
      <c r="FS23" s="75">
        <f t="shared" si="29"/>
        <v>0.39791122715404698</v>
      </c>
      <c r="FT23" s="260">
        <f t="shared" si="29"/>
        <v>0.41412482402627876</v>
      </c>
      <c r="FU23" s="260">
        <f t="shared" si="29"/>
        <v>2.5535110777318813E-2</v>
      </c>
      <c r="FV23" s="260">
        <f t="shared" si="29"/>
        <v>0.35223959713755632</v>
      </c>
      <c r="FW23" s="269">
        <v>403</v>
      </c>
      <c r="FX23" s="268">
        <v>652</v>
      </c>
      <c r="FY23" s="268">
        <v>30</v>
      </c>
      <c r="FZ23" s="268">
        <v>720</v>
      </c>
      <c r="GA23" s="268">
        <v>663</v>
      </c>
      <c r="GB23" s="268">
        <v>27</v>
      </c>
      <c r="GC23" s="268">
        <v>566</v>
      </c>
      <c r="GD23" s="268">
        <f>SUM(Data[[#This Row],[Fall 18 LC Non-eCore Enroll]:[Fall 20 LC Non-eCore Enroll]])</f>
        <v>3061</v>
      </c>
      <c r="GE23" s="89">
        <f t="shared" si="30"/>
        <v>5.848746560684806E-2</v>
      </c>
      <c r="GF23" s="252">
        <v>3.4000000000000002E-2</v>
      </c>
      <c r="GG23" s="252">
        <f t="shared" si="31"/>
        <v>6.5679460058426509E-2</v>
      </c>
      <c r="GH23" s="252">
        <f t="shared" si="31"/>
        <v>1.0729613733905579E-2</v>
      </c>
      <c r="GI23" s="252">
        <f t="shared" si="31"/>
        <v>7.6972418216805644E-2</v>
      </c>
      <c r="GJ23" s="259">
        <f t="shared" si="31"/>
        <v>7.9306220095693783E-2</v>
      </c>
      <c r="GK23" s="259">
        <f t="shared" si="31"/>
        <v>1.0192525481313703E-2</v>
      </c>
      <c r="GL23" s="259">
        <f t="shared" si="31"/>
        <v>7.5861144618683818E-2</v>
      </c>
      <c r="GM23" s="269">
        <v>2143</v>
      </c>
      <c r="GN23" s="268">
        <v>1423</v>
      </c>
      <c r="GO23" s="268">
        <v>18</v>
      </c>
      <c r="GP23" s="268">
        <v>2872</v>
      </c>
      <c r="GQ23" s="268">
        <v>2703</v>
      </c>
      <c r="GR23" s="268">
        <v>27</v>
      </c>
      <c r="GS23" s="268">
        <v>2007</v>
      </c>
      <c r="GT23" s="268">
        <f>SUM(Data[[#This Row],[Fall 18 NC Non-eCore Enroll]:[Fall 20 NC Non-eCore Enroll]])</f>
        <v>11193</v>
      </c>
      <c r="GU23" s="89">
        <f t="shared" si="32"/>
        <v>0.21386808315499847</v>
      </c>
      <c r="GV23" s="252">
        <v>0.182</v>
      </c>
      <c r="GW23" s="252">
        <f t="shared" si="45"/>
        <v>0.14334642893119776</v>
      </c>
      <c r="GX23" s="252">
        <f t="shared" si="45"/>
        <v>6.4377682403433476E-3</v>
      </c>
      <c r="GY23" s="252">
        <f t="shared" si="45"/>
        <v>0.30703442377592471</v>
      </c>
      <c r="GZ23" s="259">
        <f t="shared" si="45"/>
        <v>0.32332535885167463</v>
      </c>
      <c r="HA23" s="259">
        <f t="shared" si="45"/>
        <v>1.0192525481313703E-2</v>
      </c>
      <c r="HB23" s="259">
        <f t="shared" si="45"/>
        <v>0.26899879372738239</v>
      </c>
      <c r="HC23" s="269">
        <v>2546</v>
      </c>
      <c r="HD23" s="268">
        <v>2075</v>
      </c>
      <c r="HE23" s="269">
        <f t="shared" si="41"/>
        <v>48</v>
      </c>
      <c r="HF23" s="269">
        <f t="shared" si="41"/>
        <v>3592</v>
      </c>
      <c r="HG23" s="257">
        <f t="shared" si="41"/>
        <v>3366</v>
      </c>
      <c r="HH23" s="257">
        <f t="shared" si="41"/>
        <v>54</v>
      </c>
      <c r="HI23" s="257">
        <f t="shared" si="41"/>
        <v>2573</v>
      </c>
      <c r="HJ23" s="269">
        <f>SUM(Data[[#This Row],[Fall 18 LC+NC Non-eCore Enroll]:[Fall 20 LC+NC Non-eCore Enroll]])</f>
        <v>14254</v>
      </c>
      <c r="HK23" s="91">
        <f t="shared" si="34"/>
        <v>0.27235554876184653</v>
      </c>
      <c r="HL23" s="268">
        <v>9243</v>
      </c>
      <c r="HM23" s="268">
        <v>7852</v>
      </c>
      <c r="HN23" s="268">
        <v>2748</v>
      </c>
      <c r="HO23" s="82">
        <v>5762</v>
      </c>
      <c r="HP23" s="82">
        <v>4994</v>
      </c>
      <c r="HQ23" s="82">
        <v>2595</v>
      </c>
      <c r="HR23" s="82">
        <v>4888</v>
      </c>
      <c r="HS23" s="256">
        <f>SUM(Data[[#This Row],[Fall 18 Non-eCore None Enroll]:[Fall 20 Non-eCore None Enroll]])</f>
        <v>38082</v>
      </c>
      <c r="HT23" s="89">
        <f t="shared" si="35"/>
        <v>0.72764445123815347</v>
      </c>
      <c r="HU23" s="252">
        <v>0.216</v>
      </c>
      <c r="HV23" s="252">
        <f t="shared" si="46"/>
        <v>0.20902588898962426</v>
      </c>
      <c r="HW23" s="252">
        <f t="shared" si="46"/>
        <v>1.7167381974248927E-2</v>
      </c>
      <c r="HX23" s="252">
        <f t="shared" si="46"/>
        <v>0.38400684199273039</v>
      </c>
      <c r="HY23" s="259">
        <f t="shared" si="46"/>
        <v>0.4026315789473684</v>
      </c>
      <c r="HZ23" s="259">
        <f t="shared" si="46"/>
        <v>2.0385050962627407E-2</v>
      </c>
      <c r="IA23" s="259">
        <f t="shared" si="46"/>
        <v>0.34485993834606621</v>
      </c>
    </row>
    <row r="24" spans="1:235" x14ac:dyDescent="0.25">
      <c r="A24" s="79" t="s">
        <v>159</v>
      </c>
      <c r="B24" s="79" t="s">
        <v>2292</v>
      </c>
      <c r="C24" s="280">
        <f>Data[[#This Row],[Spring 20 No eCore Low-Cost Sections]]+Data[[#This Row],[Summer 20 No eCore Low-Cost Sections]]+Data[[#This Row],[Fall 20 No eCore Low-Cost Sections]]</f>
        <v>844</v>
      </c>
      <c r="D24" s="281">
        <f>Data[[#This Row],[2020 LC Total]]/(Data[[#This Row],[Spring 20 All Sections]]+Data[[#This Row],[Summer 20 All Sections]]+Data[[#This Row],[Fall 20 All Sections]])</f>
        <v>3.2295094512895077E-2</v>
      </c>
      <c r="E24" s="280">
        <f>Data[[#This Row],[Spring 20 No eCore No-Cost Sections]]+Data[[#This Row],[Summer 20 No eCore No-Cost Sections]]+Data[[#This Row],[Fall 20 No eCore No-Cost Sections]]</f>
        <v>1165</v>
      </c>
      <c r="F24" s="281">
        <f>Data[[#This Row],[2020 NC Total]]/(Data[[#This Row],[Spring 20 All Sections]]+Data[[#This Row],[Summer 20 All Sections]]+Data[[#This Row],[Fall 20 All Sections]])</f>
        <v>4.4577944440192856E-2</v>
      </c>
      <c r="G24" s="280">
        <f>Data[[#This Row],[2020 LC Total]]+Data[[#This Row],[2020 NC Total]]</f>
        <v>2009</v>
      </c>
      <c r="H24" s="281">
        <f>Data[[#This Row],[2020 NC+LC Total]]/(Data[[#This Row],[Spring 20 All Sections]]+Data[[#This Row],[Summer 20 All Sections]]+Data[[#This Row],[Fall 20 All Sections]])</f>
        <v>7.6873038953087933E-2</v>
      </c>
      <c r="I24" s="249">
        <v>11249</v>
      </c>
      <c r="J24" s="250">
        <v>11099</v>
      </c>
      <c r="K24" s="251">
        <v>4250</v>
      </c>
      <c r="L24" s="82">
        <v>11241</v>
      </c>
      <c r="M24" s="82">
        <v>11189</v>
      </c>
      <c r="N24" s="82">
        <v>3860</v>
      </c>
      <c r="O24" s="82">
        <v>11085</v>
      </c>
      <c r="P24" s="82">
        <f>SUM(Data[[#This Row],[Fall 18 All Sections]:[Fall 20 All Sections]])</f>
        <v>63973</v>
      </c>
      <c r="Q24" s="265">
        <v>0</v>
      </c>
      <c r="R24" s="265">
        <v>0</v>
      </c>
      <c r="S24" s="270">
        <v>0</v>
      </c>
      <c r="T24" s="82">
        <v>0</v>
      </c>
      <c r="U24" s="82">
        <v>0</v>
      </c>
      <c r="V24" s="82">
        <v>0</v>
      </c>
      <c r="W24" s="82">
        <v>0</v>
      </c>
      <c r="X24" s="249">
        <v>11249</v>
      </c>
      <c r="Y24" s="250">
        <v>11099</v>
      </c>
      <c r="Z24" s="84">
        <v>4250</v>
      </c>
      <c r="AA24" s="82">
        <v>11241</v>
      </c>
      <c r="AB24" s="82">
        <v>11189</v>
      </c>
      <c r="AC24" s="82">
        <v>3860</v>
      </c>
      <c r="AD24" s="82">
        <v>11085</v>
      </c>
      <c r="AE24" s="265">
        <v>0</v>
      </c>
      <c r="AF24" s="82">
        <v>0</v>
      </c>
      <c r="AG24" s="82">
        <v>0</v>
      </c>
      <c r="AH24" s="82">
        <v>0</v>
      </c>
      <c r="AI24" s="82">
        <v>345</v>
      </c>
      <c r="AJ24" s="82">
        <v>69</v>
      </c>
      <c r="AK24" s="82">
        <v>430</v>
      </c>
      <c r="AL24" s="249">
        <v>654</v>
      </c>
      <c r="AM24" s="82">
        <v>445</v>
      </c>
      <c r="AN24" s="82">
        <v>64</v>
      </c>
      <c r="AO24" s="82">
        <v>623</v>
      </c>
      <c r="AP24" s="82">
        <v>486</v>
      </c>
      <c r="AQ24" s="82">
        <v>86</v>
      </c>
      <c r="AR24" s="82">
        <v>593</v>
      </c>
      <c r="AS24" s="249">
        <v>654</v>
      </c>
      <c r="AT24" s="82">
        <v>445</v>
      </c>
      <c r="AU24" s="82">
        <f t="shared" si="0"/>
        <v>64</v>
      </c>
      <c r="AV24" s="82">
        <f t="shared" si="0"/>
        <v>623</v>
      </c>
      <c r="AW24" s="82">
        <f t="shared" si="0"/>
        <v>831</v>
      </c>
      <c r="AX24" s="82">
        <f t="shared" si="0"/>
        <v>155</v>
      </c>
      <c r="AY24" s="82">
        <f t="shared" si="0"/>
        <v>1023</v>
      </c>
      <c r="AZ24" s="265"/>
      <c r="BA24" s="82">
        <v>0</v>
      </c>
      <c r="BB24" s="82">
        <v>0</v>
      </c>
      <c r="BC24" s="82"/>
      <c r="BD24" s="82">
        <v>345</v>
      </c>
      <c r="BE24" s="82">
        <v>69</v>
      </c>
      <c r="BF24" s="82">
        <v>430</v>
      </c>
      <c r="BG24" s="249">
        <v>654</v>
      </c>
      <c r="BH24" s="82">
        <v>445</v>
      </c>
      <c r="BI24" s="82">
        <v>64</v>
      </c>
      <c r="BJ24" s="82">
        <v>623</v>
      </c>
      <c r="BK24" s="82">
        <v>486</v>
      </c>
      <c r="BL24" s="82">
        <v>86</v>
      </c>
      <c r="BM24" s="82">
        <v>593</v>
      </c>
      <c r="BN24" s="249">
        <v>654</v>
      </c>
      <c r="BO24" s="82">
        <v>445</v>
      </c>
      <c r="BP24" s="85">
        <f t="shared" si="1"/>
        <v>64</v>
      </c>
      <c r="BQ24" s="85">
        <f t="shared" si="37"/>
        <v>623</v>
      </c>
      <c r="BR24" s="85">
        <f t="shared" si="38"/>
        <v>831</v>
      </c>
      <c r="BS24" s="85">
        <f t="shared" si="39"/>
        <v>155</v>
      </c>
      <c r="BT24" s="85">
        <f t="shared" si="39"/>
        <v>1023</v>
      </c>
      <c r="BU24" s="252">
        <v>0</v>
      </c>
      <c r="BV24" s="252">
        <f t="shared" si="2"/>
        <v>0</v>
      </c>
      <c r="BW24" s="252">
        <f t="shared" si="3"/>
        <v>0</v>
      </c>
      <c r="BX24" s="252">
        <f t="shared" si="4"/>
        <v>0</v>
      </c>
      <c r="BY24" s="252">
        <f t="shared" si="5"/>
        <v>3.0833854678702297E-2</v>
      </c>
      <c r="BZ24" s="252">
        <f t="shared" si="6"/>
        <v>1.7875647668393783E-2</v>
      </c>
      <c r="CA24" s="252">
        <f t="shared" si="7"/>
        <v>3.8791159224176815E-2</v>
      </c>
      <c r="CB24" s="252">
        <v>5.8000000000000003E-2</v>
      </c>
      <c r="CC24" s="252">
        <f t="shared" si="8"/>
        <v>4.0093702135327508E-2</v>
      </c>
      <c r="CD24" s="252">
        <f t="shared" si="9"/>
        <v>1.5058823529411765E-2</v>
      </c>
      <c r="CE24" s="252">
        <f t="shared" si="10"/>
        <v>5.5422115470153903E-2</v>
      </c>
      <c r="CF24" s="252">
        <f t="shared" si="11"/>
        <v>4.343551702565019E-2</v>
      </c>
      <c r="CG24" s="252">
        <f t="shared" si="12"/>
        <v>2.227979274611399E-2</v>
      </c>
      <c r="CH24" s="252">
        <f t="shared" si="13"/>
        <v>5.3495714930085703E-2</v>
      </c>
      <c r="CI24" s="253">
        <v>5.8000000000000003E-2</v>
      </c>
      <c r="CJ24" s="253">
        <f t="shared" si="14"/>
        <v>4.0093702135327508E-2</v>
      </c>
      <c r="CK24" s="253">
        <f t="shared" si="15"/>
        <v>1.5058823529411765E-2</v>
      </c>
      <c r="CL24" s="253">
        <f t="shared" si="16"/>
        <v>5.5422115470153903E-2</v>
      </c>
      <c r="CM24" s="253">
        <f t="shared" si="17"/>
        <v>7.4269371704352494E-2</v>
      </c>
      <c r="CN24" s="253">
        <f t="shared" si="18"/>
        <v>4.0155440414507769E-2</v>
      </c>
      <c r="CO24" s="253">
        <f t="shared" si="19"/>
        <v>9.228687415426251E-2</v>
      </c>
      <c r="CP24" s="253">
        <v>0</v>
      </c>
      <c r="CQ24" s="253">
        <f t="shared" si="42"/>
        <v>0</v>
      </c>
      <c r="CR24" s="253">
        <f t="shared" si="42"/>
        <v>0</v>
      </c>
      <c r="CS24" s="253">
        <f t="shared" si="42"/>
        <v>0</v>
      </c>
      <c r="CT24" s="253">
        <f t="shared" si="42"/>
        <v>3.0833854678702297E-2</v>
      </c>
      <c r="CU24" s="253">
        <f t="shared" si="42"/>
        <v>1.7875647668393783E-2</v>
      </c>
      <c r="CV24" s="253">
        <f t="shared" si="42"/>
        <v>3.8791159224176815E-2</v>
      </c>
      <c r="CW24" s="253">
        <v>5.8000000000000003E-2</v>
      </c>
      <c r="CX24" s="253">
        <f t="shared" si="43"/>
        <v>4.0093702135327508E-2</v>
      </c>
      <c r="CY24" s="253">
        <f t="shared" si="43"/>
        <v>1.5058823529411765E-2</v>
      </c>
      <c r="CZ24" s="253">
        <f t="shared" si="43"/>
        <v>5.5422115470153903E-2</v>
      </c>
      <c r="DA24" s="253">
        <f t="shared" si="43"/>
        <v>4.343551702565019E-2</v>
      </c>
      <c r="DB24" s="253">
        <f t="shared" si="43"/>
        <v>2.227979274611399E-2</v>
      </c>
      <c r="DC24" s="253">
        <f t="shared" si="43"/>
        <v>5.3495714930085703E-2</v>
      </c>
      <c r="DD24" s="253">
        <v>5.8000000000000003E-2</v>
      </c>
      <c r="DE24" s="74">
        <f t="shared" si="44"/>
        <v>4.0093702135327508E-2</v>
      </c>
      <c r="DF24" s="74">
        <f t="shared" si="44"/>
        <v>1.5058823529411765E-2</v>
      </c>
      <c r="DG24" s="74">
        <f t="shared" si="44"/>
        <v>5.5422115470153903E-2</v>
      </c>
      <c r="DH24" s="74">
        <f t="shared" si="44"/>
        <v>7.4269371704352494E-2</v>
      </c>
      <c r="DI24" s="74">
        <f t="shared" si="44"/>
        <v>4.0155440414507769E-2</v>
      </c>
      <c r="DJ24" s="74">
        <f t="shared" si="44"/>
        <v>9.228687415426251E-2</v>
      </c>
      <c r="DK24" s="266">
        <v>189089</v>
      </c>
      <c r="DL24" s="266">
        <v>177529</v>
      </c>
      <c r="DM24" s="267">
        <v>36231</v>
      </c>
      <c r="DN24" s="268">
        <v>188837</v>
      </c>
      <c r="DO24" s="268">
        <v>177741</v>
      </c>
      <c r="DP24" s="268">
        <v>39211</v>
      </c>
      <c r="DQ24" s="268">
        <v>189388</v>
      </c>
      <c r="DR24" s="268">
        <f>SUM(Data[[#This Row],[Fall 18 All Enroll]:[Fall 20 All Enroll]])</f>
        <v>998026</v>
      </c>
      <c r="DS24" s="266">
        <v>189089</v>
      </c>
      <c r="DT24" s="267">
        <v>177529</v>
      </c>
      <c r="DU24" s="267">
        <v>36231</v>
      </c>
      <c r="DV24" s="268">
        <v>188837</v>
      </c>
      <c r="DW24" s="268">
        <v>177741</v>
      </c>
      <c r="DX24" s="268">
        <v>39211</v>
      </c>
      <c r="DY24" s="268">
        <v>189388</v>
      </c>
      <c r="DZ24" s="268">
        <f>SUM(Data[[#This Row],[Fall 18 Non-eCore Enroll]:[Fall 20 Non-eCore Enroll]])</f>
        <v>998026</v>
      </c>
      <c r="EA24" s="269">
        <v>0</v>
      </c>
      <c r="EB24" s="268">
        <v>0</v>
      </c>
      <c r="EC24" s="268">
        <v>0</v>
      </c>
      <c r="ED24" s="268">
        <v>0</v>
      </c>
      <c r="EE24" s="268">
        <v>11745</v>
      </c>
      <c r="EF24" s="268">
        <v>2762</v>
      </c>
      <c r="EG24" s="268">
        <v>14790</v>
      </c>
      <c r="EH24" s="268">
        <f>SUM(Data[[#This Row],[Fall 18 LC All Enroll]:[Fall 20 LC All Enroll]])</f>
        <v>29297</v>
      </c>
      <c r="EI24" s="89">
        <f t="shared" si="23"/>
        <v>2.935494666471615E-2</v>
      </c>
      <c r="EJ24" s="252">
        <v>0</v>
      </c>
      <c r="EK24" s="252">
        <f t="shared" si="24"/>
        <v>0</v>
      </c>
      <c r="EL24" s="252">
        <f t="shared" si="24"/>
        <v>0</v>
      </c>
      <c r="EM24" s="252">
        <f t="shared" si="24"/>
        <v>0</v>
      </c>
      <c r="EN24" s="259">
        <f t="shared" si="24"/>
        <v>6.6079295154185022E-2</v>
      </c>
      <c r="EO24" s="259">
        <f t="shared" si="24"/>
        <v>7.0439417510392496E-2</v>
      </c>
      <c r="EP24" s="259">
        <f t="shared" si="24"/>
        <v>7.8093649016833161E-2</v>
      </c>
      <c r="EQ24" s="269">
        <v>13886</v>
      </c>
      <c r="ER24" s="268">
        <v>11440</v>
      </c>
      <c r="ES24" s="268">
        <v>1491</v>
      </c>
      <c r="ET24" s="268">
        <v>13393</v>
      </c>
      <c r="EU24" s="268">
        <v>13278</v>
      </c>
      <c r="EV24" s="268">
        <v>2641</v>
      </c>
      <c r="EW24" s="268">
        <v>14788</v>
      </c>
      <c r="EX24" s="268">
        <f>SUM(Data[[#This Row],[Fall 18 NC All Enroll]:[Fall 20 NC All Enroll]])</f>
        <v>70917</v>
      </c>
      <c r="EY24" s="89">
        <f t="shared" si="25"/>
        <v>7.1057267045147116E-2</v>
      </c>
      <c r="EZ24" s="252">
        <v>7.2999999999999995E-2</v>
      </c>
      <c r="FA24" s="252">
        <f t="shared" si="26"/>
        <v>6.4440175971249763E-2</v>
      </c>
      <c r="FB24" s="252">
        <f t="shared" si="26"/>
        <v>4.1152604123540618E-2</v>
      </c>
      <c r="FC24" s="252">
        <f t="shared" si="26"/>
        <v>7.0923600777390031E-2</v>
      </c>
      <c r="FD24" s="259">
        <f t="shared" si="26"/>
        <v>7.4704204432291935E-2</v>
      </c>
      <c r="FE24" s="259">
        <f t="shared" si="26"/>
        <v>6.7353548749075509E-2</v>
      </c>
      <c r="FF24" s="259">
        <f t="shared" si="26"/>
        <v>7.8083088685661176E-2</v>
      </c>
      <c r="FG24" s="269">
        <v>13886</v>
      </c>
      <c r="FH24" s="268">
        <v>11440</v>
      </c>
      <c r="FI24" s="268">
        <f t="shared" si="27"/>
        <v>1491</v>
      </c>
      <c r="FJ24" s="268">
        <f t="shared" si="40"/>
        <v>13393</v>
      </c>
      <c r="FK24" s="256">
        <f t="shared" si="40"/>
        <v>25023</v>
      </c>
      <c r="FL24" s="256">
        <f t="shared" si="40"/>
        <v>5403</v>
      </c>
      <c r="FM24" s="256">
        <f t="shared" si="40"/>
        <v>29578</v>
      </c>
      <c r="FN24" s="268">
        <f>SUM(Data[[#This Row],[Fall 18 LC+NC All Enroll]:[Fall 20 LC+NC All Enroll]])</f>
        <v>100214</v>
      </c>
      <c r="FO24" s="89">
        <f t="shared" si="28"/>
        <v>0.10041221370986327</v>
      </c>
      <c r="FP24" s="252">
        <v>7.2999999999999995E-2</v>
      </c>
      <c r="FQ24" s="75">
        <f t="shared" si="29"/>
        <v>6.4440175971249763E-2</v>
      </c>
      <c r="FR24" s="75">
        <f t="shared" si="29"/>
        <v>4.1152604123540618E-2</v>
      </c>
      <c r="FS24" s="75">
        <f t="shared" si="29"/>
        <v>7.0923600777390031E-2</v>
      </c>
      <c r="FT24" s="260">
        <f t="shared" si="29"/>
        <v>0.14078349958647696</v>
      </c>
      <c r="FU24" s="260">
        <f t="shared" si="29"/>
        <v>0.13779296625946802</v>
      </c>
      <c r="FV24" s="260">
        <f t="shared" si="29"/>
        <v>0.15617673770249435</v>
      </c>
      <c r="FW24" s="269">
        <v>0</v>
      </c>
      <c r="FX24" s="268">
        <v>0</v>
      </c>
      <c r="FY24" s="268">
        <v>0</v>
      </c>
      <c r="FZ24" s="268">
        <v>0</v>
      </c>
      <c r="GA24" s="268">
        <v>11745</v>
      </c>
      <c r="GB24" s="268">
        <v>2762</v>
      </c>
      <c r="GC24" s="268">
        <v>14790</v>
      </c>
      <c r="GD24" s="268">
        <f>SUM(Data[[#This Row],[Fall 18 LC Non-eCore Enroll]:[Fall 20 LC Non-eCore Enroll]])</f>
        <v>29297</v>
      </c>
      <c r="GE24" s="89">
        <f t="shared" si="30"/>
        <v>2.935494666471615E-2</v>
      </c>
      <c r="GF24" s="252">
        <v>0</v>
      </c>
      <c r="GG24" s="252">
        <f t="shared" si="31"/>
        <v>0</v>
      </c>
      <c r="GH24" s="252">
        <f t="shared" si="31"/>
        <v>0</v>
      </c>
      <c r="GI24" s="252">
        <f t="shared" si="31"/>
        <v>0</v>
      </c>
      <c r="GJ24" s="259">
        <f t="shared" si="31"/>
        <v>6.6079295154185022E-2</v>
      </c>
      <c r="GK24" s="259">
        <f t="shared" si="31"/>
        <v>7.0439417510392496E-2</v>
      </c>
      <c r="GL24" s="259">
        <f t="shared" si="31"/>
        <v>7.8093649016833161E-2</v>
      </c>
      <c r="GM24" s="269">
        <v>13886</v>
      </c>
      <c r="GN24" s="268">
        <v>11440</v>
      </c>
      <c r="GO24" s="268">
        <v>1491</v>
      </c>
      <c r="GP24" s="268">
        <v>13393</v>
      </c>
      <c r="GQ24" s="268">
        <v>13278</v>
      </c>
      <c r="GR24" s="268">
        <v>2641</v>
      </c>
      <c r="GS24" s="268">
        <v>14788</v>
      </c>
      <c r="GT24" s="268">
        <f>SUM(Data[[#This Row],[Fall 18 NC Non-eCore Enroll]:[Fall 20 NC Non-eCore Enroll]])</f>
        <v>70917</v>
      </c>
      <c r="GU24" s="89">
        <f t="shared" si="32"/>
        <v>7.1057267045147116E-2</v>
      </c>
      <c r="GV24" s="252">
        <v>7.2999999999999995E-2</v>
      </c>
      <c r="GW24" s="252">
        <f t="shared" si="45"/>
        <v>6.4440175971249763E-2</v>
      </c>
      <c r="GX24" s="252">
        <f t="shared" si="45"/>
        <v>4.1152604123540618E-2</v>
      </c>
      <c r="GY24" s="252">
        <f t="shared" si="45"/>
        <v>7.0923600777390031E-2</v>
      </c>
      <c r="GZ24" s="259">
        <f t="shared" si="45"/>
        <v>7.4704204432291935E-2</v>
      </c>
      <c r="HA24" s="259">
        <f t="shared" si="45"/>
        <v>6.7353548749075509E-2</v>
      </c>
      <c r="HB24" s="259">
        <f t="shared" si="45"/>
        <v>7.8083088685661176E-2</v>
      </c>
      <c r="HC24" s="269">
        <v>13886</v>
      </c>
      <c r="HD24" s="268">
        <v>11440</v>
      </c>
      <c r="HE24" s="269">
        <f t="shared" si="41"/>
        <v>1491</v>
      </c>
      <c r="HF24" s="269">
        <f t="shared" si="41"/>
        <v>13393</v>
      </c>
      <c r="HG24" s="257">
        <f t="shared" si="41"/>
        <v>25023</v>
      </c>
      <c r="HH24" s="257">
        <f t="shared" si="41"/>
        <v>5403</v>
      </c>
      <c r="HI24" s="257">
        <f t="shared" si="41"/>
        <v>29578</v>
      </c>
      <c r="HJ24" s="269">
        <f>SUM(Data[[#This Row],[Fall 18 LC+NC Non-eCore Enroll]:[Fall 20 LC+NC Non-eCore Enroll]])</f>
        <v>100214</v>
      </c>
      <c r="HK24" s="91">
        <f t="shared" si="34"/>
        <v>0.10041221370986327</v>
      </c>
      <c r="HL24" s="268">
        <v>175203</v>
      </c>
      <c r="HM24" s="268">
        <v>166089</v>
      </c>
      <c r="HN24" s="268">
        <v>34740</v>
      </c>
      <c r="HO24" s="82">
        <v>175444</v>
      </c>
      <c r="HP24" s="82">
        <v>152718</v>
      </c>
      <c r="HQ24" s="82">
        <v>33808</v>
      </c>
      <c r="HR24" s="82">
        <v>159810</v>
      </c>
      <c r="HS24" s="256">
        <f>SUM(Data[[#This Row],[Fall 18 Non-eCore None Enroll]:[Fall 20 Non-eCore None Enroll]])</f>
        <v>897812</v>
      </c>
      <c r="HT24" s="89">
        <f t="shared" si="35"/>
        <v>0.89958778629013669</v>
      </c>
      <c r="HU24" s="252">
        <v>7.2999999999999995E-2</v>
      </c>
      <c r="HV24" s="252">
        <f t="shared" si="46"/>
        <v>6.4440175971249763E-2</v>
      </c>
      <c r="HW24" s="252">
        <f t="shared" si="46"/>
        <v>4.1152604123540618E-2</v>
      </c>
      <c r="HX24" s="252">
        <f t="shared" si="46"/>
        <v>7.0923600777390031E-2</v>
      </c>
      <c r="HY24" s="259">
        <f t="shared" si="46"/>
        <v>0.14078349958647696</v>
      </c>
      <c r="HZ24" s="259">
        <f t="shared" si="46"/>
        <v>0.13779296625946802</v>
      </c>
      <c r="IA24" s="259">
        <f t="shared" si="46"/>
        <v>0.15617673770249435</v>
      </c>
    </row>
    <row r="25" spans="1:235" x14ac:dyDescent="0.25">
      <c r="A25" s="79" t="s">
        <v>236</v>
      </c>
      <c r="B25" s="79" t="s">
        <v>2291</v>
      </c>
      <c r="C25" s="280">
        <f>Data[[#This Row],[Spring 20 No eCore Low-Cost Sections]]+Data[[#This Row],[Summer 20 No eCore Low-Cost Sections]]+Data[[#This Row],[Fall 20 No eCore Low-Cost Sections]]</f>
        <v>476</v>
      </c>
      <c r="D25" s="281">
        <f>Data[[#This Row],[2020 LC Total]]/(Data[[#This Row],[Spring 20 All Sections]]+Data[[#This Row],[Summer 20 All Sections]]+Data[[#This Row],[Fall 20 All Sections]])</f>
        <v>5.2244539567555703E-2</v>
      </c>
      <c r="E25" s="280">
        <f>Data[[#This Row],[Spring 20 No eCore No-Cost Sections]]+Data[[#This Row],[Summer 20 No eCore No-Cost Sections]]+Data[[#This Row],[Fall 20 No eCore No-Cost Sections]]</f>
        <v>524</v>
      </c>
      <c r="F25" s="281">
        <f>Data[[#This Row],[2020 NC Total]]/(Data[[#This Row],[Spring 20 All Sections]]+Data[[#This Row],[Summer 20 All Sections]]+Data[[#This Row],[Fall 20 All Sections]])</f>
        <v>5.7512896498737788E-2</v>
      </c>
      <c r="G25" s="280">
        <f>Data[[#This Row],[2020 LC Total]]+Data[[#This Row],[2020 NC Total]]</f>
        <v>1000</v>
      </c>
      <c r="H25" s="281">
        <f>Data[[#This Row],[2020 NC+LC Total]]/(Data[[#This Row],[Spring 20 All Sections]]+Data[[#This Row],[Summer 20 All Sections]]+Data[[#This Row],[Fall 20 All Sections]])</f>
        <v>0.10975743606629348</v>
      </c>
      <c r="I25" s="249">
        <v>3990</v>
      </c>
      <c r="J25" s="250">
        <v>4161</v>
      </c>
      <c r="K25" s="251">
        <v>1265</v>
      </c>
      <c r="L25" s="82">
        <v>4083</v>
      </c>
      <c r="M25" s="82">
        <v>4025</v>
      </c>
      <c r="N25" s="82">
        <v>1111</v>
      </c>
      <c r="O25" s="82">
        <v>3975</v>
      </c>
      <c r="P25" s="82">
        <f>SUM(Data[[#This Row],[Fall 18 All Sections]:[Fall 20 All Sections]])</f>
        <v>22610</v>
      </c>
      <c r="Q25" s="249">
        <v>338</v>
      </c>
      <c r="R25" s="250">
        <v>313</v>
      </c>
      <c r="S25" s="250">
        <v>116</v>
      </c>
      <c r="T25" s="82">
        <v>370</v>
      </c>
      <c r="U25" s="82">
        <v>354</v>
      </c>
      <c r="V25" s="82">
        <v>122</v>
      </c>
      <c r="W25" s="82">
        <v>483</v>
      </c>
      <c r="X25" s="249">
        <v>3652</v>
      </c>
      <c r="Y25" s="250">
        <v>3848</v>
      </c>
      <c r="Z25" s="84">
        <v>1149</v>
      </c>
      <c r="AA25" s="82">
        <v>3713</v>
      </c>
      <c r="AB25" s="82">
        <v>3671</v>
      </c>
      <c r="AC25" s="82">
        <v>989</v>
      </c>
      <c r="AD25" s="82">
        <v>3492</v>
      </c>
      <c r="AE25" s="249">
        <v>173</v>
      </c>
      <c r="AF25" s="82">
        <v>60</v>
      </c>
      <c r="AG25" s="82">
        <v>46</v>
      </c>
      <c r="AH25" s="82">
        <v>177</v>
      </c>
      <c r="AI25" s="82">
        <v>189</v>
      </c>
      <c r="AJ25" s="82">
        <v>26</v>
      </c>
      <c r="AK25" s="82">
        <v>261</v>
      </c>
      <c r="AL25" s="249">
        <v>501</v>
      </c>
      <c r="AM25" s="82">
        <v>597</v>
      </c>
      <c r="AN25" s="82">
        <v>211</v>
      </c>
      <c r="AO25" s="82">
        <v>603</v>
      </c>
      <c r="AP25" s="82">
        <v>617</v>
      </c>
      <c r="AQ25" s="82">
        <v>158</v>
      </c>
      <c r="AR25" s="82">
        <v>705</v>
      </c>
      <c r="AS25" s="249">
        <v>674</v>
      </c>
      <c r="AT25" s="82">
        <v>657</v>
      </c>
      <c r="AU25" s="82">
        <f t="shared" si="0"/>
        <v>257</v>
      </c>
      <c r="AV25" s="82">
        <f t="shared" si="0"/>
        <v>780</v>
      </c>
      <c r="AW25" s="82">
        <f t="shared" si="0"/>
        <v>806</v>
      </c>
      <c r="AX25" s="82">
        <f t="shared" si="0"/>
        <v>184</v>
      </c>
      <c r="AY25" s="82">
        <f t="shared" si="0"/>
        <v>966</v>
      </c>
      <c r="AZ25" s="249">
        <v>173</v>
      </c>
      <c r="BA25" s="82">
        <v>60</v>
      </c>
      <c r="BB25" s="82">
        <v>46</v>
      </c>
      <c r="BC25" s="82">
        <v>177</v>
      </c>
      <c r="BD25" s="82">
        <v>189</v>
      </c>
      <c r="BE25" s="82">
        <v>26</v>
      </c>
      <c r="BF25" s="82">
        <v>261</v>
      </c>
      <c r="BG25" s="249">
        <v>170</v>
      </c>
      <c r="BH25" s="82">
        <v>308</v>
      </c>
      <c r="BI25" s="82">
        <v>95</v>
      </c>
      <c r="BJ25" s="82">
        <v>276</v>
      </c>
      <c r="BK25" s="82">
        <v>263</v>
      </c>
      <c r="BL25" s="82">
        <v>38</v>
      </c>
      <c r="BM25" s="82">
        <v>223</v>
      </c>
      <c r="BN25" s="249">
        <v>343</v>
      </c>
      <c r="BO25" s="82">
        <v>368</v>
      </c>
      <c r="BP25" s="85">
        <f t="shared" si="1"/>
        <v>141</v>
      </c>
      <c r="BQ25" s="85">
        <f t="shared" si="37"/>
        <v>453</v>
      </c>
      <c r="BR25" s="85">
        <f t="shared" si="38"/>
        <v>452</v>
      </c>
      <c r="BS25" s="85">
        <f t="shared" si="39"/>
        <v>64</v>
      </c>
      <c r="BT25" s="85">
        <f t="shared" si="39"/>
        <v>484</v>
      </c>
      <c r="BU25" s="252">
        <v>4.2999999999999997E-2</v>
      </c>
      <c r="BV25" s="252">
        <f t="shared" si="2"/>
        <v>1.4419610670511895E-2</v>
      </c>
      <c r="BW25" s="252">
        <f t="shared" si="3"/>
        <v>3.6363636363636362E-2</v>
      </c>
      <c r="BX25" s="252">
        <f t="shared" si="4"/>
        <v>4.3350477590007347E-2</v>
      </c>
      <c r="BY25" s="252">
        <f t="shared" si="5"/>
        <v>4.6956521739130432E-2</v>
      </c>
      <c r="BZ25" s="252">
        <f t="shared" si="6"/>
        <v>2.3402340234023402E-2</v>
      </c>
      <c r="CA25" s="252">
        <f t="shared" si="7"/>
        <v>6.5660377358490563E-2</v>
      </c>
      <c r="CB25" s="252">
        <v>0.126</v>
      </c>
      <c r="CC25" s="252">
        <f t="shared" si="8"/>
        <v>0.14347512617159336</v>
      </c>
      <c r="CD25" s="252">
        <f t="shared" si="9"/>
        <v>0.16679841897233202</v>
      </c>
      <c r="CE25" s="252">
        <f t="shared" si="10"/>
        <v>0.14768552534900808</v>
      </c>
      <c r="CF25" s="252">
        <f t="shared" si="11"/>
        <v>0.1532919254658385</v>
      </c>
      <c r="CG25" s="252">
        <f t="shared" si="12"/>
        <v>0.14221422142214221</v>
      </c>
      <c r="CH25" s="252">
        <f t="shared" si="13"/>
        <v>0.17735849056603772</v>
      </c>
      <c r="CI25" s="253">
        <v>0.16900000000000001</v>
      </c>
      <c r="CJ25" s="253">
        <f t="shared" si="14"/>
        <v>0.15789473684210525</v>
      </c>
      <c r="CK25" s="253">
        <f t="shared" si="15"/>
        <v>0.20316205533596837</v>
      </c>
      <c r="CL25" s="253">
        <f t="shared" si="16"/>
        <v>0.19103600293901543</v>
      </c>
      <c r="CM25" s="253">
        <f t="shared" si="17"/>
        <v>0.20024844720496895</v>
      </c>
      <c r="CN25" s="253">
        <f t="shared" si="18"/>
        <v>0.16561656165616562</v>
      </c>
      <c r="CO25" s="253">
        <f t="shared" si="19"/>
        <v>0.24301886792452831</v>
      </c>
      <c r="CP25" s="253">
        <v>4.7E-2</v>
      </c>
      <c r="CQ25" s="253">
        <f t="shared" si="42"/>
        <v>1.5592515592515593E-2</v>
      </c>
      <c r="CR25" s="253">
        <f t="shared" si="42"/>
        <v>4.0034812880765887E-2</v>
      </c>
      <c r="CS25" s="253">
        <f t="shared" si="42"/>
        <v>4.7670347427955832E-2</v>
      </c>
      <c r="CT25" s="253">
        <f t="shared" si="42"/>
        <v>5.1484609098338324E-2</v>
      </c>
      <c r="CU25" s="253">
        <f t="shared" si="42"/>
        <v>2.6289180990899899E-2</v>
      </c>
      <c r="CV25" s="253">
        <f t="shared" si="42"/>
        <v>7.4742268041237112E-2</v>
      </c>
      <c r="CW25" s="253">
        <v>4.7E-2</v>
      </c>
      <c r="CX25" s="253">
        <f t="shared" si="43"/>
        <v>8.0041580041580046E-2</v>
      </c>
      <c r="CY25" s="253">
        <f t="shared" si="43"/>
        <v>8.2680591818973026E-2</v>
      </c>
      <c r="CZ25" s="253">
        <f t="shared" si="43"/>
        <v>7.4333423107998925E-2</v>
      </c>
      <c r="DA25" s="253">
        <f t="shared" si="43"/>
        <v>7.1642604195042217E-2</v>
      </c>
      <c r="DB25" s="253">
        <f t="shared" si="43"/>
        <v>3.8422649140546009E-2</v>
      </c>
      <c r="DC25" s="253">
        <f t="shared" si="43"/>
        <v>6.3860252004581897E-2</v>
      </c>
      <c r="DD25" s="253">
        <v>9.4E-2</v>
      </c>
      <c r="DE25" s="74">
        <f t="shared" si="44"/>
        <v>9.5634095634095639E-2</v>
      </c>
      <c r="DF25" s="74">
        <f t="shared" si="44"/>
        <v>0.12271540469973891</v>
      </c>
      <c r="DG25" s="74">
        <f t="shared" si="44"/>
        <v>0.12200377053595475</v>
      </c>
      <c r="DH25" s="74">
        <f t="shared" si="44"/>
        <v>0.12312721329338056</v>
      </c>
      <c r="DI25" s="74">
        <f t="shared" si="44"/>
        <v>6.4711830131445908E-2</v>
      </c>
      <c r="DJ25" s="74">
        <f t="shared" si="44"/>
        <v>0.13860252004581902</v>
      </c>
      <c r="DK25" s="266">
        <v>81314</v>
      </c>
      <c r="DL25" s="266">
        <v>72581</v>
      </c>
      <c r="DM25" s="267">
        <v>15661</v>
      </c>
      <c r="DN25" s="268">
        <v>78436</v>
      </c>
      <c r="DO25" s="268">
        <v>70922</v>
      </c>
      <c r="DP25" s="268">
        <v>18215</v>
      </c>
      <c r="DQ25" s="268">
        <v>77010</v>
      </c>
      <c r="DR25" s="268">
        <f>SUM(Data[[#This Row],[Fall 18 All Enroll]:[Fall 20 All Enroll]])</f>
        <v>414139</v>
      </c>
      <c r="DS25" s="266">
        <v>77843</v>
      </c>
      <c r="DT25" s="267">
        <v>69080</v>
      </c>
      <c r="DU25" s="267">
        <v>13875</v>
      </c>
      <c r="DV25" s="268">
        <v>74477</v>
      </c>
      <c r="DW25" s="268">
        <v>66743</v>
      </c>
      <c r="DX25" s="268">
        <v>16701</v>
      </c>
      <c r="DY25" s="268">
        <v>72503</v>
      </c>
      <c r="DZ25" s="268">
        <f>SUM(Data[[#This Row],[Fall 18 Non-eCore Enroll]:[Fall 20 Non-eCore Enroll]])</f>
        <v>391222</v>
      </c>
      <c r="EA25" s="269">
        <v>3558</v>
      </c>
      <c r="EB25" s="268">
        <v>1066</v>
      </c>
      <c r="EC25" s="268">
        <v>750</v>
      </c>
      <c r="ED25" s="268">
        <v>3629</v>
      </c>
      <c r="EE25" s="268">
        <v>2771</v>
      </c>
      <c r="EF25" s="268">
        <v>467</v>
      </c>
      <c r="EG25" s="268">
        <v>4589</v>
      </c>
      <c r="EH25" s="268">
        <f>SUM(Data[[#This Row],[Fall 18 LC All Enroll]:[Fall 20 LC All Enroll]])</f>
        <v>16830</v>
      </c>
      <c r="EI25" s="89">
        <f t="shared" si="23"/>
        <v>4.0638529575818746E-2</v>
      </c>
      <c r="EJ25" s="252">
        <v>4.3999999999999997E-2</v>
      </c>
      <c r="EK25" s="252">
        <f t="shared" si="24"/>
        <v>1.4687039307807829E-2</v>
      </c>
      <c r="EL25" s="252">
        <f t="shared" si="24"/>
        <v>4.7889662218249154E-2</v>
      </c>
      <c r="EM25" s="252">
        <f t="shared" si="24"/>
        <v>4.62670202458055E-2</v>
      </c>
      <c r="EN25" s="259">
        <f t="shared" si="24"/>
        <v>3.9071092185781565E-2</v>
      </c>
      <c r="EO25" s="259">
        <f t="shared" si="24"/>
        <v>2.5638210266264068E-2</v>
      </c>
      <c r="EP25" s="259">
        <f t="shared" si="24"/>
        <v>5.9589663680041552E-2</v>
      </c>
      <c r="EQ25" s="269">
        <v>7577</v>
      </c>
      <c r="ER25" s="268">
        <v>6969</v>
      </c>
      <c r="ES25" s="268">
        <v>3099</v>
      </c>
      <c r="ET25" s="268">
        <v>9600</v>
      </c>
      <c r="EU25" s="268">
        <v>9424</v>
      </c>
      <c r="EV25" s="268">
        <v>2171</v>
      </c>
      <c r="EW25" s="268">
        <v>8674</v>
      </c>
      <c r="EX25" s="268">
        <f>SUM(Data[[#This Row],[Fall 18 NC All Enroll]:[Fall 20 NC All Enroll]])</f>
        <v>47514</v>
      </c>
      <c r="EY25" s="89">
        <f t="shared" si="25"/>
        <v>0.11472959561886227</v>
      </c>
      <c r="EZ25" s="252">
        <v>9.2999999999999999E-2</v>
      </c>
      <c r="FA25" s="252">
        <f t="shared" si="26"/>
        <v>9.6016863917554179E-2</v>
      </c>
      <c r="FB25" s="252">
        <f t="shared" si="26"/>
        <v>0.1978800842858055</v>
      </c>
      <c r="FC25" s="252">
        <f t="shared" si="26"/>
        <v>0.12239277882604926</v>
      </c>
      <c r="FD25" s="259">
        <f t="shared" si="26"/>
        <v>0.13287837342432532</v>
      </c>
      <c r="FE25" s="259">
        <f t="shared" si="26"/>
        <v>0.11918748284381005</v>
      </c>
      <c r="FF25" s="259">
        <f t="shared" si="26"/>
        <v>0.1126347227632775</v>
      </c>
      <c r="FG25" s="269">
        <v>11135</v>
      </c>
      <c r="FH25" s="268">
        <v>8035</v>
      </c>
      <c r="FI25" s="268">
        <f t="shared" si="27"/>
        <v>3849</v>
      </c>
      <c r="FJ25" s="268">
        <f t="shared" si="40"/>
        <v>13229</v>
      </c>
      <c r="FK25" s="256">
        <f t="shared" si="40"/>
        <v>12195</v>
      </c>
      <c r="FL25" s="256">
        <f t="shared" si="40"/>
        <v>2638</v>
      </c>
      <c r="FM25" s="256">
        <f t="shared" si="40"/>
        <v>13263</v>
      </c>
      <c r="FN25" s="268">
        <f>SUM(Data[[#This Row],[Fall 18 LC+NC All Enroll]:[Fall 20 LC+NC All Enroll]])</f>
        <v>64344</v>
      </c>
      <c r="FO25" s="89">
        <f t="shared" si="28"/>
        <v>0.15536812519468102</v>
      </c>
      <c r="FP25" s="252">
        <v>0.13700000000000001</v>
      </c>
      <c r="FQ25" s="75">
        <f t="shared" si="29"/>
        <v>0.11070390322536201</v>
      </c>
      <c r="FR25" s="75">
        <f t="shared" si="29"/>
        <v>0.24576974650405467</v>
      </c>
      <c r="FS25" s="75">
        <f t="shared" si="29"/>
        <v>0.16865979907185477</v>
      </c>
      <c r="FT25" s="260">
        <f t="shared" si="29"/>
        <v>0.17194946561010688</v>
      </c>
      <c r="FU25" s="260">
        <f t="shared" si="29"/>
        <v>0.14482569311007412</v>
      </c>
      <c r="FV25" s="260">
        <f t="shared" si="29"/>
        <v>0.17222438644331906</v>
      </c>
      <c r="FW25" s="269">
        <v>3558</v>
      </c>
      <c r="FX25" s="268">
        <v>1066</v>
      </c>
      <c r="FY25" s="268">
        <v>750</v>
      </c>
      <c r="FZ25" s="268">
        <v>3629</v>
      </c>
      <c r="GA25" s="268">
        <v>2771</v>
      </c>
      <c r="GB25" s="268">
        <v>467</v>
      </c>
      <c r="GC25" s="268">
        <v>4589</v>
      </c>
      <c r="GD25" s="268">
        <f>SUM(Data[[#This Row],[Fall 18 LC Non-eCore Enroll]:[Fall 20 LC Non-eCore Enroll]])</f>
        <v>16830</v>
      </c>
      <c r="GE25" s="89">
        <f t="shared" si="30"/>
        <v>4.3019053120734521E-2</v>
      </c>
      <c r="GF25" s="252">
        <v>4.5999999999999999E-2</v>
      </c>
      <c r="GG25" s="252">
        <f t="shared" si="31"/>
        <v>1.5431383902721483E-2</v>
      </c>
      <c r="GH25" s="252">
        <f t="shared" si="31"/>
        <v>5.4054054054054057E-2</v>
      </c>
      <c r="GI25" s="252">
        <f t="shared" si="31"/>
        <v>4.8726452461833852E-2</v>
      </c>
      <c r="GJ25" s="259">
        <f t="shared" si="31"/>
        <v>4.1517462505431278E-2</v>
      </c>
      <c r="GK25" s="259">
        <f t="shared" si="31"/>
        <v>2.7962397461229867E-2</v>
      </c>
      <c r="GL25" s="259">
        <f t="shared" si="31"/>
        <v>6.3293932664855251E-2</v>
      </c>
      <c r="GM25" s="269">
        <v>4144</v>
      </c>
      <c r="GN25" s="268">
        <v>3593</v>
      </c>
      <c r="GO25" s="268">
        <v>1313</v>
      </c>
      <c r="GP25" s="268">
        <v>5988</v>
      </c>
      <c r="GQ25" s="268">
        <v>5245</v>
      </c>
      <c r="GR25" s="268">
        <v>678</v>
      </c>
      <c r="GS25" s="268">
        <v>4180</v>
      </c>
      <c r="GT25" s="268">
        <f>SUM(Data[[#This Row],[Fall 18 NC Non-eCore Enroll]:[Fall 20 NC Non-eCore Enroll]])</f>
        <v>25141</v>
      </c>
      <c r="GU25" s="89">
        <f t="shared" si="32"/>
        <v>6.4262745960094264E-2</v>
      </c>
      <c r="GV25" s="252">
        <v>5.2999999999999999E-2</v>
      </c>
      <c r="GW25" s="252">
        <f t="shared" si="45"/>
        <v>5.2012159814707588E-2</v>
      </c>
      <c r="GX25" s="252">
        <f t="shared" si="45"/>
        <v>9.4630630630630624E-2</v>
      </c>
      <c r="GY25" s="252">
        <f t="shared" si="45"/>
        <v>8.0400660606630231E-2</v>
      </c>
      <c r="GZ25" s="259">
        <f t="shared" si="45"/>
        <v>7.8585020151926047E-2</v>
      </c>
      <c r="HA25" s="259">
        <f t="shared" si="45"/>
        <v>4.0596371474761993E-2</v>
      </c>
      <c r="HB25" s="259">
        <f t="shared" si="45"/>
        <v>5.7652786781236635E-2</v>
      </c>
      <c r="HC25" s="269">
        <v>7702</v>
      </c>
      <c r="HD25" s="268">
        <v>4659</v>
      </c>
      <c r="HE25" s="269">
        <f t="shared" si="41"/>
        <v>2063</v>
      </c>
      <c r="HF25" s="269">
        <f t="shared" si="41"/>
        <v>9617</v>
      </c>
      <c r="HG25" s="257">
        <f t="shared" si="41"/>
        <v>8016</v>
      </c>
      <c r="HH25" s="257">
        <f t="shared" si="41"/>
        <v>1145</v>
      </c>
      <c r="HI25" s="257">
        <f t="shared" si="41"/>
        <v>8769</v>
      </c>
      <c r="HJ25" s="269">
        <f>SUM(Data[[#This Row],[Fall 18 LC+NC Non-eCore Enroll]:[Fall 20 LC+NC Non-eCore Enroll]])</f>
        <v>41971</v>
      </c>
      <c r="HK25" s="91">
        <f t="shared" si="34"/>
        <v>0.10728179908082879</v>
      </c>
      <c r="HL25" s="268">
        <v>70141</v>
      </c>
      <c r="HM25" s="268">
        <v>64421</v>
      </c>
      <c r="HN25" s="268">
        <v>11812</v>
      </c>
      <c r="HO25" s="82">
        <v>64860</v>
      </c>
      <c r="HP25" s="82">
        <v>58727</v>
      </c>
      <c r="HQ25" s="82">
        <v>15556</v>
      </c>
      <c r="HR25" s="82">
        <v>63734</v>
      </c>
      <c r="HS25" s="256">
        <f>SUM(Data[[#This Row],[Fall 18 Non-eCore None Enroll]:[Fall 20 Non-eCore None Enroll]])</f>
        <v>349251</v>
      </c>
      <c r="HT25" s="89">
        <f t="shared" si="35"/>
        <v>0.8927182009191712</v>
      </c>
      <c r="HU25" s="252">
        <v>9.9000000000000005E-2</v>
      </c>
      <c r="HV25" s="252">
        <f t="shared" si="46"/>
        <v>6.7443543717429069E-2</v>
      </c>
      <c r="HW25" s="252">
        <f t="shared" si="46"/>
        <v>0.14868468468468468</v>
      </c>
      <c r="HX25" s="252">
        <f t="shared" si="46"/>
        <v>0.12912711306846408</v>
      </c>
      <c r="HY25" s="259">
        <f t="shared" si="46"/>
        <v>0.12010248265735733</v>
      </c>
      <c r="HZ25" s="259">
        <f t="shared" si="46"/>
        <v>6.855876893599186E-2</v>
      </c>
      <c r="IA25" s="259">
        <f t="shared" si="46"/>
        <v>0.12094671944609188</v>
      </c>
    </row>
    <row r="26" spans="1:235" x14ac:dyDescent="0.25">
      <c r="A26" s="79" t="s">
        <v>585</v>
      </c>
      <c r="B26" s="79" t="s">
        <v>2293</v>
      </c>
      <c r="C26" s="280">
        <f>Data[[#This Row],[Spring 20 No eCore Low-Cost Sections]]+Data[[#This Row],[Summer 20 No eCore Low-Cost Sections]]+Data[[#This Row],[Fall 20 No eCore Low-Cost Sections]]</f>
        <v>440</v>
      </c>
      <c r="D26" s="281">
        <f>Data[[#This Row],[2020 LC Total]]/(Data[[#This Row],[Spring 20 All Sections]]+Data[[#This Row],[Summer 20 All Sections]]+Data[[#This Row],[Fall 20 All Sections]])</f>
        <v>6.9345941686367221E-2</v>
      </c>
      <c r="E26" s="280">
        <f>Data[[#This Row],[Spring 20 No eCore No-Cost Sections]]+Data[[#This Row],[Summer 20 No eCore No-Cost Sections]]+Data[[#This Row],[Fall 20 No eCore No-Cost Sections]]</f>
        <v>2133</v>
      </c>
      <c r="F26" s="281">
        <f>Data[[#This Row],[2020 NC Total]]/(Data[[#This Row],[Spring 20 All Sections]]+Data[[#This Row],[Summer 20 All Sections]]+Data[[#This Row],[Fall 20 All Sections]])</f>
        <v>0.33617021276595743</v>
      </c>
      <c r="G26" s="280">
        <f>Data[[#This Row],[2020 LC Total]]+Data[[#This Row],[2020 NC Total]]</f>
        <v>2573</v>
      </c>
      <c r="H26" s="281">
        <f>Data[[#This Row],[2020 NC+LC Total]]/(Data[[#This Row],[Spring 20 All Sections]]+Data[[#This Row],[Summer 20 All Sections]]+Data[[#This Row],[Fall 20 All Sections]])</f>
        <v>0.40551615445232464</v>
      </c>
      <c r="I26" s="249">
        <v>2692</v>
      </c>
      <c r="J26" s="250">
        <v>2609</v>
      </c>
      <c r="K26" s="251">
        <v>1091</v>
      </c>
      <c r="L26" s="82">
        <v>2787</v>
      </c>
      <c r="M26" s="82">
        <v>2603</v>
      </c>
      <c r="N26" s="82">
        <v>1013</v>
      </c>
      <c r="O26" s="82">
        <v>2729</v>
      </c>
      <c r="P26" s="82">
        <f>SUM(Data[[#This Row],[Fall 18 All Sections]:[Fall 20 All Sections]])</f>
        <v>15524</v>
      </c>
      <c r="Q26" s="249">
        <v>372</v>
      </c>
      <c r="R26" s="250">
        <v>418</v>
      </c>
      <c r="S26" s="250">
        <v>128</v>
      </c>
      <c r="T26" s="82">
        <v>456</v>
      </c>
      <c r="U26" s="82">
        <v>439</v>
      </c>
      <c r="V26" s="82">
        <v>136</v>
      </c>
      <c r="W26" s="82">
        <v>567</v>
      </c>
      <c r="X26" s="249">
        <v>2320</v>
      </c>
      <c r="Y26" s="250">
        <v>2191</v>
      </c>
      <c r="Z26" s="84">
        <v>963</v>
      </c>
      <c r="AA26" s="82">
        <v>2331</v>
      </c>
      <c r="AB26" s="82">
        <v>2164</v>
      </c>
      <c r="AC26" s="82">
        <v>877</v>
      </c>
      <c r="AD26" s="82">
        <v>2162</v>
      </c>
      <c r="AE26" s="249">
        <v>116</v>
      </c>
      <c r="AF26" s="82">
        <v>185</v>
      </c>
      <c r="AG26" s="82">
        <v>11</v>
      </c>
      <c r="AH26" s="82">
        <v>200</v>
      </c>
      <c r="AI26" s="82">
        <v>210</v>
      </c>
      <c r="AJ26" s="82">
        <v>50</v>
      </c>
      <c r="AK26" s="82">
        <v>180</v>
      </c>
      <c r="AL26" s="249">
        <v>505</v>
      </c>
      <c r="AM26" s="82">
        <v>1273</v>
      </c>
      <c r="AN26" s="82">
        <v>164</v>
      </c>
      <c r="AO26" s="82">
        <v>1374</v>
      </c>
      <c r="AP26" s="82">
        <v>1281</v>
      </c>
      <c r="AQ26" s="82">
        <v>509</v>
      </c>
      <c r="AR26" s="82">
        <v>1485</v>
      </c>
      <c r="AS26" s="249">
        <v>621</v>
      </c>
      <c r="AT26" s="82">
        <v>1458</v>
      </c>
      <c r="AU26" s="82">
        <f t="shared" si="0"/>
        <v>175</v>
      </c>
      <c r="AV26" s="82">
        <f t="shared" si="0"/>
        <v>1574</v>
      </c>
      <c r="AW26" s="82">
        <f t="shared" si="0"/>
        <v>1491</v>
      </c>
      <c r="AX26" s="82">
        <f t="shared" si="0"/>
        <v>559</v>
      </c>
      <c r="AY26" s="82">
        <f t="shared" si="0"/>
        <v>1665</v>
      </c>
      <c r="AZ26" s="249">
        <v>116</v>
      </c>
      <c r="BA26" s="82">
        <v>185</v>
      </c>
      <c r="BB26" s="82">
        <v>11</v>
      </c>
      <c r="BC26" s="82">
        <v>200</v>
      </c>
      <c r="BD26" s="82">
        <v>210</v>
      </c>
      <c r="BE26" s="82">
        <v>50</v>
      </c>
      <c r="BF26" s="82">
        <v>180</v>
      </c>
      <c r="BG26" s="249">
        <v>137</v>
      </c>
      <c r="BH26" s="82">
        <v>855</v>
      </c>
      <c r="BI26" s="82">
        <v>36</v>
      </c>
      <c r="BJ26" s="82">
        <v>918</v>
      </c>
      <c r="BK26" s="82">
        <v>842</v>
      </c>
      <c r="BL26" s="82">
        <v>373</v>
      </c>
      <c r="BM26" s="82">
        <v>918</v>
      </c>
      <c r="BN26" s="249">
        <v>253</v>
      </c>
      <c r="BO26" s="82">
        <v>1040</v>
      </c>
      <c r="BP26" s="85">
        <f t="shared" si="1"/>
        <v>47</v>
      </c>
      <c r="BQ26" s="85">
        <f t="shared" si="37"/>
        <v>1118</v>
      </c>
      <c r="BR26" s="85">
        <f t="shared" si="38"/>
        <v>1052</v>
      </c>
      <c r="BS26" s="85">
        <f t="shared" si="39"/>
        <v>423</v>
      </c>
      <c r="BT26" s="85">
        <f t="shared" si="39"/>
        <v>1098</v>
      </c>
      <c r="BU26" s="252">
        <v>4.2999999999999997E-2</v>
      </c>
      <c r="BV26" s="252">
        <f t="shared" si="2"/>
        <v>7.0908394020697582E-2</v>
      </c>
      <c r="BW26" s="252">
        <f t="shared" si="3"/>
        <v>1.0082493125572869E-2</v>
      </c>
      <c r="BX26" s="252">
        <f t="shared" si="4"/>
        <v>7.1761750986724077E-2</v>
      </c>
      <c r="BY26" s="252">
        <f t="shared" si="5"/>
        <v>8.0676142912024587E-2</v>
      </c>
      <c r="BZ26" s="252">
        <f t="shared" si="6"/>
        <v>4.9358341559723594E-2</v>
      </c>
      <c r="CA26" s="252">
        <f t="shared" si="7"/>
        <v>6.5958226456577507E-2</v>
      </c>
      <c r="CB26" s="252">
        <v>0.188</v>
      </c>
      <c r="CC26" s="252">
        <f t="shared" si="8"/>
        <v>0.48792640858566499</v>
      </c>
      <c r="CD26" s="252">
        <f t="shared" si="9"/>
        <v>0.15032080659945005</v>
      </c>
      <c r="CE26" s="252">
        <f t="shared" si="10"/>
        <v>0.49300322927879442</v>
      </c>
      <c r="CF26" s="252">
        <f t="shared" si="11"/>
        <v>0.49212447176335</v>
      </c>
      <c r="CG26" s="252">
        <f t="shared" si="12"/>
        <v>0.50246791707798621</v>
      </c>
      <c r="CH26" s="252">
        <f t="shared" si="13"/>
        <v>0.54415536826676436</v>
      </c>
      <c r="CI26" s="253">
        <v>0.23100000000000001</v>
      </c>
      <c r="CJ26" s="253">
        <f t="shared" si="14"/>
        <v>0.55883480260636265</v>
      </c>
      <c r="CK26" s="253">
        <f t="shared" si="15"/>
        <v>0.1604032997250229</v>
      </c>
      <c r="CL26" s="253">
        <f t="shared" si="16"/>
        <v>0.56476498026551847</v>
      </c>
      <c r="CM26" s="253">
        <f t="shared" si="17"/>
        <v>0.57280061467537458</v>
      </c>
      <c r="CN26" s="253">
        <f t="shared" si="18"/>
        <v>0.55182625863770973</v>
      </c>
      <c r="CO26" s="253">
        <f t="shared" si="19"/>
        <v>0.61011359472334192</v>
      </c>
      <c r="CP26" s="253">
        <v>0.05</v>
      </c>
      <c r="CQ26" s="253">
        <f t="shared" si="42"/>
        <v>8.4436330442720225E-2</v>
      </c>
      <c r="CR26" s="253">
        <f t="shared" si="42"/>
        <v>1.142263759086189E-2</v>
      </c>
      <c r="CS26" s="253">
        <f t="shared" si="42"/>
        <v>8.5800085800085801E-2</v>
      </c>
      <c r="CT26" s="253">
        <f t="shared" si="42"/>
        <v>9.7042513863216259E-2</v>
      </c>
      <c r="CU26" s="253">
        <f t="shared" si="42"/>
        <v>5.7012542759407071E-2</v>
      </c>
      <c r="CV26" s="253">
        <f t="shared" si="42"/>
        <v>8.3256244218316372E-2</v>
      </c>
      <c r="CW26" s="253">
        <v>5.8999999999999997E-2</v>
      </c>
      <c r="CX26" s="253">
        <f t="shared" si="43"/>
        <v>0.39023277042446369</v>
      </c>
      <c r="CY26" s="253">
        <f t="shared" si="43"/>
        <v>3.7383177570093455E-2</v>
      </c>
      <c r="CZ26" s="253">
        <f t="shared" si="43"/>
        <v>0.39382239382239381</v>
      </c>
      <c r="DA26" s="253">
        <f t="shared" si="43"/>
        <v>0.38909426987060997</v>
      </c>
      <c r="DB26" s="253">
        <f t="shared" si="43"/>
        <v>0.42531356898517675</v>
      </c>
      <c r="DC26" s="253">
        <f t="shared" si="43"/>
        <v>0.42460684551341349</v>
      </c>
      <c r="DD26" s="253">
        <v>0.109</v>
      </c>
      <c r="DE26" s="74">
        <f t="shared" si="44"/>
        <v>0.47466910086718395</v>
      </c>
      <c r="DF26" s="74">
        <f t="shared" si="44"/>
        <v>4.8805815160955349E-2</v>
      </c>
      <c r="DG26" s="74">
        <f t="shared" si="44"/>
        <v>0.47962247962247961</v>
      </c>
      <c r="DH26" s="74">
        <f t="shared" si="44"/>
        <v>0.48613678373382624</v>
      </c>
      <c r="DI26" s="74">
        <f t="shared" si="44"/>
        <v>0.48232611174458379</v>
      </c>
      <c r="DJ26" s="74">
        <f t="shared" si="44"/>
        <v>0.50786308973172989</v>
      </c>
      <c r="DK26" s="266">
        <v>55701</v>
      </c>
      <c r="DL26" s="266">
        <v>50113</v>
      </c>
      <c r="DM26" s="267">
        <v>15356</v>
      </c>
      <c r="DN26" s="268">
        <v>51890</v>
      </c>
      <c r="DO26" s="268">
        <v>47215</v>
      </c>
      <c r="DP26" s="268">
        <v>17304</v>
      </c>
      <c r="DQ26" s="268">
        <v>50943</v>
      </c>
      <c r="DR26" s="268">
        <f>SUM(Data[[#This Row],[Fall 18 All Enroll]:[Fall 20 All Enroll]])</f>
        <v>288522</v>
      </c>
      <c r="DS26" s="266">
        <v>53316</v>
      </c>
      <c r="DT26" s="267">
        <v>47304</v>
      </c>
      <c r="DU26" s="267">
        <v>14777</v>
      </c>
      <c r="DV26" s="268">
        <v>49085</v>
      </c>
      <c r="DW26" s="268">
        <v>44820</v>
      </c>
      <c r="DX26" s="268">
        <v>16708</v>
      </c>
      <c r="DY26" s="268">
        <v>47863</v>
      </c>
      <c r="DZ26" s="268">
        <f>SUM(Data[[#This Row],[Fall 18 Non-eCore Enroll]:[Fall 20 Non-eCore Enroll]])</f>
        <v>273873</v>
      </c>
      <c r="EA26" s="269">
        <v>3527</v>
      </c>
      <c r="EB26" s="268">
        <v>3953</v>
      </c>
      <c r="EC26" s="268">
        <v>221</v>
      </c>
      <c r="ED26" s="268">
        <v>4495</v>
      </c>
      <c r="EE26" s="268">
        <v>4514</v>
      </c>
      <c r="EF26" s="268">
        <v>1097</v>
      </c>
      <c r="EG26" s="268">
        <v>4015</v>
      </c>
      <c r="EH26" s="268">
        <f>SUM(Data[[#This Row],[Fall 18 LC All Enroll]:[Fall 20 LC All Enroll]])</f>
        <v>21822</v>
      </c>
      <c r="EI26" s="89">
        <f t="shared" si="23"/>
        <v>7.5633747166593879E-2</v>
      </c>
      <c r="EJ26" s="252">
        <v>6.3E-2</v>
      </c>
      <c r="EK26" s="252">
        <f t="shared" si="24"/>
        <v>7.8881727296310336E-2</v>
      </c>
      <c r="EL26" s="252">
        <f t="shared" si="24"/>
        <v>1.439176868976296E-2</v>
      </c>
      <c r="EM26" s="252">
        <f t="shared" si="24"/>
        <v>8.662555405665831E-2</v>
      </c>
      <c r="EN26" s="259">
        <f t="shared" si="24"/>
        <v>9.5605210208620145E-2</v>
      </c>
      <c r="EO26" s="259">
        <f t="shared" si="24"/>
        <v>6.3395746648173837E-2</v>
      </c>
      <c r="EP26" s="259">
        <f t="shared" si="24"/>
        <v>7.8813575957442636E-2</v>
      </c>
      <c r="EQ26" s="269">
        <v>6110</v>
      </c>
      <c r="ER26" s="268">
        <v>17208</v>
      </c>
      <c r="ES26" s="268">
        <v>1130</v>
      </c>
      <c r="ET26" s="268">
        <v>19047</v>
      </c>
      <c r="EU26" s="268">
        <v>17213</v>
      </c>
      <c r="EV26" s="268">
        <v>6248</v>
      </c>
      <c r="EW26" s="268">
        <v>21162</v>
      </c>
      <c r="EX26" s="268">
        <f>SUM(Data[[#This Row],[Fall 18 NC All Enroll]:[Fall 20 NC All Enroll]])</f>
        <v>88118</v>
      </c>
      <c r="EY26" s="89">
        <f t="shared" si="25"/>
        <v>0.30541171903702319</v>
      </c>
      <c r="EZ26" s="252">
        <v>0.11</v>
      </c>
      <c r="FA26" s="252">
        <f t="shared" si="26"/>
        <v>0.3433839522678746</v>
      </c>
      <c r="FB26" s="252">
        <f t="shared" si="26"/>
        <v>7.3586871581140925E-2</v>
      </c>
      <c r="FC26" s="252">
        <f t="shared" si="26"/>
        <v>0.36706494507612258</v>
      </c>
      <c r="FD26" s="259">
        <f t="shared" si="26"/>
        <v>0.36456634544106747</v>
      </c>
      <c r="FE26" s="259">
        <f t="shared" si="26"/>
        <v>0.36107258437355527</v>
      </c>
      <c r="FF26" s="259">
        <f t="shared" si="26"/>
        <v>0.41540545315352451</v>
      </c>
      <c r="FG26" s="269">
        <v>9637</v>
      </c>
      <c r="FH26" s="268">
        <v>21161</v>
      </c>
      <c r="FI26" s="268">
        <f t="shared" si="27"/>
        <v>1351</v>
      </c>
      <c r="FJ26" s="268">
        <f t="shared" si="40"/>
        <v>23542</v>
      </c>
      <c r="FK26" s="256">
        <f t="shared" si="40"/>
        <v>21727</v>
      </c>
      <c r="FL26" s="256">
        <f t="shared" si="40"/>
        <v>7345</v>
      </c>
      <c r="FM26" s="256">
        <f t="shared" si="40"/>
        <v>25177</v>
      </c>
      <c r="FN26" s="268">
        <f>SUM(Data[[#This Row],[Fall 18 LC+NC All Enroll]:[Fall 20 LC+NC All Enroll]])</f>
        <v>109940</v>
      </c>
      <c r="FO26" s="89">
        <f t="shared" si="28"/>
        <v>0.38104546620361707</v>
      </c>
      <c r="FP26" s="252">
        <v>0.17299999999999999</v>
      </c>
      <c r="FQ26" s="75">
        <f t="shared" si="29"/>
        <v>0.42226567956418493</v>
      </c>
      <c r="FR26" s="75">
        <f t="shared" si="29"/>
        <v>8.797864027090388E-2</v>
      </c>
      <c r="FS26" s="75">
        <f t="shared" si="29"/>
        <v>0.45369049913278087</v>
      </c>
      <c r="FT26" s="260">
        <f t="shared" si="29"/>
        <v>0.46017155564968759</v>
      </c>
      <c r="FU26" s="260">
        <f t="shared" si="29"/>
        <v>0.4244683310217291</v>
      </c>
      <c r="FV26" s="260">
        <f t="shared" si="29"/>
        <v>0.49421902911096716</v>
      </c>
      <c r="FW26" s="269">
        <v>3527</v>
      </c>
      <c r="FX26" s="268">
        <v>3953</v>
      </c>
      <c r="FY26" s="268">
        <v>221</v>
      </c>
      <c r="FZ26" s="268">
        <v>4495</v>
      </c>
      <c r="GA26" s="268">
        <v>4514</v>
      </c>
      <c r="GB26" s="268">
        <v>1097</v>
      </c>
      <c r="GC26" s="268">
        <v>4015</v>
      </c>
      <c r="GD26" s="268">
        <f>SUM(Data[[#This Row],[Fall 18 LC Non-eCore Enroll]:[Fall 20 LC Non-eCore Enroll]])</f>
        <v>21822</v>
      </c>
      <c r="GE26" s="89">
        <f t="shared" si="30"/>
        <v>7.9679267397662415E-2</v>
      </c>
      <c r="GF26" s="252">
        <v>6.6000000000000003E-2</v>
      </c>
      <c r="GG26" s="252">
        <f t="shared" si="31"/>
        <v>8.3565871807880943E-2</v>
      </c>
      <c r="GH26" s="252">
        <f t="shared" si="31"/>
        <v>1.4955674358800838E-2</v>
      </c>
      <c r="GI26" s="252">
        <f t="shared" si="31"/>
        <v>9.1575837832331669E-2</v>
      </c>
      <c r="GJ26" s="259">
        <f t="shared" si="31"/>
        <v>0.10071396697902722</v>
      </c>
      <c r="GK26" s="259">
        <f t="shared" si="31"/>
        <v>6.5657170217859703E-2</v>
      </c>
      <c r="GL26" s="259">
        <f t="shared" si="31"/>
        <v>8.3885255834360573E-2</v>
      </c>
      <c r="GM26" s="269">
        <v>3745</v>
      </c>
      <c r="GN26" s="268">
        <v>14399</v>
      </c>
      <c r="GO26" s="268">
        <v>551</v>
      </c>
      <c r="GP26" s="268">
        <v>16242</v>
      </c>
      <c r="GQ26" s="268">
        <v>14818</v>
      </c>
      <c r="GR26" s="268">
        <v>5652</v>
      </c>
      <c r="GS26" s="268">
        <v>18082</v>
      </c>
      <c r="GT26" s="268">
        <f>SUM(Data[[#This Row],[Fall 18 NC Non-eCore Enroll]:[Fall 20 NC Non-eCore Enroll]])</f>
        <v>73489</v>
      </c>
      <c r="GU26" s="89">
        <f t="shared" si="32"/>
        <v>0.26833240224483612</v>
      </c>
      <c r="GV26" s="252">
        <v>7.0000000000000007E-2</v>
      </c>
      <c r="GW26" s="252">
        <f t="shared" si="45"/>
        <v>0.3043928631828175</v>
      </c>
      <c r="GX26" s="252">
        <f t="shared" si="45"/>
        <v>3.7287676795019285E-2</v>
      </c>
      <c r="GY26" s="252">
        <f t="shared" si="45"/>
        <v>0.33089538555566872</v>
      </c>
      <c r="GZ26" s="259">
        <f t="shared" si="45"/>
        <v>0.33061133422579203</v>
      </c>
      <c r="HA26" s="259">
        <f t="shared" si="45"/>
        <v>0.33828106296384963</v>
      </c>
      <c r="HB26" s="259">
        <f t="shared" si="45"/>
        <v>0.37778659925203184</v>
      </c>
      <c r="HC26" s="269">
        <v>7272</v>
      </c>
      <c r="HD26" s="268">
        <v>18352</v>
      </c>
      <c r="HE26" s="269">
        <f t="shared" si="41"/>
        <v>772</v>
      </c>
      <c r="HF26" s="269">
        <f t="shared" si="41"/>
        <v>20737</v>
      </c>
      <c r="HG26" s="257">
        <f t="shared" si="41"/>
        <v>19332</v>
      </c>
      <c r="HH26" s="257">
        <f t="shared" si="41"/>
        <v>6749</v>
      </c>
      <c r="HI26" s="257">
        <f t="shared" si="41"/>
        <v>22097</v>
      </c>
      <c r="HJ26" s="269">
        <f>SUM(Data[[#This Row],[Fall 18 LC+NC Non-eCore Enroll]:[Fall 20 LC+NC Non-eCore Enroll]])</f>
        <v>95311</v>
      </c>
      <c r="HK26" s="91">
        <f t="shared" si="34"/>
        <v>0.34801166964249852</v>
      </c>
      <c r="HL26" s="268">
        <v>46044</v>
      </c>
      <c r="HM26" s="268">
        <v>28952</v>
      </c>
      <c r="HN26" s="268">
        <v>14005</v>
      </c>
      <c r="HO26" s="82">
        <v>28348</v>
      </c>
      <c r="HP26" s="82">
        <v>25488</v>
      </c>
      <c r="HQ26" s="82">
        <v>9959</v>
      </c>
      <c r="HR26" s="82">
        <v>25766</v>
      </c>
      <c r="HS26" s="256">
        <f>SUM(Data[[#This Row],[Fall 18 Non-eCore None Enroll]:[Fall 20 Non-eCore None Enroll]])</f>
        <v>178562</v>
      </c>
      <c r="HT26" s="89">
        <f t="shared" si="35"/>
        <v>0.65198833035750148</v>
      </c>
      <c r="HU26" s="252">
        <v>0.13600000000000001</v>
      </c>
      <c r="HV26" s="252">
        <f t="shared" si="46"/>
        <v>0.38795873499069844</v>
      </c>
      <c r="HW26" s="252">
        <f t="shared" si="46"/>
        <v>5.2243351153820124E-2</v>
      </c>
      <c r="HX26" s="252">
        <f t="shared" si="46"/>
        <v>0.42247122338800042</v>
      </c>
      <c r="HY26" s="259">
        <f t="shared" si="46"/>
        <v>0.43132530120481927</v>
      </c>
      <c r="HZ26" s="259">
        <f t="shared" si="46"/>
        <v>0.40393823318170935</v>
      </c>
      <c r="IA26" s="259">
        <f t="shared" si="46"/>
        <v>0.46167185508639241</v>
      </c>
    </row>
    <row r="27" spans="1:235" x14ac:dyDescent="0.25">
      <c r="A27" s="80" t="s">
        <v>179</v>
      </c>
      <c r="B27" s="79" t="s">
        <v>2293</v>
      </c>
      <c r="C27" s="280">
        <f>Data[[#This Row],[Spring 20 No eCore Low-Cost Sections]]+Data[[#This Row],[Summer 20 No eCore Low-Cost Sections]]+Data[[#This Row],[Fall 20 No eCore Low-Cost Sections]]</f>
        <v>306</v>
      </c>
      <c r="D27" s="281">
        <f>Data[[#This Row],[2020 LC Total]]/(Data[[#This Row],[Spring 20 All Sections]]+Data[[#This Row],[Summer 20 All Sections]]+Data[[#This Row],[Fall 20 All Sections]])</f>
        <v>4.8788265306122451E-2</v>
      </c>
      <c r="E27" s="280">
        <f>Data[[#This Row],[Spring 20 No eCore No-Cost Sections]]+Data[[#This Row],[Summer 20 No eCore No-Cost Sections]]+Data[[#This Row],[Fall 20 No eCore No-Cost Sections]]</f>
        <v>300</v>
      </c>
      <c r="F27" s="281">
        <f>Data[[#This Row],[2020 NC Total]]/(Data[[#This Row],[Spring 20 All Sections]]+Data[[#This Row],[Summer 20 All Sections]]+Data[[#This Row],[Fall 20 All Sections]])</f>
        <v>4.7831632653061222E-2</v>
      </c>
      <c r="G27" s="280">
        <f>Data[[#This Row],[2020 LC Total]]+Data[[#This Row],[2020 NC Total]]</f>
        <v>606</v>
      </c>
      <c r="H27" s="281">
        <f>Data[[#This Row],[2020 NC+LC Total]]/(Data[[#This Row],[Spring 20 All Sections]]+Data[[#This Row],[Summer 20 All Sections]]+Data[[#This Row],[Fall 20 All Sections]])</f>
        <v>9.6619897959183673E-2</v>
      </c>
      <c r="I27" s="271">
        <v>2643</v>
      </c>
      <c r="J27" s="272">
        <v>2550</v>
      </c>
      <c r="K27" s="273">
        <v>1197</v>
      </c>
      <c r="L27" s="83">
        <v>2635</v>
      </c>
      <c r="M27" s="83">
        <v>2543</v>
      </c>
      <c r="N27" s="83">
        <v>1062</v>
      </c>
      <c r="O27" s="83">
        <v>2667</v>
      </c>
      <c r="P27" s="82">
        <f>SUM(Data[[#This Row],[Fall 18 All Sections]:[Fall 20 All Sections]])</f>
        <v>15297</v>
      </c>
      <c r="Q27" s="271">
        <v>266</v>
      </c>
      <c r="R27" s="272">
        <v>247</v>
      </c>
      <c r="S27" s="272">
        <v>86</v>
      </c>
      <c r="T27" s="83">
        <v>264</v>
      </c>
      <c r="U27" s="83">
        <v>259</v>
      </c>
      <c r="V27" s="82">
        <v>72</v>
      </c>
      <c r="W27" s="83">
        <v>322</v>
      </c>
      <c r="X27" s="271">
        <v>2377</v>
      </c>
      <c r="Y27" s="272">
        <v>2303</v>
      </c>
      <c r="Z27" s="86">
        <v>1111</v>
      </c>
      <c r="AA27" s="83">
        <v>2371</v>
      </c>
      <c r="AB27" s="83">
        <v>2284</v>
      </c>
      <c r="AC27" s="83">
        <v>990</v>
      </c>
      <c r="AD27" s="83">
        <v>2345</v>
      </c>
      <c r="AE27" s="271">
        <v>76</v>
      </c>
      <c r="AF27" s="83">
        <v>43</v>
      </c>
      <c r="AG27" s="83">
        <v>16</v>
      </c>
      <c r="AH27" s="83">
        <v>63</v>
      </c>
      <c r="AI27" s="83">
        <v>180</v>
      </c>
      <c r="AJ27" s="83">
        <v>49</v>
      </c>
      <c r="AK27" s="83">
        <v>77</v>
      </c>
      <c r="AL27" s="271">
        <v>268</v>
      </c>
      <c r="AM27" s="83">
        <v>276</v>
      </c>
      <c r="AN27" s="83">
        <v>103</v>
      </c>
      <c r="AO27" s="83">
        <v>272</v>
      </c>
      <c r="AP27" s="83">
        <v>500</v>
      </c>
      <c r="AQ27" s="83">
        <v>110</v>
      </c>
      <c r="AR27" s="83">
        <v>343</v>
      </c>
      <c r="AS27" s="271">
        <v>344</v>
      </c>
      <c r="AT27" s="83">
        <v>319</v>
      </c>
      <c r="AU27" s="83">
        <f t="shared" si="0"/>
        <v>119</v>
      </c>
      <c r="AV27" s="83">
        <f t="shared" si="0"/>
        <v>335</v>
      </c>
      <c r="AW27" s="82">
        <f t="shared" si="0"/>
        <v>680</v>
      </c>
      <c r="AX27" s="83">
        <f t="shared" si="0"/>
        <v>159</v>
      </c>
      <c r="AY27" s="82">
        <f t="shared" si="0"/>
        <v>420</v>
      </c>
      <c r="AZ27" s="271">
        <v>76</v>
      </c>
      <c r="BA27" s="83">
        <v>43</v>
      </c>
      <c r="BB27" s="83">
        <v>16</v>
      </c>
      <c r="BC27" s="83">
        <v>63</v>
      </c>
      <c r="BD27" s="83">
        <v>180</v>
      </c>
      <c r="BE27" s="83">
        <v>49</v>
      </c>
      <c r="BF27" s="83">
        <v>77</v>
      </c>
      <c r="BG27" s="271">
        <v>4</v>
      </c>
      <c r="BH27" s="83">
        <v>29</v>
      </c>
      <c r="BI27" s="83">
        <v>17</v>
      </c>
      <c r="BJ27" s="83">
        <v>11</v>
      </c>
      <c r="BK27" s="83">
        <v>241</v>
      </c>
      <c r="BL27" s="83">
        <v>38</v>
      </c>
      <c r="BM27" s="83">
        <v>21</v>
      </c>
      <c r="BN27" s="271">
        <v>80</v>
      </c>
      <c r="BO27" s="83">
        <v>72</v>
      </c>
      <c r="BP27" s="87">
        <f t="shared" si="1"/>
        <v>33</v>
      </c>
      <c r="BQ27" s="87">
        <f t="shared" si="37"/>
        <v>74</v>
      </c>
      <c r="BR27" s="85">
        <f t="shared" si="38"/>
        <v>421</v>
      </c>
      <c r="BS27" s="85">
        <f t="shared" si="39"/>
        <v>87</v>
      </c>
      <c r="BT27" s="85">
        <f t="shared" si="39"/>
        <v>98</v>
      </c>
      <c r="BU27" s="274">
        <v>2.9000000000000001E-2</v>
      </c>
      <c r="BV27" s="274">
        <f t="shared" si="2"/>
        <v>1.6862745098039214E-2</v>
      </c>
      <c r="BW27" s="274">
        <f t="shared" si="3"/>
        <v>1.3366750208855471E-2</v>
      </c>
      <c r="BX27" s="274">
        <f t="shared" si="4"/>
        <v>2.3908918406072108E-2</v>
      </c>
      <c r="BY27" s="252">
        <f t="shared" si="5"/>
        <v>7.0782540306724345E-2</v>
      </c>
      <c r="BZ27" s="252">
        <f t="shared" si="6"/>
        <v>4.6139359698681735E-2</v>
      </c>
      <c r="CA27" s="252">
        <f t="shared" si="7"/>
        <v>2.8871391076115485E-2</v>
      </c>
      <c r="CB27" s="274">
        <v>0.10100000000000001</v>
      </c>
      <c r="CC27" s="274">
        <f t="shared" si="8"/>
        <v>0.10823529411764705</v>
      </c>
      <c r="CD27" s="274">
        <f t="shared" si="9"/>
        <v>8.6048454469507096E-2</v>
      </c>
      <c r="CE27" s="274">
        <f t="shared" si="10"/>
        <v>0.1032258064516129</v>
      </c>
      <c r="CF27" s="252">
        <f t="shared" si="11"/>
        <v>0.19661816751867872</v>
      </c>
      <c r="CG27" s="252">
        <f t="shared" si="12"/>
        <v>0.10357815442561205</v>
      </c>
      <c r="CH27" s="252">
        <f t="shared" si="13"/>
        <v>0.12860892388451445</v>
      </c>
      <c r="CI27" s="275">
        <v>0.13</v>
      </c>
      <c r="CJ27" s="275">
        <f t="shared" si="14"/>
        <v>0.12509803921568627</v>
      </c>
      <c r="CK27" s="275">
        <f t="shared" si="15"/>
        <v>9.9415204678362568E-2</v>
      </c>
      <c r="CL27" s="275">
        <f t="shared" si="16"/>
        <v>0.12713472485768501</v>
      </c>
      <c r="CM27" s="253">
        <f t="shared" si="17"/>
        <v>0.26740070782540309</v>
      </c>
      <c r="CN27" s="253">
        <f t="shared" si="18"/>
        <v>0.14971751412429379</v>
      </c>
      <c r="CO27" s="253">
        <f t="shared" si="19"/>
        <v>0.15748031496062992</v>
      </c>
      <c r="CP27" s="275">
        <v>3.2000000000000001E-2</v>
      </c>
      <c r="CQ27" s="275">
        <f t="shared" si="42"/>
        <v>1.8671298306556665E-2</v>
      </c>
      <c r="CR27" s="275">
        <f t="shared" si="42"/>
        <v>1.4401440144014401E-2</v>
      </c>
      <c r="CS27" s="275">
        <f t="shared" si="42"/>
        <v>2.6571067060312106E-2</v>
      </c>
      <c r="CT27" s="253">
        <f t="shared" si="42"/>
        <v>7.8809106830122586E-2</v>
      </c>
      <c r="CU27" s="253">
        <f t="shared" si="42"/>
        <v>4.9494949494949494E-2</v>
      </c>
      <c r="CV27" s="253">
        <f t="shared" si="42"/>
        <v>3.2835820895522387E-2</v>
      </c>
      <c r="CW27" s="275">
        <v>2E-3</v>
      </c>
      <c r="CX27" s="275">
        <f t="shared" si="43"/>
        <v>1.2592270950933565E-2</v>
      </c>
      <c r="CY27" s="275">
        <f t="shared" si="43"/>
        <v>1.5301530153015301E-2</v>
      </c>
      <c r="CZ27" s="275">
        <f t="shared" si="43"/>
        <v>4.6393926613243356E-3</v>
      </c>
      <c r="DA27" s="253">
        <f t="shared" si="43"/>
        <v>0.10551663747810858</v>
      </c>
      <c r="DB27" s="253">
        <f t="shared" si="43"/>
        <v>3.8383838383838381E-2</v>
      </c>
      <c r="DC27" s="253">
        <f t="shared" si="43"/>
        <v>8.9552238805970154E-3</v>
      </c>
      <c r="DD27" s="275">
        <v>3.4000000000000002E-2</v>
      </c>
      <c r="DE27" s="76">
        <f t="shared" si="44"/>
        <v>3.1263569257490229E-2</v>
      </c>
      <c r="DF27" s="76">
        <f t="shared" si="44"/>
        <v>2.9702970297029702E-2</v>
      </c>
      <c r="DG27" s="76">
        <f t="shared" si="44"/>
        <v>3.1210459721636441E-2</v>
      </c>
      <c r="DH27" s="74">
        <f t="shared" si="44"/>
        <v>0.18432574430823118</v>
      </c>
      <c r="DI27" s="74">
        <f t="shared" si="44"/>
        <v>8.7878787878787876E-2</v>
      </c>
      <c r="DJ27" s="74">
        <f t="shared" si="44"/>
        <v>4.1791044776119404E-2</v>
      </c>
      <c r="DK27" s="276">
        <v>46222</v>
      </c>
      <c r="DL27" s="276">
        <v>41739</v>
      </c>
      <c r="DM27" s="277">
        <v>14245</v>
      </c>
      <c r="DN27" s="278">
        <v>44801</v>
      </c>
      <c r="DO27" s="278">
        <v>40367</v>
      </c>
      <c r="DP27" s="278">
        <v>13861</v>
      </c>
      <c r="DQ27" s="278">
        <v>48003</v>
      </c>
      <c r="DR27" s="278">
        <f>SUM(Data[[#This Row],[Fall 18 All Enroll]:[Fall 20 All Enroll]])</f>
        <v>249238</v>
      </c>
      <c r="DS27" s="276">
        <v>45174</v>
      </c>
      <c r="DT27" s="277">
        <v>40708</v>
      </c>
      <c r="DU27" s="277">
        <v>13970</v>
      </c>
      <c r="DV27" s="278">
        <v>43661</v>
      </c>
      <c r="DW27" s="278">
        <v>39254</v>
      </c>
      <c r="DX27" s="278">
        <v>13640</v>
      </c>
      <c r="DY27" s="278">
        <v>46431</v>
      </c>
      <c r="DZ27" s="278">
        <f>SUM(Data[[#This Row],[Fall 18 Non-eCore Enroll]:[Fall 20 Non-eCore Enroll]])</f>
        <v>242838</v>
      </c>
      <c r="EA27" s="279">
        <v>2343</v>
      </c>
      <c r="EB27" s="278">
        <v>1159</v>
      </c>
      <c r="EC27" s="278">
        <v>358</v>
      </c>
      <c r="ED27" s="278">
        <v>2202</v>
      </c>
      <c r="EE27" s="278">
        <v>3629</v>
      </c>
      <c r="EF27" s="278">
        <v>816</v>
      </c>
      <c r="EG27" s="278">
        <v>2126</v>
      </c>
      <c r="EH27" s="278">
        <f>SUM(Data[[#This Row],[Fall 18 LC All Enroll]:[Fall 20 LC All Enroll]])</f>
        <v>12633</v>
      </c>
      <c r="EI27" s="90">
        <f t="shared" si="23"/>
        <v>5.0686492428923362E-2</v>
      </c>
      <c r="EJ27" s="274">
        <v>5.0999999999999997E-2</v>
      </c>
      <c r="EK27" s="274">
        <f t="shared" si="24"/>
        <v>2.7767795107693043E-2</v>
      </c>
      <c r="EL27" s="274">
        <f t="shared" si="24"/>
        <v>2.5131625131625132E-2</v>
      </c>
      <c r="EM27" s="274">
        <f t="shared" si="24"/>
        <v>4.9150688600700876E-2</v>
      </c>
      <c r="EN27" s="259">
        <f t="shared" si="24"/>
        <v>8.9900165977159566E-2</v>
      </c>
      <c r="EO27" s="259">
        <f t="shared" si="24"/>
        <v>5.8870211384459997E-2</v>
      </c>
      <c r="EP27" s="259">
        <f t="shared" si="24"/>
        <v>4.4288898610503509E-2</v>
      </c>
      <c r="EQ27" s="279">
        <v>1196</v>
      </c>
      <c r="ER27" s="278">
        <v>1796</v>
      </c>
      <c r="ES27" s="278">
        <v>583</v>
      </c>
      <c r="ET27" s="278">
        <v>1343</v>
      </c>
      <c r="EU27" s="278">
        <v>3835</v>
      </c>
      <c r="EV27" s="278">
        <v>865</v>
      </c>
      <c r="EW27" s="278">
        <v>1957</v>
      </c>
      <c r="EX27" s="278">
        <f>SUM(Data[[#This Row],[Fall 18 NC All Enroll]:[Fall 20 NC All Enroll]])</f>
        <v>11575</v>
      </c>
      <c r="EY27" s="90">
        <f t="shared" si="25"/>
        <v>4.6441553856153554E-2</v>
      </c>
      <c r="EZ27" s="274">
        <v>2.5999999999999999E-2</v>
      </c>
      <c r="FA27" s="274">
        <f t="shared" si="26"/>
        <v>4.3029301133232709E-2</v>
      </c>
      <c r="FB27" s="274">
        <f t="shared" si="26"/>
        <v>4.0926640926640924E-2</v>
      </c>
      <c r="FC27" s="274">
        <f t="shared" si="26"/>
        <v>2.9977009441753532E-2</v>
      </c>
      <c r="FD27" s="259">
        <f t="shared" si="26"/>
        <v>9.50033443159016E-2</v>
      </c>
      <c r="FE27" s="259">
        <f t="shared" si="26"/>
        <v>6.2405309862203301E-2</v>
      </c>
      <c r="FF27" s="259">
        <f t="shared" si="26"/>
        <v>4.0768285315501113E-2</v>
      </c>
      <c r="FG27" s="279">
        <v>3539</v>
      </c>
      <c r="FH27" s="278">
        <v>2955</v>
      </c>
      <c r="FI27" s="278">
        <f t="shared" si="27"/>
        <v>941</v>
      </c>
      <c r="FJ27" s="278">
        <f t="shared" si="40"/>
        <v>3545</v>
      </c>
      <c r="FK27" s="256">
        <f t="shared" si="40"/>
        <v>7464</v>
      </c>
      <c r="FL27" s="256">
        <f t="shared" si="40"/>
        <v>1681</v>
      </c>
      <c r="FM27" s="256">
        <f t="shared" si="40"/>
        <v>4083</v>
      </c>
      <c r="FN27" s="278">
        <f>SUM(Data[[#This Row],[Fall 18 LC+NC All Enroll]:[Fall 20 LC+NC All Enroll]])</f>
        <v>24208</v>
      </c>
      <c r="FO27" s="90">
        <f t="shared" si="28"/>
        <v>9.7128046285076916E-2</v>
      </c>
      <c r="FP27" s="274">
        <v>7.6999999999999999E-2</v>
      </c>
      <c r="FQ27" s="77">
        <f t="shared" si="29"/>
        <v>7.0797096240925755E-2</v>
      </c>
      <c r="FR27" s="77">
        <f t="shared" si="29"/>
        <v>6.6058266058266063E-2</v>
      </c>
      <c r="FS27" s="77">
        <f t="shared" si="29"/>
        <v>7.9127698042454411E-2</v>
      </c>
      <c r="FT27" s="260">
        <f t="shared" si="29"/>
        <v>0.18490351029306115</v>
      </c>
      <c r="FU27" s="260">
        <f t="shared" si="29"/>
        <v>0.1212755212466633</v>
      </c>
      <c r="FV27" s="260">
        <f t="shared" si="29"/>
        <v>8.5057183926004629E-2</v>
      </c>
      <c r="FW27" s="279">
        <v>2343</v>
      </c>
      <c r="FX27" s="278">
        <v>1159</v>
      </c>
      <c r="FY27" s="278">
        <v>358</v>
      </c>
      <c r="FZ27" s="278">
        <v>2202</v>
      </c>
      <c r="GA27" s="278">
        <v>3629</v>
      </c>
      <c r="GB27" s="278">
        <v>816</v>
      </c>
      <c r="GC27" s="278">
        <v>2126</v>
      </c>
      <c r="GD27" s="278">
        <f>SUM(Data[[#This Row],[Fall 18 LC Non-eCore Enroll]:[Fall 20 LC Non-eCore Enroll]])</f>
        <v>12633</v>
      </c>
      <c r="GE27" s="90">
        <f t="shared" si="30"/>
        <v>5.2022335878239817E-2</v>
      </c>
      <c r="GF27" s="274">
        <v>5.1999999999999998E-2</v>
      </c>
      <c r="GG27" s="274">
        <f t="shared" si="31"/>
        <v>2.8471062199076348E-2</v>
      </c>
      <c r="GH27" s="274">
        <f t="shared" si="31"/>
        <v>2.5626342161775232E-2</v>
      </c>
      <c r="GI27" s="274">
        <f t="shared" si="31"/>
        <v>5.0434025789606284E-2</v>
      </c>
      <c r="GJ27" s="259">
        <f t="shared" si="31"/>
        <v>9.244917715392062E-2</v>
      </c>
      <c r="GK27" s="259">
        <f t="shared" si="31"/>
        <v>5.9824046920821113E-2</v>
      </c>
      <c r="GL27" s="259">
        <f t="shared" si="31"/>
        <v>4.57883741465831E-2</v>
      </c>
      <c r="GM27" s="279">
        <v>156</v>
      </c>
      <c r="GN27" s="278">
        <v>765</v>
      </c>
      <c r="GO27" s="278">
        <v>308</v>
      </c>
      <c r="GP27" s="278">
        <v>210</v>
      </c>
      <c r="GQ27" s="278">
        <v>2722</v>
      </c>
      <c r="GR27" s="278">
        <v>644</v>
      </c>
      <c r="GS27" s="278">
        <v>385</v>
      </c>
      <c r="GT27" s="278">
        <f>SUM(Data[[#This Row],[Fall 18 NC Non-eCore Enroll]:[Fall 20 NC Non-eCore Enroll]])</f>
        <v>5190</v>
      </c>
      <c r="GU27" s="90">
        <f t="shared" si="32"/>
        <v>2.1372272873273541E-2</v>
      </c>
      <c r="GV27" s="274">
        <v>3.0000000000000001E-3</v>
      </c>
      <c r="GW27" s="274">
        <f t="shared" si="45"/>
        <v>1.8792374963152204E-2</v>
      </c>
      <c r="GX27" s="274">
        <f t="shared" si="45"/>
        <v>2.2047244094488189E-2</v>
      </c>
      <c r="GY27" s="274">
        <f t="shared" si="45"/>
        <v>4.8097844758480104E-3</v>
      </c>
      <c r="GZ27" s="259">
        <f t="shared" si="45"/>
        <v>6.9343251643144643E-2</v>
      </c>
      <c r="HA27" s="259">
        <f t="shared" si="45"/>
        <v>4.7214076246334308E-2</v>
      </c>
      <c r="HB27" s="259">
        <f t="shared" si="45"/>
        <v>8.291873963515755E-3</v>
      </c>
      <c r="HC27" s="279">
        <v>2499</v>
      </c>
      <c r="HD27" s="278">
        <v>1924</v>
      </c>
      <c r="HE27" s="279">
        <f t="shared" si="41"/>
        <v>666</v>
      </c>
      <c r="HF27" s="279">
        <f t="shared" si="41"/>
        <v>2412</v>
      </c>
      <c r="HG27" s="257">
        <f t="shared" si="41"/>
        <v>6351</v>
      </c>
      <c r="HH27" s="257">
        <f t="shared" si="41"/>
        <v>1460</v>
      </c>
      <c r="HI27" s="257">
        <f t="shared" si="41"/>
        <v>2511</v>
      </c>
      <c r="HJ27" s="279">
        <f>SUM(Data[[#This Row],[Fall 18 LC+NC Non-eCore Enroll]:[Fall 20 LC+NC Non-eCore Enroll]])</f>
        <v>17823</v>
      </c>
      <c r="HK27" s="92">
        <f t="shared" si="34"/>
        <v>7.3394608751513352E-2</v>
      </c>
      <c r="HL27" s="278">
        <v>42675</v>
      </c>
      <c r="HM27" s="278">
        <v>38784</v>
      </c>
      <c r="HN27" s="278">
        <v>13304</v>
      </c>
      <c r="HO27" s="83">
        <v>41249</v>
      </c>
      <c r="HP27" s="83">
        <v>32903</v>
      </c>
      <c r="HQ27" s="83">
        <v>12180</v>
      </c>
      <c r="HR27" s="83">
        <v>43920</v>
      </c>
      <c r="HS27" s="256">
        <f>SUM(Data[[#This Row],[Fall 18 Non-eCore None Enroll]:[Fall 20 Non-eCore None Enroll]])</f>
        <v>225015</v>
      </c>
      <c r="HT27" s="90">
        <f t="shared" si="35"/>
        <v>0.92660539124848662</v>
      </c>
      <c r="HU27" s="274">
        <v>5.5E-2</v>
      </c>
      <c r="HV27" s="274">
        <f t="shared" si="46"/>
        <v>4.7263437162228555E-2</v>
      </c>
      <c r="HW27" s="274">
        <f t="shared" si="46"/>
        <v>4.7673586256263424E-2</v>
      </c>
      <c r="HX27" s="274">
        <f t="shared" si="46"/>
        <v>5.5243810265454295E-2</v>
      </c>
      <c r="HY27" s="259">
        <f t="shared" si="46"/>
        <v>0.16179242879706526</v>
      </c>
      <c r="HZ27" s="259">
        <f t="shared" si="46"/>
        <v>0.10703812316715543</v>
      </c>
      <c r="IA27" s="259">
        <f t="shared" si="46"/>
        <v>5.4080248110098858E-2</v>
      </c>
    </row>
  </sheetData>
  <phoneticPr fontId="24" type="noConversion"/>
  <pageMargins left="0.7" right="0.7" top="0.75" bottom="0.75" header="0.3" footer="0.3"/>
  <pageSetup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34"/>
  <sheetViews>
    <sheetView topLeftCell="K1" workbookViewId="0">
      <selection activeCell="Q21" sqref="Q21"/>
    </sheetView>
  </sheetViews>
  <sheetFormatPr defaultRowHeight="15" x14ac:dyDescent="0.25"/>
  <cols>
    <col min="1" max="2" width="17" customWidth="1"/>
    <col min="3" max="3" width="25" customWidth="1"/>
    <col min="4" max="4" width="18.28515625" customWidth="1"/>
    <col min="5" max="5" width="18" customWidth="1"/>
    <col min="6" max="6" width="17" customWidth="1"/>
    <col min="7" max="7" width="18.28515625" customWidth="1"/>
    <col min="8" max="8" width="17" customWidth="1"/>
    <col min="9" max="9" width="18" customWidth="1"/>
    <col min="10" max="10" width="18.28515625" customWidth="1"/>
    <col min="11" max="11" width="26" customWidth="1"/>
    <col min="12" max="12" width="21.5703125" customWidth="1"/>
    <col min="13" max="13" width="24.140625" customWidth="1"/>
    <col min="14" max="14" width="20.140625" customWidth="1"/>
    <col min="15" max="23" width="17" customWidth="1"/>
    <col min="24" max="24" width="17" style="10" customWidth="1"/>
    <col min="25" max="25" width="17" customWidth="1"/>
    <col min="26" max="26" width="23.42578125" customWidth="1"/>
    <col min="27" max="27" width="16.7109375" customWidth="1"/>
    <col min="28" max="28" width="26.5703125" customWidth="1"/>
    <col min="29" max="29" width="27.85546875" customWidth="1"/>
  </cols>
  <sheetData>
    <row r="1" spans="1:28" ht="18.75" x14ac:dyDescent="0.3">
      <c r="A1" s="15" t="s">
        <v>1702</v>
      </c>
      <c r="J1" s="7" t="s">
        <v>1703</v>
      </c>
    </row>
    <row r="2" spans="1:28" x14ac:dyDescent="0.25">
      <c r="A2" t="s">
        <v>1704</v>
      </c>
      <c r="B2" t="s">
        <v>1705</v>
      </c>
      <c r="C2" t="s">
        <v>1706</v>
      </c>
      <c r="D2" t="s">
        <v>1707</v>
      </c>
      <c r="E2" t="s">
        <v>1708</v>
      </c>
      <c r="F2" t="s">
        <v>1709</v>
      </c>
      <c r="G2" t="s">
        <v>1710</v>
      </c>
      <c r="H2" t="s">
        <v>1711</v>
      </c>
      <c r="I2" t="s">
        <v>1712</v>
      </c>
      <c r="J2" t="s">
        <v>1713</v>
      </c>
      <c r="K2" t="s">
        <v>1714</v>
      </c>
      <c r="L2" t="s">
        <v>1715</v>
      </c>
      <c r="M2" t="s">
        <v>1716</v>
      </c>
      <c r="N2" t="s">
        <v>1717</v>
      </c>
      <c r="O2" t="s">
        <v>1718</v>
      </c>
      <c r="P2" t="s">
        <v>1719</v>
      </c>
      <c r="Q2" t="s">
        <v>1720</v>
      </c>
      <c r="R2" t="s">
        <v>1721</v>
      </c>
      <c r="S2" t="s">
        <v>1722</v>
      </c>
      <c r="T2" t="s">
        <v>1723</v>
      </c>
      <c r="U2" t="s">
        <v>1724</v>
      </c>
      <c r="V2" t="s">
        <v>1725</v>
      </c>
      <c r="W2" t="s">
        <v>1726</v>
      </c>
      <c r="X2" s="10" t="s">
        <v>1727</v>
      </c>
      <c r="Y2" t="s">
        <v>1728</v>
      </c>
      <c r="Z2" t="s">
        <v>1729</v>
      </c>
      <c r="AA2" t="s">
        <v>1730</v>
      </c>
    </row>
    <row r="3" spans="1:28" x14ac:dyDescent="0.25">
      <c r="A3" t="s">
        <v>1107</v>
      </c>
      <c r="B3" s="9">
        <v>45</v>
      </c>
      <c r="C3" t="s">
        <v>1731</v>
      </c>
      <c r="D3" t="s">
        <v>1732</v>
      </c>
      <c r="E3">
        <v>693</v>
      </c>
      <c r="F3" s="9">
        <f>E3*B3</f>
        <v>31185</v>
      </c>
      <c r="G3">
        <v>1248</v>
      </c>
      <c r="H3" s="9">
        <f>G3*B3</f>
        <v>56160</v>
      </c>
      <c r="I3">
        <v>1996</v>
      </c>
      <c r="J3" s="9">
        <f>I3*B3</f>
        <v>89820</v>
      </c>
      <c r="K3">
        <v>392</v>
      </c>
      <c r="L3">
        <v>988</v>
      </c>
      <c r="M3">
        <v>946</v>
      </c>
      <c r="N3">
        <f>SUM(K3:M3)</f>
        <v>2326</v>
      </c>
      <c r="O3" s="9">
        <f>N3*B3</f>
        <v>104670</v>
      </c>
      <c r="P3" s="10">
        <v>428</v>
      </c>
      <c r="Q3" s="10">
        <v>994</v>
      </c>
      <c r="R3" s="10">
        <v>1125</v>
      </c>
      <c r="S3" s="10">
        <f t="shared" ref="S3:S32" si="0">SUM(P3:R3)</f>
        <v>2547</v>
      </c>
      <c r="T3" s="9">
        <v>114615</v>
      </c>
      <c r="U3" s="10">
        <v>500</v>
      </c>
      <c r="V3" s="10">
        <v>1264</v>
      </c>
      <c r="W3" s="10">
        <v>1300</v>
      </c>
      <c r="X3" s="10">
        <v>3064</v>
      </c>
      <c r="Y3" s="9">
        <v>137880</v>
      </c>
      <c r="Z3" s="9">
        <v>534330</v>
      </c>
      <c r="AA3" s="10">
        <v>11874</v>
      </c>
      <c r="AB3" s="9"/>
    </row>
    <row r="4" spans="1:28" x14ac:dyDescent="0.25">
      <c r="A4" t="s">
        <v>1688</v>
      </c>
      <c r="B4" s="9">
        <v>111</v>
      </c>
      <c r="C4" t="s">
        <v>1733</v>
      </c>
      <c r="D4" t="s">
        <v>1734</v>
      </c>
      <c r="E4">
        <v>310</v>
      </c>
      <c r="F4" s="9">
        <f t="shared" ref="F4:F31" si="1">E4*B4</f>
        <v>34410</v>
      </c>
      <c r="G4">
        <v>595</v>
      </c>
      <c r="H4" s="9">
        <f t="shared" ref="H4:H31" si="2">G4*B4</f>
        <v>66045</v>
      </c>
      <c r="I4">
        <v>741</v>
      </c>
      <c r="J4" s="9">
        <f t="shared" ref="J4:J31" si="3">I4*B4</f>
        <v>82251</v>
      </c>
      <c r="K4">
        <v>153</v>
      </c>
      <c r="L4">
        <v>359</v>
      </c>
      <c r="M4">
        <v>383</v>
      </c>
      <c r="N4">
        <f t="shared" ref="N4:N31" si="4">SUM(K4:M4)</f>
        <v>895</v>
      </c>
      <c r="O4" s="9">
        <f t="shared" ref="O4:O31" si="5">N4*B4</f>
        <v>99345</v>
      </c>
      <c r="P4" s="10">
        <v>176</v>
      </c>
      <c r="Q4" s="10">
        <v>349</v>
      </c>
      <c r="R4" s="10">
        <v>404</v>
      </c>
      <c r="S4" s="10">
        <f t="shared" si="0"/>
        <v>929</v>
      </c>
      <c r="T4" s="9">
        <v>103119</v>
      </c>
      <c r="U4" s="10">
        <v>237</v>
      </c>
      <c r="V4" s="10">
        <v>379</v>
      </c>
      <c r="W4" s="10">
        <v>452</v>
      </c>
      <c r="X4" s="10">
        <v>1068</v>
      </c>
      <c r="Y4" s="9">
        <v>118548</v>
      </c>
      <c r="Z4" s="9">
        <v>503718</v>
      </c>
      <c r="AA4" s="10">
        <v>4538</v>
      </c>
      <c r="AB4" s="9"/>
    </row>
    <row r="5" spans="1:28" x14ac:dyDescent="0.25">
      <c r="A5" t="s">
        <v>1735</v>
      </c>
      <c r="B5" s="9">
        <v>177</v>
      </c>
      <c r="C5" t="s">
        <v>1733</v>
      </c>
      <c r="D5" t="s">
        <v>1734</v>
      </c>
      <c r="E5">
        <v>157</v>
      </c>
      <c r="F5" s="9">
        <f t="shared" si="1"/>
        <v>27789</v>
      </c>
      <c r="G5">
        <v>346</v>
      </c>
      <c r="H5" s="9">
        <f t="shared" si="2"/>
        <v>61242</v>
      </c>
      <c r="I5">
        <v>420</v>
      </c>
      <c r="J5" s="9">
        <f t="shared" si="3"/>
        <v>74340</v>
      </c>
      <c r="K5">
        <v>99</v>
      </c>
      <c r="L5">
        <v>187</v>
      </c>
      <c r="M5">
        <v>180</v>
      </c>
      <c r="N5">
        <f t="shared" si="4"/>
        <v>466</v>
      </c>
      <c r="O5" s="9">
        <f t="shared" si="5"/>
        <v>82482</v>
      </c>
      <c r="P5" s="10">
        <v>106</v>
      </c>
      <c r="Q5" s="10">
        <v>150</v>
      </c>
      <c r="R5" s="10">
        <v>198</v>
      </c>
      <c r="S5" s="10">
        <f t="shared" si="0"/>
        <v>454</v>
      </c>
      <c r="T5" s="9">
        <v>80358</v>
      </c>
      <c r="U5" s="10">
        <v>126</v>
      </c>
      <c r="V5" s="10">
        <v>204</v>
      </c>
      <c r="W5" s="10">
        <v>207</v>
      </c>
      <c r="X5" s="10">
        <v>537</v>
      </c>
      <c r="Y5" s="9">
        <v>95049</v>
      </c>
      <c r="Z5" s="9">
        <v>421260</v>
      </c>
      <c r="AA5" s="10">
        <v>2380</v>
      </c>
      <c r="AB5" s="9"/>
    </row>
    <row r="6" spans="1:28" x14ac:dyDescent="0.25">
      <c r="A6" t="s">
        <v>328</v>
      </c>
      <c r="B6" s="9">
        <v>84</v>
      </c>
      <c r="C6" t="s">
        <v>1736</v>
      </c>
      <c r="D6" t="s">
        <v>1734</v>
      </c>
      <c r="E6">
        <v>172</v>
      </c>
      <c r="F6" s="9">
        <f t="shared" si="1"/>
        <v>14448</v>
      </c>
      <c r="G6">
        <v>591</v>
      </c>
      <c r="H6" s="9">
        <f t="shared" si="2"/>
        <v>49644</v>
      </c>
      <c r="I6">
        <v>980</v>
      </c>
      <c r="J6" s="9">
        <f t="shared" si="3"/>
        <v>82320</v>
      </c>
      <c r="K6">
        <v>175</v>
      </c>
      <c r="L6">
        <v>491</v>
      </c>
      <c r="M6">
        <v>398</v>
      </c>
      <c r="N6">
        <f t="shared" si="4"/>
        <v>1064</v>
      </c>
      <c r="O6" s="9">
        <f t="shared" si="5"/>
        <v>89376</v>
      </c>
      <c r="P6" s="10">
        <v>214</v>
      </c>
      <c r="Q6" s="10">
        <v>656</v>
      </c>
      <c r="R6" s="10">
        <v>514</v>
      </c>
      <c r="S6" s="10">
        <f t="shared" si="0"/>
        <v>1384</v>
      </c>
      <c r="T6" s="9">
        <v>116256</v>
      </c>
      <c r="U6" s="10">
        <v>236</v>
      </c>
      <c r="V6" s="10">
        <v>705</v>
      </c>
      <c r="W6" s="10">
        <v>558</v>
      </c>
      <c r="X6" s="10">
        <v>1499</v>
      </c>
      <c r="Y6" s="9">
        <v>125916</v>
      </c>
      <c r="Z6" s="9">
        <v>477960</v>
      </c>
      <c r="AA6" s="10">
        <v>5690</v>
      </c>
      <c r="AB6" s="9"/>
    </row>
    <row r="7" spans="1:28" x14ac:dyDescent="0.25">
      <c r="A7" t="s">
        <v>1737</v>
      </c>
      <c r="B7" s="9">
        <v>86</v>
      </c>
      <c r="C7" t="s">
        <v>1736</v>
      </c>
      <c r="D7" t="s">
        <v>1738</v>
      </c>
      <c r="E7">
        <v>385</v>
      </c>
      <c r="F7" s="9">
        <f t="shared" si="1"/>
        <v>33110</v>
      </c>
      <c r="G7">
        <v>1079</v>
      </c>
      <c r="H7" s="9">
        <f t="shared" si="2"/>
        <v>92794</v>
      </c>
      <c r="I7">
        <v>1674</v>
      </c>
      <c r="J7" s="9">
        <f t="shared" si="3"/>
        <v>143964</v>
      </c>
      <c r="K7">
        <v>303</v>
      </c>
      <c r="L7">
        <v>747</v>
      </c>
      <c r="M7">
        <v>754</v>
      </c>
      <c r="N7">
        <f t="shared" si="4"/>
        <v>1804</v>
      </c>
      <c r="O7" s="9">
        <f t="shared" si="5"/>
        <v>155144</v>
      </c>
      <c r="P7" s="10">
        <v>338</v>
      </c>
      <c r="Q7" s="10">
        <v>757</v>
      </c>
      <c r="R7" s="10">
        <v>964</v>
      </c>
      <c r="S7" s="10">
        <f t="shared" si="0"/>
        <v>2059</v>
      </c>
      <c r="T7" s="9">
        <v>177074</v>
      </c>
      <c r="U7" s="10">
        <v>415</v>
      </c>
      <c r="V7" s="10">
        <v>1008</v>
      </c>
      <c r="W7" s="10">
        <v>1054</v>
      </c>
      <c r="X7" s="10">
        <v>2477</v>
      </c>
      <c r="Y7" s="9">
        <v>213022</v>
      </c>
      <c r="Z7" s="9">
        <v>815108</v>
      </c>
      <c r="AA7" s="10">
        <v>9478</v>
      </c>
    </row>
    <row r="8" spans="1:28" x14ac:dyDescent="0.25">
      <c r="A8" t="s">
        <v>849</v>
      </c>
      <c r="B8" s="9">
        <v>231</v>
      </c>
      <c r="C8" t="s">
        <v>1736</v>
      </c>
      <c r="D8" t="s">
        <v>1734</v>
      </c>
      <c r="E8">
        <v>87</v>
      </c>
      <c r="F8" s="9">
        <f t="shared" si="1"/>
        <v>20097</v>
      </c>
      <c r="G8">
        <v>291</v>
      </c>
      <c r="H8" s="9">
        <f t="shared" si="2"/>
        <v>67221</v>
      </c>
      <c r="I8">
        <v>422</v>
      </c>
      <c r="J8" s="9">
        <f t="shared" si="3"/>
        <v>97482</v>
      </c>
      <c r="K8">
        <v>80</v>
      </c>
      <c r="L8">
        <v>207</v>
      </c>
      <c r="M8">
        <v>166</v>
      </c>
      <c r="N8">
        <f t="shared" si="4"/>
        <v>453</v>
      </c>
      <c r="O8" s="9">
        <f t="shared" si="5"/>
        <v>104643</v>
      </c>
      <c r="P8" s="10">
        <v>94</v>
      </c>
      <c r="Q8" s="10">
        <v>206</v>
      </c>
      <c r="R8" s="10">
        <v>163</v>
      </c>
      <c r="S8" s="10">
        <f t="shared" si="0"/>
        <v>463</v>
      </c>
      <c r="T8" s="9">
        <v>106953</v>
      </c>
      <c r="U8" s="10">
        <v>129</v>
      </c>
      <c r="V8" s="10">
        <v>255</v>
      </c>
      <c r="W8" s="10">
        <v>234</v>
      </c>
      <c r="X8" s="10">
        <v>618</v>
      </c>
      <c r="Y8" s="9">
        <v>142758</v>
      </c>
      <c r="Z8" s="9">
        <v>539154</v>
      </c>
      <c r="AA8" s="10">
        <v>2334</v>
      </c>
    </row>
    <row r="9" spans="1:28" x14ac:dyDescent="0.25">
      <c r="A9" t="s">
        <v>1739</v>
      </c>
      <c r="B9" s="9">
        <v>158</v>
      </c>
      <c r="C9" t="s">
        <v>1736</v>
      </c>
      <c r="D9" t="s">
        <v>1734</v>
      </c>
      <c r="E9">
        <v>38</v>
      </c>
      <c r="F9" s="9">
        <f t="shared" si="1"/>
        <v>6004</v>
      </c>
      <c r="G9">
        <v>89</v>
      </c>
      <c r="H9" s="9">
        <f t="shared" si="2"/>
        <v>14062</v>
      </c>
      <c r="I9">
        <v>145</v>
      </c>
      <c r="J9" s="9">
        <f t="shared" si="3"/>
        <v>22910</v>
      </c>
      <c r="K9">
        <v>0</v>
      </c>
      <c r="L9">
        <v>98</v>
      </c>
      <c r="M9">
        <v>68</v>
      </c>
      <c r="N9">
        <f t="shared" si="4"/>
        <v>166</v>
      </c>
      <c r="O9" s="9">
        <f t="shared" si="5"/>
        <v>26228</v>
      </c>
      <c r="P9" s="10">
        <v>0</v>
      </c>
      <c r="Q9" s="10">
        <v>91</v>
      </c>
      <c r="R9" s="10">
        <v>109</v>
      </c>
      <c r="S9" s="10">
        <f t="shared" si="0"/>
        <v>200</v>
      </c>
      <c r="T9" s="9">
        <v>31600</v>
      </c>
      <c r="U9" s="10">
        <v>0</v>
      </c>
      <c r="V9" s="10">
        <v>167</v>
      </c>
      <c r="W9" s="10">
        <v>142</v>
      </c>
      <c r="X9" s="10">
        <v>309</v>
      </c>
      <c r="Y9" s="9">
        <v>48822</v>
      </c>
      <c r="Z9" s="9">
        <v>149626</v>
      </c>
      <c r="AA9" s="10">
        <v>947</v>
      </c>
    </row>
    <row r="10" spans="1:28" x14ac:dyDescent="0.25">
      <c r="A10" t="s">
        <v>310</v>
      </c>
      <c r="B10" s="9">
        <v>190</v>
      </c>
      <c r="C10" t="s">
        <v>1740</v>
      </c>
      <c r="D10" t="s">
        <v>1734</v>
      </c>
      <c r="F10" s="9">
        <f t="shared" si="1"/>
        <v>0</v>
      </c>
      <c r="G10">
        <v>715</v>
      </c>
      <c r="H10" s="9">
        <f t="shared" si="2"/>
        <v>135850</v>
      </c>
      <c r="I10">
        <v>1123</v>
      </c>
      <c r="J10" s="9">
        <f t="shared" si="3"/>
        <v>213370</v>
      </c>
      <c r="K10">
        <v>193</v>
      </c>
      <c r="L10">
        <v>496</v>
      </c>
      <c r="M10">
        <v>471</v>
      </c>
      <c r="N10">
        <f t="shared" si="4"/>
        <v>1160</v>
      </c>
      <c r="O10" s="9">
        <f t="shared" si="5"/>
        <v>220400</v>
      </c>
      <c r="P10" s="10">
        <v>205</v>
      </c>
      <c r="Q10" s="10">
        <v>568</v>
      </c>
      <c r="R10" s="10">
        <v>461</v>
      </c>
      <c r="S10" s="10">
        <f t="shared" si="0"/>
        <v>1234</v>
      </c>
      <c r="T10" s="9">
        <v>234460</v>
      </c>
      <c r="U10" s="10">
        <v>301</v>
      </c>
      <c r="V10" s="10">
        <v>630</v>
      </c>
      <c r="W10" s="10">
        <v>630</v>
      </c>
      <c r="X10" s="10">
        <v>1561</v>
      </c>
      <c r="Y10" s="9">
        <v>296590</v>
      </c>
      <c r="Z10" s="9">
        <v>1100670</v>
      </c>
      <c r="AA10" s="10">
        <v>5793</v>
      </c>
    </row>
    <row r="11" spans="1:28" x14ac:dyDescent="0.25">
      <c r="A11" t="s">
        <v>373</v>
      </c>
      <c r="B11" s="9">
        <v>155</v>
      </c>
      <c r="C11" t="s">
        <v>1740</v>
      </c>
      <c r="D11" t="s">
        <v>1734</v>
      </c>
      <c r="F11" s="9">
        <f t="shared" si="1"/>
        <v>0</v>
      </c>
      <c r="G11">
        <v>661</v>
      </c>
      <c r="H11" s="9">
        <f t="shared" si="2"/>
        <v>102455</v>
      </c>
      <c r="I11">
        <v>896</v>
      </c>
      <c r="J11" s="9">
        <f t="shared" si="3"/>
        <v>138880</v>
      </c>
      <c r="K11">
        <v>246</v>
      </c>
      <c r="L11">
        <v>433</v>
      </c>
      <c r="M11">
        <v>414</v>
      </c>
      <c r="N11">
        <f t="shared" si="4"/>
        <v>1093</v>
      </c>
      <c r="O11" s="9">
        <f t="shared" si="5"/>
        <v>169415</v>
      </c>
      <c r="P11" s="10">
        <v>252</v>
      </c>
      <c r="Q11" s="10">
        <v>402</v>
      </c>
      <c r="R11" s="10">
        <v>467</v>
      </c>
      <c r="S11" s="10">
        <f t="shared" si="0"/>
        <v>1121</v>
      </c>
      <c r="T11" s="9">
        <v>173755</v>
      </c>
      <c r="U11" s="10">
        <v>225</v>
      </c>
      <c r="V11" s="10">
        <v>386</v>
      </c>
      <c r="W11" s="10">
        <v>422</v>
      </c>
      <c r="X11" s="10">
        <v>1033</v>
      </c>
      <c r="Y11" s="9">
        <v>160115</v>
      </c>
      <c r="Z11" s="9">
        <v>744620</v>
      </c>
      <c r="AA11" s="10">
        <v>4804</v>
      </c>
    </row>
    <row r="12" spans="1:28" x14ac:dyDescent="0.25">
      <c r="A12" t="s">
        <v>123</v>
      </c>
      <c r="B12" s="9">
        <v>79</v>
      </c>
      <c r="C12" t="s">
        <v>1740</v>
      </c>
      <c r="D12" t="s">
        <v>1734</v>
      </c>
      <c r="F12" s="9">
        <f t="shared" si="1"/>
        <v>0</v>
      </c>
      <c r="G12">
        <v>993</v>
      </c>
      <c r="H12" s="9">
        <f t="shared" si="2"/>
        <v>78447</v>
      </c>
      <c r="I12">
        <v>1927</v>
      </c>
      <c r="J12" s="9">
        <f t="shared" si="3"/>
        <v>152233</v>
      </c>
      <c r="K12">
        <v>392</v>
      </c>
      <c r="L12">
        <v>888</v>
      </c>
      <c r="M12">
        <v>840</v>
      </c>
      <c r="N12">
        <f t="shared" si="4"/>
        <v>2120</v>
      </c>
      <c r="O12" s="9">
        <f t="shared" si="5"/>
        <v>167480</v>
      </c>
      <c r="P12" s="10">
        <v>391</v>
      </c>
      <c r="Q12" s="10">
        <v>998</v>
      </c>
      <c r="R12" s="10">
        <v>1091</v>
      </c>
      <c r="S12" s="10">
        <f t="shared" si="0"/>
        <v>2480</v>
      </c>
      <c r="T12" s="9">
        <v>195920</v>
      </c>
      <c r="U12" s="10">
        <v>390</v>
      </c>
      <c r="V12" s="10">
        <v>1277</v>
      </c>
      <c r="W12" s="10">
        <v>1266</v>
      </c>
      <c r="X12" s="10">
        <v>2933</v>
      </c>
      <c r="Y12" s="9">
        <v>231707</v>
      </c>
      <c r="Z12" s="9">
        <v>825787</v>
      </c>
      <c r="AA12" s="10">
        <v>10453</v>
      </c>
    </row>
    <row r="13" spans="1:28" x14ac:dyDescent="0.25">
      <c r="A13" t="s">
        <v>878</v>
      </c>
      <c r="B13" s="9">
        <v>86</v>
      </c>
      <c r="C13" t="s">
        <v>1741</v>
      </c>
      <c r="D13" t="s">
        <v>1738</v>
      </c>
      <c r="F13" s="9">
        <f t="shared" si="1"/>
        <v>0</v>
      </c>
      <c r="G13">
        <v>148</v>
      </c>
      <c r="H13" s="9">
        <f t="shared" si="2"/>
        <v>12728</v>
      </c>
      <c r="I13">
        <v>485</v>
      </c>
      <c r="J13" s="9">
        <f t="shared" si="3"/>
        <v>41710</v>
      </c>
      <c r="K13">
        <v>86</v>
      </c>
      <c r="L13">
        <v>195</v>
      </c>
      <c r="M13">
        <v>177</v>
      </c>
      <c r="N13">
        <f t="shared" si="4"/>
        <v>458</v>
      </c>
      <c r="O13" s="9">
        <f t="shared" si="5"/>
        <v>39388</v>
      </c>
      <c r="P13" s="10">
        <v>100</v>
      </c>
      <c r="Q13" s="10">
        <v>180</v>
      </c>
      <c r="R13" s="10">
        <v>198</v>
      </c>
      <c r="S13" s="10">
        <f t="shared" si="0"/>
        <v>478</v>
      </c>
      <c r="T13" s="9">
        <v>41108</v>
      </c>
      <c r="U13" s="10">
        <v>89</v>
      </c>
      <c r="V13" s="10">
        <v>205</v>
      </c>
      <c r="W13" s="10">
        <v>196</v>
      </c>
      <c r="X13" s="10">
        <v>490</v>
      </c>
      <c r="Y13" s="9">
        <v>0</v>
      </c>
      <c r="Z13" s="9">
        <v>0</v>
      </c>
      <c r="AA13" s="10">
        <v>2059</v>
      </c>
    </row>
    <row r="14" spans="1:28" x14ac:dyDescent="0.25">
      <c r="A14" t="s">
        <v>1742</v>
      </c>
      <c r="B14" s="9">
        <v>65</v>
      </c>
      <c r="C14" t="s">
        <v>1741</v>
      </c>
      <c r="D14" t="s">
        <v>1738</v>
      </c>
      <c r="F14" s="9">
        <f t="shared" si="1"/>
        <v>0</v>
      </c>
      <c r="G14">
        <v>207</v>
      </c>
      <c r="H14" s="9">
        <f t="shared" si="2"/>
        <v>13455</v>
      </c>
      <c r="I14">
        <v>649</v>
      </c>
      <c r="J14" s="9">
        <f t="shared" si="3"/>
        <v>42185</v>
      </c>
      <c r="K14">
        <v>139</v>
      </c>
      <c r="L14">
        <v>284</v>
      </c>
      <c r="M14">
        <v>268</v>
      </c>
      <c r="N14">
        <f t="shared" si="4"/>
        <v>691</v>
      </c>
      <c r="O14" s="9">
        <f t="shared" si="5"/>
        <v>44915</v>
      </c>
      <c r="P14" s="10">
        <v>166</v>
      </c>
      <c r="Q14" s="10">
        <v>359</v>
      </c>
      <c r="R14" s="10">
        <v>276</v>
      </c>
      <c r="S14" s="10">
        <f t="shared" si="0"/>
        <v>801</v>
      </c>
      <c r="T14" s="9">
        <v>52065</v>
      </c>
      <c r="U14" s="10">
        <v>164</v>
      </c>
      <c r="V14" s="10">
        <v>373</v>
      </c>
      <c r="W14" s="10">
        <v>327</v>
      </c>
      <c r="X14" s="10">
        <v>864</v>
      </c>
      <c r="Y14" s="9">
        <v>0</v>
      </c>
      <c r="Z14" s="9">
        <v>0</v>
      </c>
      <c r="AA14" s="10">
        <v>3212</v>
      </c>
    </row>
    <row r="15" spans="1:28" x14ac:dyDescent="0.25">
      <c r="A15" t="s">
        <v>1743</v>
      </c>
      <c r="B15" s="9">
        <v>91</v>
      </c>
      <c r="C15" t="s">
        <v>1741</v>
      </c>
      <c r="D15" t="s">
        <v>1738</v>
      </c>
      <c r="F15" s="9">
        <f t="shared" si="1"/>
        <v>0</v>
      </c>
      <c r="G15">
        <v>57</v>
      </c>
      <c r="H15" s="9">
        <f t="shared" si="2"/>
        <v>5187</v>
      </c>
      <c r="I15">
        <v>117</v>
      </c>
      <c r="J15" s="9">
        <f t="shared" si="3"/>
        <v>10647</v>
      </c>
      <c r="K15">
        <v>22</v>
      </c>
      <c r="L15">
        <v>56</v>
      </c>
      <c r="M15">
        <v>50</v>
      </c>
      <c r="N15">
        <f t="shared" si="4"/>
        <v>128</v>
      </c>
      <c r="O15" s="9">
        <f t="shared" si="5"/>
        <v>11648</v>
      </c>
      <c r="P15" s="10">
        <v>15</v>
      </c>
      <c r="Q15" s="10">
        <v>51</v>
      </c>
      <c r="R15" s="10">
        <v>43</v>
      </c>
      <c r="S15" s="10">
        <f t="shared" si="0"/>
        <v>109</v>
      </c>
      <c r="T15" s="9">
        <v>9919</v>
      </c>
      <c r="U15" s="10">
        <v>15</v>
      </c>
      <c r="V15" s="10">
        <v>49</v>
      </c>
      <c r="W15" s="10">
        <v>62</v>
      </c>
      <c r="X15" s="10">
        <v>126</v>
      </c>
      <c r="Y15" s="9">
        <v>11466</v>
      </c>
      <c r="Z15" s="9">
        <v>48867</v>
      </c>
      <c r="AA15" s="10">
        <v>537</v>
      </c>
    </row>
    <row r="16" spans="1:28" x14ac:dyDescent="0.25">
      <c r="A16" t="s">
        <v>455</v>
      </c>
      <c r="B16" s="9">
        <v>149</v>
      </c>
      <c r="C16" t="s">
        <v>1741</v>
      </c>
      <c r="D16" t="s">
        <v>1738</v>
      </c>
      <c r="F16" s="9">
        <f t="shared" si="1"/>
        <v>0</v>
      </c>
      <c r="G16">
        <v>707</v>
      </c>
      <c r="H16" s="9">
        <f t="shared" si="2"/>
        <v>105343</v>
      </c>
      <c r="I16">
        <v>1296</v>
      </c>
      <c r="J16" s="9">
        <f t="shared" si="3"/>
        <v>193104</v>
      </c>
      <c r="K16">
        <v>284</v>
      </c>
      <c r="L16">
        <v>584</v>
      </c>
      <c r="M16">
        <v>609</v>
      </c>
      <c r="N16">
        <f t="shared" si="4"/>
        <v>1477</v>
      </c>
      <c r="O16" s="9">
        <f t="shared" si="5"/>
        <v>220073</v>
      </c>
      <c r="P16" s="10">
        <v>262</v>
      </c>
      <c r="Q16" s="10">
        <v>583</v>
      </c>
      <c r="R16" s="10">
        <v>778</v>
      </c>
      <c r="S16" s="10">
        <f t="shared" si="0"/>
        <v>1623</v>
      </c>
      <c r="T16" s="9">
        <v>241827</v>
      </c>
      <c r="U16" s="10">
        <v>309</v>
      </c>
      <c r="V16" s="10">
        <v>735</v>
      </c>
      <c r="W16" s="10">
        <v>897</v>
      </c>
      <c r="X16" s="10">
        <v>1941</v>
      </c>
      <c r="Y16" s="9">
        <v>289209</v>
      </c>
      <c r="Z16" s="9">
        <v>1049556</v>
      </c>
      <c r="AA16" s="10">
        <v>7044</v>
      </c>
    </row>
    <row r="17" spans="1:27" x14ac:dyDescent="0.25">
      <c r="A17" t="s">
        <v>1744</v>
      </c>
      <c r="B17" s="9">
        <v>145</v>
      </c>
      <c r="C17" t="s">
        <v>128</v>
      </c>
      <c r="D17" t="s">
        <v>1738</v>
      </c>
      <c r="F17" s="9">
        <f t="shared" si="1"/>
        <v>0</v>
      </c>
      <c r="G17">
        <v>303</v>
      </c>
      <c r="H17" s="9">
        <f t="shared" si="2"/>
        <v>43935</v>
      </c>
      <c r="I17">
        <v>957</v>
      </c>
      <c r="J17" s="9">
        <f t="shared" si="3"/>
        <v>138765</v>
      </c>
      <c r="K17">
        <v>179</v>
      </c>
      <c r="L17">
        <v>477</v>
      </c>
      <c r="M17">
        <v>526</v>
      </c>
      <c r="N17">
        <f t="shared" si="4"/>
        <v>1182</v>
      </c>
      <c r="O17" s="9">
        <f t="shared" si="5"/>
        <v>171390</v>
      </c>
      <c r="P17" s="10">
        <v>162</v>
      </c>
      <c r="Q17" s="10">
        <v>550</v>
      </c>
      <c r="R17" s="10">
        <v>595</v>
      </c>
      <c r="S17" s="10">
        <f t="shared" si="0"/>
        <v>1307</v>
      </c>
      <c r="T17" s="9">
        <v>189515</v>
      </c>
      <c r="U17" s="10">
        <v>231</v>
      </c>
      <c r="V17" s="10">
        <v>585</v>
      </c>
      <c r="W17" s="10">
        <v>653</v>
      </c>
      <c r="X17" s="10">
        <v>1469</v>
      </c>
      <c r="Y17" s="9">
        <v>213005</v>
      </c>
      <c r="Z17" s="9">
        <v>756610</v>
      </c>
      <c r="AA17" s="10">
        <v>5218</v>
      </c>
    </row>
    <row r="18" spans="1:27" x14ac:dyDescent="0.25">
      <c r="A18" t="s">
        <v>1011</v>
      </c>
      <c r="B18" s="9">
        <v>76</v>
      </c>
      <c r="C18" t="s">
        <v>128</v>
      </c>
      <c r="D18" t="s">
        <v>1738</v>
      </c>
      <c r="F18" s="9">
        <f t="shared" si="1"/>
        <v>0</v>
      </c>
      <c r="G18">
        <v>330</v>
      </c>
      <c r="H18" s="9">
        <f t="shared" si="2"/>
        <v>25080</v>
      </c>
      <c r="I18">
        <v>1131</v>
      </c>
      <c r="J18" s="9">
        <f t="shared" si="3"/>
        <v>85956</v>
      </c>
      <c r="K18">
        <v>170</v>
      </c>
      <c r="L18">
        <v>488</v>
      </c>
      <c r="M18">
        <v>497</v>
      </c>
      <c r="N18">
        <f t="shared" si="4"/>
        <v>1155</v>
      </c>
      <c r="O18" s="9">
        <f t="shared" si="5"/>
        <v>87780</v>
      </c>
      <c r="P18" s="10">
        <v>164</v>
      </c>
      <c r="Q18" s="10">
        <v>459</v>
      </c>
      <c r="R18" s="10">
        <v>533</v>
      </c>
      <c r="S18" s="10">
        <f t="shared" si="0"/>
        <v>1156</v>
      </c>
      <c r="T18" s="9">
        <v>87856</v>
      </c>
      <c r="U18" s="10">
        <v>223</v>
      </c>
      <c r="V18" s="10">
        <v>620</v>
      </c>
      <c r="W18" s="10">
        <v>694</v>
      </c>
      <c r="X18" s="10">
        <v>1537</v>
      </c>
      <c r="Y18" s="9">
        <v>116812</v>
      </c>
      <c r="Z18" s="9">
        <v>403484</v>
      </c>
      <c r="AA18" s="10">
        <v>5309</v>
      </c>
    </row>
    <row r="19" spans="1:27" x14ac:dyDescent="0.25">
      <c r="A19" t="s">
        <v>205</v>
      </c>
      <c r="B19" s="9">
        <v>155</v>
      </c>
      <c r="C19" t="s">
        <v>368</v>
      </c>
      <c r="D19" t="s">
        <v>1738</v>
      </c>
      <c r="F19" s="9">
        <f t="shared" si="1"/>
        <v>0</v>
      </c>
      <c r="H19" s="9">
        <f t="shared" si="2"/>
        <v>0</v>
      </c>
      <c r="I19">
        <v>1267</v>
      </c>
      <c r="J19" s="9">
        <f t="shared" si="3"/>
        <v>196385</v>
      </c>
      <c r="K19">
        <v>222</v>
      </c>
      <c r="L19">
        <v>622</v>
      </c>
      <c r="M19">
        <v>581</v>
      </c>
      <c r="N19">
        <f t="shared" si="4"/>
        <v>1425</v>
      </c>
      <c r="O19" s="9">
        <f t="shared" si="5"/>
        <v>220875</v>
      </c>
      <c r="P19" s="10">
        <v>278</v>
      </c>
      <c r="Q19" s="10">
        <v>695</v>
      </c>
      <c r="R19" s="10">
        <v>761</v>
      </c>
      <c r="S19" s="10">
        <f t="shared" si="0"/>
        <v>1734</v>
      </c>
      <c r="T19" s="9">
        <v>268770</v>
      </c>
      <c r="U19" s="10">
        <v>317</v>
      </c>
      <c r="V19" s="10">
        <v>793</v>
      </c>
      <c r="W19" s="10">
        <v>947</v>
      </c>
      <c r="X19" s="10">
        <v>2057</v>
      </c>
      <c r="Y19" s="9">
        <v>318835</v>
      </c>
      <c r="Z19" s="9">
        <v>1004865</v>
      </c>
      <c r="AA19" s="10">
        <v>6483</v>
      </c>
    </row>
    <row r="20" spans="1:27" x14ac:dyDescent="0.25">
      <c r="A20" t="s">
        <v>1745</v>
      </c>
      <c r="B20" s="9">
        <v>170</v>
      </c>
      <c r="C20" t="s">
        <v>208</v>
      </c>
      <c r="D20" t="s">
        <v>1738</v>
      </c>
      <c r="F20" s="9">
        <f t="shared" si="1"/>
        <v>0</v>
      </c>
      <c r="H20" s="9">
        <f t="shared" si="2"/>
        <v>0</v>
      </c>
      <c r="I20">
        <v>403</v>
      </c>
      <c r="J20" s="9">
        <f t="shared" si="3"/>
        <v>68510</v>
      </c>
      <c r="K20">
        <v>0</v>
      </c>
      <c r="L20">
        <v>213</v>
      </c>
      <c r="M20">
        <v>202</v>
      </c>
      <c r="N20">
        <f t="shared" si="4"/>
        <v>415</v>
      </c>
      <c r="O20" s="9">
        <f t="shared" si="5"/>
        <v>70550</v>
      </c>
      <c r="P20" s="10">
        <v>0</v>
      </c>
      <c r="Q20" s="10">
        <v>200</v>
      </c>
      <c r="R20" s="10">
        <v>207</v>
      </c>
      <c r="S20" s="10">
        <f t="shared" si="0"/>
        <v>407</v>
      </c>
      <c r="T20" s="9">
        <v>69190</v>
      </c>
      <c r="U20" s="10">
        <v>0</v>
      </c>
      <c r="V20" s="10">
        <v>265</v>
      </c>
      <c r="W20" s="10">
        <v>301</v>
      </c>
      <c r="X20" s="10">
        <v>566</v>
      </c>
      <c r="Y20" s="9">
        <v>96220</v>
      </c>
      <c r="Z20" s="9">
        <v>304470</v>
      </c>
      <c r="AA20" s="10">
        <v>1791</v>
      </c>
    </row>
    <row r="21" spans="1:27" x14ac:dyDescent="0.25">
      <c r="A21" t="s">
        <v>1746</v>
      </c>
      <c r="B21" s="9">
        <v>170</v>
      </c>
      <c r="C21" t="s">
        <v>208</v>
      </c>
      <c r="D21" t="s">
        <v>1738</v>
      </c>
      <c r="F21" s="9">
        <f t="shared" si="1"/>
        <v>0</v>
      </c>
      <c r="H21" s="9">
        <f t="shared" si="2"/>
        <v>0</v>
      </c>
      <c r="I21">
        <v>205</v>
      </c>
      <c r="J21" s="9">
        <f t="shared" si="3"/>
        <v>34850</v>
      </c>
      <c r="K21">
        <v>0</v>
      </c>
      <c r="L21">
        <v>113</v>
      </c>
      <c r="M21">
        <v>135</v>
      </c>
      <c r="N21">
        <f t="shared" si="4"/>
        <v>248</v>
      </c>
      <c r="O21" s="9">
        <f t="shared" si="5"/>
        <v>42160</v>
      </c>
      <c r="P21" s="10">
        <v>0</v>
      </c>
      <c r="Q21" s="10">
        <v>107</v>
      </c>
      <c r="R21" s="10">
        <v>135</v>
      </c>
      <c r="S21" s="10">
        <f t="shared" si="0"/>
        <v>242</v>
      </c>
      <c r="T21" s="9">
        <v>41140</v>
      </c>
      <c r="U21" s="10">
        <v>0</v>
      </c>
      <c r="V21" s="10">
        <v>141</v>
      </c>
      <c r="W21" s="10">
        <v>172</v>
      </c>
      <c r="X21" s="10">
        <v>313</v>
      </c>
      <c r="Y21" s="9">
        <v>53210</v>
      </c>
      <c r="Z21" s="9">
        <v>171360</v>
      </c>
      <c r="AA21" s="10">
        <v>1008</v>
      </c>
    </row>
    <row r="22" spans="1:27" x14ac:dyDescent="0.25">
      <c r="A22" t="s">
        <v>1747</v>
      </c>
      <c r="B22" s="9">
        <v>68</v>
      </c>
      <c r="C22" t="s">
        <v>208</v>
      </c>
      <c r="D22" t="s">
        <v>1738</v>
      </c>
      <c r="F22" s="9">
        <f t="shared" si="1"/>
        <v>0</v>
      </c>
      <c r="H22" s="9">
        <f t="shared" si="2"/>
        <v>0</v>
      </c>
      <c r="I22">
        <v>616</v>
      </c>
      <c r="J22" s="9">
        <f t="shared" si="3"/>
        <v>41888</v>
      </c>
      <c r="K22">
        <v>0</v>
      </c>
      <c r="L22">
        <v>372</v>
      </c>
      <c r="M22">
        <v>326</v>
      </c>
      <c r="N22">
        <f t="shared" si="4"/>
        <v>698</v>
      </c>
      <c r="O22" s="9">
        <f t="shared" si="5"/>
        <v>47464</v>
      </c>
      <c r="P22" s="10">
        <v>0</v>
      </c>
      <c r="Q22" s="10">
        <v>372</v>
      </c>
      <c r="R22" s="10">
        <v>379</v>
      </c>
      <c r="S22" s="10">
        <f t="shared" si="0"/>
        <v>751</v>
      </c>
      <c r="T22" s="9">
        <v>51068</v>
      </c>
      <c r="U22" s="10">
        <v>0</v>
      </c>
      <c r="V22" s="10">
        <v>366</v>
      </c>
      <c r="W22" s="10">
        <v>365</v>
      </c>
      <c r="X22" s="10">
        <v>731</v>
      </c>
      <c r="Y22" s="9">
        <v>49708</v>
      </c>
      <c r="Z22" s="9">
        <v>190128</v>
      </c>
      <c r="AA22" s="10">
        <v>2796</v>
      </c>
    </row>
    <row r="23" spans="1:27" x14ac:dyDescent="0.25">
      <c r="A23" t="s">
        <v>247</v>
      </c>
      <c r="B23" s="9">
        <v>107</v>
      </c>
      <c r="C23" t="s">
        <v>194</v>
      </c>
      <c r="D23" t="s">
        <v>1738</v>
      </c>
      <c r="F23" s="9">
        <f t="shared" si="1"/>
        <v>0</v>
      </c>
      <c r="H23" s="9">
        <f t="shared" si="2"/>
        <v>0</v>
      </c>
      <c r="I23">
        <v>495</v>
      </c>
      <c r="J23" s="9">
        <f t="shared" si="3"/>
        <v>52965</v>
      </c>
      <c r="K23">
        <v>191</v>
      </c>
      <c r="L23">
        <v>581</v>
      </c>
      <c r="M23">
        <v>452</v>
      </c>
      <c r="N23">
        <f t="shared" si="4"/>
        <v>1224</v>
      </c>
      <c r="O23" s="9">
        <f t="shared" si="5"/>
        <v>130968</v>
      </c>
      <c r="P23" s="10">
        <v>212</v>
      </c>
      <c r="Q23" s="10">
        <v>564</v>
      </c>
      <c r="R23" s="10">
        <v>500</v>
      </c>
      <c r="S23" s="10">
        <f t="shared" si="0"/>
        <v>1276</v>
      </c>
      <c r="T23" s="9">
        <v>136532</v>
      </c>
      <c r="U23" s="10">
        <v>246</v>
      </c>
      <c r="V23" s="10">
        <v>643</v>
      </c>
      <c r="W23" s="10">
        <v>599</v>
      </c>
      <c r="X23" s="10">
        <v>1488</v>
      </c>
      <c r="Y23" s="9">
        <v>159216</v>
      </c>
      <c r="Z23" s="9">
        <v>479681</v>
      </c>
      <c r="AA23" s="10">
        <v>4483</v>
      </c>
    </row>
    <row r="24" spans="1:27" x14ac:dyDescent="0.25">
      <c r="A24" t="s">
        <v>1748</v>
      </c>
      <c r="B24" s="9">
        <v>166</v>
      </c>
      <c r="C24" t="s">
        <v>537</v>
      </c>
      <c r="D24" t="s">
        <v>1749</v>
      </c>
      <c r="F24" s="9">
        <f t="shared" si="1"/>
        <v>0</v>
      </c>
      <c r="H24" s="9">
        <f t="shared" si="2"/>
        <v>0</v>
      </c>
      <c r="J24" s="9">
        <f t="shared" si="3"/>
        <v>0</v>
      </c>
      <c r="L24">
        <v>694</v>
      </c>
      <c r="M24">
        <v>670</v>
      </c>
      <c r="N24" s="12">
        <v>840</v>
      </c>
      <c r="O24" s="19">
        <v>139440</v>
      </c>
      <c r="P24" s="10">
        <v>255</v>
      </c>
      <c r="Q24" s="10">
        <v>732</v>
      </c>
      <c r="R24" s="10">
        <v>824</v>
      </c>
      <c r="S24" s="10">
        <f t="shared" si="0"/>
        <v>1811</v>
      </c>
      <c r="T24" s="9">
        <v>300626</v>
      </c>
      <c r="U24" s="10">
        <v>307</v>
      </c>
      <c r="V24" s="10">
        <v>836</v>
      </c>
      <c r="W24" s="10">
        <v>807</v>
      </c>
      <c r="X24" s="10">
        <v>1950</v>
      </c>
      <c r="Y24" s="9">
        <v>323700</v>
      </c>
      <c r="Z24" s="9">
        <v>763766</v>
      </c>
      <c r="AA24" s="10">
        <v>4601</v>
      </c>
    </row>
    <row r="25" spans="1:27" x14ac:dyDescent="0.25">
      <c r="A25" t="s">
        <v>1750</v>
      </c>
      <c r="B25" s="9">
        <v>70</v>
      </c>
      <c r="C25" t="s">
        <v>537</v>
      </c>
      <c r="D25" t="s">
        <v>1738</v>
      </c>
      <c r="F25" s="9">
        <f t="shared" si="1"/>
        <v>0</v>
      </c>
      <c r="H25" s="9">
        <f t="shared" si="2"/>
        <v>0</v>
      </c>
      <c r="J25" s="9">
        <f t="shared" si="3"/>
        <v>0</v>
      </c>
      <c r="L25">
        <v>131</v>
      </c>
      <c r="M25">
        <v>122</v>
      </c>
      <c r="N25">
        <f t="shared" si="4"/>
        <v>253</v>
      </c>
      <c r="O25" s="9">
        <f t="shared" si="5"/>
        <v>17710</v>
      </c>
      <c r="P25" s="10">
        <v>98</v>
      </c>
      <c r="Q25" s="10">
        <v>124</v>
      </c>
      <c r="R25" s="10">
        <v>155</v>
      </c>
      <c r="S25" s="10">
        <f t="shared" si="0"/>
        <v>377</v>
      </c>
      <c r="T25" s="9">
        <v>26390</v>
      </c>
      <c r="U25" s="10">
        <v>76</v>
      </c>
      <c r="V25" s="10">
        <v>175</v>
      </c>
      <c r="W25" s="10">
        <v>177</v>
      </c>
      <c r="X25" s="10">
        <v>428</v>
      </c>
      <c r="Y25" s="9">
        <v>29960</v>
      </c>
      <c r="Z25" s="9">
        <v>74060</v>
      </c>
      <c r="AA25" s="10">
        <v>1058</v>
      </c>
    </row>
    <row r="26" spans="1:27" x14ac:dyDescent="0.25">
      <c r="A26" t="s">
        <v>713</v>
      </c>
      <c r="B26" s="9">
        <v>289</v>
      </c>
      <c r="C26" t="s">
        <v>537</v>
      </c>
      <c r="D26" t="s">
        <v>1738</v>
      </c>
      <c r="F26" s="9">
        <f t="shared" si="1"/>
        <v>0</v>
      </c>
      <c r="H26" s="9">
        <f t="shared" si="2"/>
        <v>0</v>
      </c>
      <c r="J26" s="9">
        <f t="shared" si="3"/>
        <v>0</v>
      </c>
      <c r="L26">
        <v>791</v>
      </c>
      <c r="M26">
        <v>712</v>
      </c>
      <c r="N26" s="12">
        <v>957</v>
      </c>
      <c r="O26" s="19">
        <v>276573</v>
      </c>
      <c r="P26" s="10">
        <v>279</v>
      </c>
      <c r="Q26" s="10">
        <v>770</v>
      </c>
      <c r="R26" s="10">
        <v>785</v>
      </c>
      <c r="S26" s="10">
        <f t="shared" si="0"/>
        <v>1834</v>
      </c>
      <c r="T26" s="9">
        <v>530026</v>
      </c>
      <c r="U26" s="10">
        <v>339</v>
      </c>
      <c r="V26" s="10">
        <v>882</v>
      </c>
      <c r="W26" s="10">
        <v>975</v>
      </c>
      <c r="X26" s="10">
        <v>2196</v>
      </c>
      <c r="Y26" s="9">
        <v>634644</v>
      </c>
      <c r="Z26" s="9">
        <v>1441243</v>
      </c>
      <c r="AA26" s="10">
        <v>4987</v>
      </c>
    </row>
    <row r="27" spans="1:27" x14ac:dyDescent="0.25">
      <c r="A27" t="s">
        <v>980</v>
      </c>
      <c r="B27" s="9">
        <v>105</v>
      </c>
      <c r="C27" t="s">
        <v>537</v>
      </c>
      <c r="D27" t="s">
        <v>1749</v>
      </c>
      <c r="F27" s="9">
        <f t="shared" si="1"/>
        <v>0</v>
      </c>
      <c r="H27" s="9">
        <f t="shared" si="2"/>
        <v>0</v>
      </c>
      <c r="J27" s="9">
        <f t="shared" si="3"/>
        <v>0</v>
      </c>
      <c r="L27">
        <v>129</v>
      </c>
      <c r="M27">
        <v>418</v>
      </c>
      <c r="N27">
        <f t="shared" si="4"/>
        <v>547</v>
      </c>
      <c r="O27" s="9">
        <f t="shared" si="5"/>
        <v>57435</v>
      </c>
      <c r="P27" s="10">
        <v>146</v>
      </c>
      <c r="Q27" s="10">
        <v>418</v>
      </c>
      <c r="R27" s="10">
        <v>539</v>
      </c>
      <c r="S27" s="10">
        <f t="shared" si="0"/>
        <v>1103</v>
      </c>
      <c r="T27" s="9">
        <v>115815</v>
      </c>
      <c r="U27" s="10">
        <v>220</v>
      </c>
      <c r="V27" s="10">
        <v>565</v>
      </c>
      <c r="W27" s="10">
        <v>591</v>
      </c>
      <c r="X27" s="10">
        <v>1376</v>
      </c>
      <c r="Y27" s="9">
        <v>0</v>
      </c>
      <c r="Z27" s="9">
        <v>0</v>
      </c>
      <c r="AA27" s="10">
        <v>3026</v>
      </c>
    </row>
    <row r="28" spans="1:27" x14ac:dyDescent="0.25">
      <c r="A28" t="s">
        <v>1751</v>
      </c>
      <c r="B28" s="9">
        <v>269</v>
      </c>
      <c r="C28" t="s">
        <v>635</v>
      </c>
      <c r="D28" t="s">
        <v>1734</v>
      </c>
      <c r="F28" s="9">
        <f t="shared" si="1"/>
        <v>0</v>
      </c>
      <c r="H28" s="9">
        <f t="shared" si="2"/>
        <v>0</v>
      </c>
      <c r="J28" s="9">
        <f t="shared" si="3"/>
        <v>0</v>
      </c>
      <c r="M28">
        <v>149</v>
      </c>
      <c r="N28">
        <f t="shared" si="4"/>
        <v>149</v>
      </c>
      <c r="O28" s="9">
        <f t="shared" si="5"/>
        <v>40081</v>
      </c>
      <c r="P28" s="10">
        <v>0</v>
      </c>
      <c r="Q28" s="10">
        <v>288</v>
      </c>
      <c r="R28" s="10">
        <v>289</v>
      </c>
      <c r="S28" s="10">
        <f t="shared" si="0"/>
        <v>577</v>
      </c>
      <c r="T28" s="9">
        <v>155213</v>
      </c>
      <c r="U28" s="10">
        <v>0</v>
      </c>
      <c r="V28" s="10">
        <v>369</v>
      </c>
      <c r="W28" s="10">
        <v>438</v>
      </c>
      <c r="X28" s="10">
        <v>807</v>
      </c>
      <c r="Y28" s="9">
        <v>0</v>
      </c>
      <c r="Z28" s="9">
        <v>0</v>
      </c>
      <c r="AA28" s="10">
        <v>1533</v>
      </c>
    </row>
    <row r="29" spans="1:27" x14ac:dyDescent="0.25">
      <c r="A29" t="s">
        <v>581</v>
      </c>
      <c r="B29" s="9">
        <v>106</v>
      </c>
      <c r="C29" t="s">
        <v>635</v>
      </c>
      <c r="D29" t="s">
        <v>1749</v>
      </c>
      <c r="F29" s="9">
        <f t="shared" si="1"/>
        <v>0</v>
      </c>
      <c r="H29" s="9">
        <f t="shared" si="2"/>
        <v>0</v>
      </c>
      <c r="J29" s="9">
        <f t="shared" si="3"/>
        <v>0</v>
      </c>
      <c r="M29">
        <v>356</v>
      </c>
      <c r="N29">
        <f t="shared" si="4"/>
        <v>356</v>
      </c>
      <c r="O29" s="9">
        <f t="shared" si="5"/>
        <v>37736</v>
      </c>
      <c r="P29" s="10">
        <v>143</v>
      </c>
      <c r="Q29" s="10">
        <v>427</v>
      </c>
      <c r="R29" s="10">
        <v>493</v>
      </c>
      <c r="S29" s="10">
        <f t="shared" si="0"/>
        <v>1063</v>
      </c>
      <c r="T29" s="9">
        <v>112678</v>
      </c>
      <c r="U29" s="10">
        <v>154</v>
      </c>
      <c r="V29" s="10">
        <v>479</v>
      </c>
      <c r="W29" s="10">
        <v>603</v>
      </c>
      <c r="X29" s="10">
        <v>1236</v>
      </c>
      <c r="Y29" s="9">
        <v>0</v>
      </c>
      <c r="Z29" s="9">
        <v>0</v>
      </c>
      <c r="AA29" s="10">
        <v>2655</v>
      </c>
    </row>
    <row r="30" spans="1:27" x14ac:dyDescent="0.25">
      <c r="A30" t="s">
        <v>1752</v>
      </c>
      <c r="B30" s="9">
        <v>145</v>
      </c>
      <c r="C30" t="s">
        <v>635</v>
      </c>
      <c r="D30" t="s">
        <v>1749</v>
      </c>
      <c r="F30" s="9">
        <f t="shared" si="1"/>
        <v>0</v>
      </c>
      <c r="H30" s="9">
        <f t="shared" si="2"/>
        <v>0</v>
      </c>
      <c r="J30" s="9">
        <f t="shared" si="3"/>
        <v>0</v>
      </c>
      <c r="M30">
        <v>160</v>
      </c>
      <c r="N30">
        <f t="shared" si="4"/>
        <v>160</v>
      </c>
      <c r="O30" s="9">
        <f t="shared" si="5"/>
        <v>23200</v>
      </c>
      <c r="P30" s="10">
        <v>156</v>
      </c>
      <c r="Q30" s="10">
        <v>156</v>
      </c>
      <c r="R30" s="10">
        <v>180</v>
      </c>
      <c r="S30" s="10">
        <f t="shared" si="0"/>
        <v>492</v>
      </c>
      <c r="T30" s="9">
        <v>71340</v>
      </c>
      <c r="U30" s="10">
        <v>127</v>
      </c>
      <c r="V30" s="10">
        <v>193</v>
      </c>
      <c r="W30" s="10">
        <v>187</v>
      </c>
      <c r="X30" s="10">
        <v>507</v>
      </c>
      <c r="Y30" s="9">
        <v>73515</v>
      </c>
      <c r="Z30" s="9">
        <v>168055</v>
      </c>
      <c r="AA30" s="10">
        <v>1159</v>
      </c>
    </row>
    <row r="31" spans="1:27" x14ac:dyDescent="0.25">
      <c r="A31" t="s">
        <v>1753</v>
      </c>
      <c r="B31" s="9">
        <v>145</v>
      </c>
      <c r="C31" t="s">
        <v>635</v>
      </c>
      <c r="D31" t="s">
        <v>1749</v>
      </c>
      <c r="F31" s="9">
        <f t="shared" si="1"/>
        <v>0</v>
      </c>
      <c r="H31" s="9">
        <f t="shared" si="2"/>
        <v>0</v>
      </c>
      <c r="J31" s="9">
        <f t="shared" si="3"/>
        <v>0</v>
      </c>
      <c r="M31">
        <v>79</v>
      </c>
      <c r="N31">
        <f t="shared" si="4"/>
        <v>79</v>
      </c>
      <c r="O31" s="9">
        <f t="shared" si="5"/>
        <v>11455</v>
      </c>
      <c r="P31" s="10">
        <v>62</v>
      </c>
      <c r="Q31" s="10">
        <v>86</v>
      </c>
      <c r="R31" s="10">
        <v>104</v>
      </c>
      <c r="S31" s="10">
        <f t="shared" si="0"/>
        <v>252</v>
      </c>
      <c r="T31" s="9">
        <v>36540</v>
      </c>
      <c r="U31" s="10">
        <v>58</v>
      </c>
      <c r="V31" s="10">
        <v>99</v>
      </c>
      <c r="W31" s="10">
        <v>102</v>
      </c>
      <c r="X31" s="10">
        <v>259</v>
      </c>
      <c r="Y31" s="9">
        <v>37555</v>
      </c>
      <c r="Z31" s="9">
        <v>85550</v>
      </c>
      <c r="AA31" s="10">
        <v>590</v>
      </c>
    </row>
    <row r="32" spans="1:27" x14ac:dyDescent="0.25">
      <c r="A32" t="s">
        <v>1754</v>
      </c>
      <c r="B32" s="9">
        <v>144</v>
      </c>
      <c r="C32" t="s">
        <v>813</v>
      </c>
      <c r="D32" t="s">
        <v>1749</v>
      </c>
      <c r="F32" s="9">
        <f>E32*B32</f>
        <v>0</v>
      </c>
      <c r="H32" s="9">
        <f>G32*B32</f>
        <v>0</v>
      </c>
      <c r="J32" s="9">
        <f>I32*B32</f>
        <v>0</v>
      </c>
      <c r="N32">
        <f>SUM(K32:M32)</f>
        <v>0</v>
      </c>
      <c r="O32" s="9">
        <f>N32*B32</f>
        <v>0</v>
      </c>
      <c r="P32" s="10">
        <v>80</v>
      </c>
      <c r="Q32" s="10">
        <v>295</v>
      </c>
      <c r="R32" s="10">
        <v>387</v>
      </c>
      <c r="S32" s="10">
        <f t="shared" si="0"/>
        <v>762</v>
      </c>
      <c r="T32" s="9">
        <v>109728</v>
      </c>
      <c r="U32" s="10">
        <v>168</v>
      </c>
      <c r="V32" s="10">
        <v>458</v>
      </c>
      <c r="W32" s="10">
        <v>519</v>
      </c>
      <c r="X32" s="10">
        <v>1145</v>
      </c>
      <c r="Y32" s="9">
        <v>164880</v>
      </c>
      <c r="Z32" s="9">
        <v>274608</v>
      </c>
      <c r="AA32" s="10">
        <v>1907</v>
      </c>
    </row>
    <row r="33" spans="1:27" x14ac:dyDescent="0.25">
      <c r="A33" t="s">
        <v>2008</v>
      </c>
      <c r="B33" s="9">
        <v>0</v>
      </c>
      <c r="C33" t="s">
        <v>595</v>
      </c>
      <c r="D33" t="s">
        <v>2009</v>
      </c>
      <c r="F33" s="9">
        <f>E33*B33</f>
        <v>0</v>
      </c>
      <c r="H33" s="9">
        <f>G33*B33</f>
        <v>0</v>
      </c>
      <c r="J33" s="9">
        <f>I33*B33</f>
        <v>0</v>
      </c>
      <c r="N33">
        <f>SUM(K33:M33)</f>
        <v>0</v>
      </c>
      <c r="O33" s="9">
        <f>N33*B33</f>
        <v>0</v>
      </c>
      <c r="P33" s="10"/>
      <c r="Q33" s="10"/>
      <c r="R33" s="10"/>
      <c r="S33" s="10">
        <f>SUM(P33:R33)</f>
        <v>0</v>
      </c>
      <c r="T33" s="9">
        <v>0</v>
      </c>
      <c r="U33" s="10">
        <v>0</v>
      </c>
      <c r="V33" s="10">
        <v>0</v>
      </c>
      <c r="W33" s="10">
        <v>69</v>
      </c>
      <c r="X33" s="10">
        <v>69</v>
      </c>
      <c r="Y33" s="9">
        <v>0</v>
      </c>
      <c r="Z33" s="9">
        <v>0</v>
      </c>
      <c r="AA33" s="10">
        <v>69</v>
      </c>
    </row>
    <row r="34" spans="1:27" x14ac:dyDescent="0.25">
      <c r="A34" t="s">
        <v>1755</v>
      </c>
      <c r="E34">
        <f>SUM(E3:E33)</f>
        <v>1842</v>
      </c>
      <c r="F34" s="64">
        <f>SUM(F3:F33)</f>
        <v>167043</v>
      </c>
      <c r="G34" s="55">
        <f>SUM(G3:G33)</f>
        <v>8360</v>
      </c>
      <c r="H34" s="14">
        <f>SUM(H3:H32)</f>
        <v>929648</v>
      </c>
      <c r="I34" s="55">
        <f>SUM(I3:I33)</f>
        <v>17945</v>
      </c>
      <c r="J34" s="14">
        <f>SUM(J3:J32)</f>
        <v>2004535</v>
      </c>
      <c r="K34" s="55">
        <f>SUM(K3:K33)</f>
        <v>3326</v>
      </c>
      <c r="L34" s="55">
        <f>SUM(L3:L33)</f>
        <v>10624</v>
      </c>
      <c r="M34" s="55">
        <f>SUM(M3:M33)</f>
        <v>11109</v>
      </c>
      <c r="N34" s="6">
        <f>SUM(N3:N32)</f>
        <v>23989</v>
      </c>
      <c r="O34" s="14">
        <f>SUM(O3:O32)</f>
        <v>2910024</v>
      </c>
      <c r="P34" s="55">
        <f>SUM(P3:P33)</f>
        <v>4782</v>
      </c>
      <c r="Q34" s="55">
        <f>SUM(Q3:Q33)</f>
        <v>12587</v>
      </c>
      <c r="R34" s="55">
        <f>SUM(R3:R33)</f>
        <v>13657</v>
      </c>
      <c r="S34" s="55">
        <f>SUM(S3:S33)</f>
        <v>31026</v>
      </c>
      <c r="T34" s="64">
        <f>SUM(T3:T33)</f>
        <v>3981456</v>
      </c>
      <c r="U34" s="14"/>
      <c r="V34" s="14"/>
      <c r="W34" s="14"/>
      <c r="X34" s="65">
        <f>SUM(X3:X33)</f>
        <v>36654</v>
      </c>
      <c r="Y34" s="14">
        <f>SUM(Y3:Y33)</f>
        <v>4142342</v>
      </c>
      <c r="Z34" s="14">
        <f>SUM(Z3:Z32)</f>
        <v>13328536</v>
      </c>
      <c r="AA34" s="6">
        <f>SUM(AA3:AA32)</f>
        <v>119747</v>
      </c>
    </row>
  </sheetData>
  <phoneticPr fontId="24" type="noConversion"/>
  <hyperlinks>
    <hyperlink ref="A1" r:id="rId1" xr:uid="{00000000-0004-0000-0300-000000000000}"/>
    <hyperlink ref="J1" r:id="rId2" location="page=103" xr:uid="{00000000-0004-0000-0300-000001000000}"/>
  </hyperlinks>
  <pageMargins left="0.7" right="0.7" top="0.75" bottom="0.75" header="0.3" footer="0.3"/>
  <pageSetup orientation="portrait" horizontalDpi="1200" verticalDpi="1200"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
  <sheetViews>
    <sheetView workbookViewId="0">
      <selection activeCell="B8" sqref="B8"/>
    </sheetView>
  </sheetViews>
  <sheetFormatPr defaultRowHeight="15" x14ac:dyDescent="0.25"/>
  <cols>
    <col min="1" max="1" width="45.7109375" bestFit="1" customWidth="1"/>
    <col min="2" max="2" width="17.85546875" bestFit="1" customWidth="1"/>
    <col min="3" max="3" width="12.7109375" customWidth="1"/>
    <col min="4" max="4" width="9.5703125" customWidth="1"/>
    <col min="5" max="7" width="11.28515625" customWidth="1"/>
    <col min="8" max="8" width="11.28515625" bestFit="1" customWidth="1"/>
  </cols>
  <sheetData>
    <row r="1" spans="1:2" x14ac:dyDescent="0.25">
      <c r="A1" s="2" t="s">
        <v>1756</v>
      </c>
      <c r="B1" t="s">
        <v>118</v>
      </c>
    </row>
    <row r="2" spans="1:2" x14ac:dyDescent="0.25">
      <c r="A2" s="3" t="s">
        <v>1757</v>
      </c>
      <c r="B2" t="s">
        <v>962</v>
      </c>
    </row>
    <row r="3" spans="1:2" x14ac:dyDescent="0.25">
      <c r="A3" s="4" t="s">
        <v>1095</v>
      </c>
      <c r="B3" t="s">
        <v>1248</v>
      </c>
    </row>
    <row r="5" spans="1:2" x14ac:dyDescent="0.25">
      <c r="A5" s="5" t="s">
        <v>130</v>
      </c>
      <c r="B5" t="s">
        <v>1758</v>
      </c>
    </row>
    <row r="6" spans="1:2" x14ac:dyDescent="0.25">
      <c r="A6" s="5" t="s">
        <v>142</v>
      </c>
      <c r="B6" t="s">
        <v>1759</v>
      </c>
    </row>
    <row r="7" spans="1:2" x14ac:dyDescent="0.25">
      <c r="A7" s="18" t="s">
        <v>1783</v>
      </c>
      <c r="B7" t="s">
        <v>1784</v>
      </c>
    </row>
    <row r="8" spans="1:2" x14ac:dyDescent="0.25">
      <c r="A8" s="13" t="s">
        <v>964</v>
      </c>
      <c r="B8" t="s">
        <v>1760</v>
      </c>
    </row>
    <row r="9" spans="1:2" x14ac:dyDescent="0.25">
      <c r="A9" s="16" t="s">
        <v>1777</v>
      </c>
      <c r="B9" t="s">
        <v>1778</v>
      </c>
    </row>
    <row r="11" spans="1:2" x14ac:dyDescent="0.25">
      <c r="A11" s="46" t="s">
        <v>1761</v>
      </c>
      <c r="B11" t="s">
        <v>1762</v>
      </c>
    </row>
    <row r="12" spans="1:2" x14ac:dyDescent="0.25">
      <c r="A12" s="1" t="s">
        <v>130</v>
      </c>
      <c r="B12" s="50">
        <v>290</v>
      </c>
    </row>
    <row r="13" spans="1:2" x14ac:dyDescent="0.25">
      <c r="A13" s="1" t="s">
        <v>142</v>
      </c>
      <c r="B13" s="50">
        <v>27</v>
      </c>
    </row>
    <row r="14" spans="1:2" x14ac:dyDescent="0.25">
      <c r="A14" s="1" t="s">
        <v>964</v>
      </c>
      <c r="B14" s="50">
        <v>129</v>
      </c>
    </row>
    <row r="15" spans="1:2" x14ac:dyDescent="0.25">
      <c r="A15" s="1" t="s">
        <v>141</v>
      </c>
      <c r="B15" s="50">
        <v>1</v>
      </c>
    </row>
    <row r="16" spans="1:2" x14ac:dyDescent="0.25">
      <c r="A16" s="1" t="s">
        <v>2196</v>
      </c>
      <c r="B16" s="50"/>
    </row>
    <row r="17" spans="1:8" x14ac:dyDescent="0.25">
      <c r="A17" s="1" t="s">
        <v>1783</v>
      </c>
      <c r="B17" s="50">
        <v>4</v>
      </c>
    </row>
    <row r="18" spans="1:8" x14ac:dyDescent="0.25">
      <c r="A18" s="1" t="s">
        <v>1701</v>
      </c>
      <c r="B18" s="50">
        <v>451</v>
      </c>
    </row>
    <row r="19" spans="1:8" x14ac:dyDescent="0.25">
      <c r="A19" s="46" t="s">
        <v>26</v>
      </c>
      <c r="B19" t="s">
        <v>1763</v>
      </c>
    </row>
    <row r="21" spans="1:8" x14ac:dyDescent="0.25">
      <c r="A21" s="46" t="s">
        <v>1762</v>
      </c>
      <c r="B21" s="46" t="s">
        <v>1764</v>
      </c>
    </row>
    <row r="22" spans="1:8" x14ac:dyDescent="0.25">
      <c r="A22" s="46" t="s">
        <v>1761</v>
      </c>
      <c r="B22" t="s">
        <v>130</v>
      </c>
      <c r="C22" t="s">
        <v>142</v>
      </c>
      <c r="D22" t="s">
        <v>141</v>
      </c>
      <c r="E22" t="s">
        <v>1701</v>
      </c>
      <c r="F22" t="s">
        <v>1765</v>
      </c>
      <c r="G22" t="s">
        <v>1766</v>
      </c>
    </row>
    <row r="23" spans="1:8" x14ac:dyDescent="0.25">
      <c r="A23" s="1" t="s">
        <v>139</v>
      </c>
      <c r="B23" s="50">
        <v>2</v>
      </c>
      <c r="C23" s="50">
        <v>2</v>
      </c>
      <c r="D23" s="50"/>
      <c r="E23" s="50">
        <v>4</v>
      </c>
      <c r="F23" s="47">
        <f>C23/E23</f>
        <v>0.5</v>
      </c>
      <c r="H23" s="47"/>
    </row>
    <row r="24" spans="1:8" x14ac:dyDescent="0.25">
      <c r="A24" s="1" t="s">
        <v>127</v>
      </c>
      <c r="B24" s="50">
        <v>15</v>
      </c>
      <c r="C24" s="50">
        <v>2</v>
      </c>
      <c r="D24" s="50"/>
      <c r="E24" s="50">
        <v>17</v>
      </c>
      <c r="F24" s="47">
        <f t="shared" ref="F24:F25" si="0">C24/E24</f>
        <v>0.11764705882352941</v>
      </c>
      <c r="H24" s="47"/>
    </row>
    <row r="25" spans="1:8" x14ac:dyDescent="0.25">
      <c r="A25" s="1" t="s">
        <v>150</v>
      </c>
      <c r="B25" s="50">
        <v>143</v>
      </c>
      <c r="C25" s="50">
        <v>19</v>
      </c>
      <c r="D25" s="50">
        <v>1</v>
      </c>
      <c r="E25" s="50">
        <v>163</v>
      </c>
      <c r="F25" s="47">
        <f t="shared" si="0"/>
        <v>0.1165644171779141</v>
      </c>
      <c r="H25" s="47"/>
    </row>
    <row r="26" spans="1:8" x14ac:dyDescent="0.25">
      <c r="A26" s="1" t="s">
        <v>1701</v>
      </c>
      <c r="B26" s="50">
        <v>160</v>
      </c>
      <c r="C26" s="50">
        <v>23</v>
      </c>
      <c r="D26" s="50">
        <v>1</v>
      </c>
      <c r="E26" s="50">
        <v>184</v>
      </c>
      <c r="H26" s="47"/>
    </row>
    <row r="27" spans="1:8" x14ac:dyDescent="0.25">
      <c r="H27" s="47"/>
    </row>
  </sheetData>
  <conditionalFormatting sqref="A5:A6 A8">
    <cfRule type="containsText" dxfId="115" priority="1" operator="containsText" text="Discontinued">
      <formula>NOT(ISERROR(SEARCH("Discontinued",A5)))</formula>
    </cfRule>
    <cfRule type="containsText" dxfId="114" priority="2" operator="containsText" text="In Question">
      <formula>NOT(ISERROR(SEARCH("In Question",A5)))</formula>
    </cfRule>
    <cfRule type="containsText" dxfId="113" priority="3" operator="containsText" text="Continued">
      <formula>NOT(ISERROR(SEARCH("Continued",A5)))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haredWithUsers xmlns="7dcc4a76-b6f0-4a5c-8242-557922f7abb0">
      <UserInfo>
        <DisplayName>Jason A. Matt</DisplayName>
        <AccountId>160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22C76DF9BD8349B0CA3C9A1AA4C548" ma:contentTypeVersion="112" ma:contentTypeDescription="Create a new document." ma:contentTypeScope="" ma:versionID="3ba740bbfea08ad42b5fb892d4577724">
  <xsd:schema xmlns:xsd="http://www.w3.org/2001/XMLSchema" xmlns:xs="http://www.w3.org/2001/XMLSchema" xmlns:p="http://schemas.microsoft.com/office/2006/metadata/properties" xmlns:ns3="http://schemas.microsoft.com/sharepoint/v4" xmlns:ns4="9fff0862-dda6-4fd7-9437-296e7a0fcd45" xmlns:ns5="7dcc4a76-b6f0-4a5c-8242-557922f7abb0" targetNamespace="http://schemas.microsoft.com/office/2006/metadata/properties" ma:root="true" ma:fieldsID="f7fd287cc537a47f0d39eda5b7439aef" ns3:_="" ns4:_="" ns5:_="">
    <xsd:import namespace="http://schemas.microsoft.com/sharepoint/v4"/>
    <xsd:import namespace="9fff0862-dda6-4fd7-9437-296e7a0fcd45"/>
    <xsd:import namespace="7dcc4a76-b6f0-4a5c-8242-557922f7abb0"/>
    <xsd:element name="properties">
      <xsd:complexType>
        <xsd:sequence>
          <xsd:element name="documentManagement">
            <xsd:complexType>
              <xsd:all>
                <xsd:element ref="ns3:IconOverlay" minOccurs="0"/>
                <xsd:element ref="ns4:MediaServiceMetadata" minOccurs="0"/>
                <xsd:element ref="ns4:MediaServiceFastMetadata" minOccurs="0"/>
                <xsd:element ref="ns4:MediaServiceAutoTags" minOccurs="0"/>
                <xsd:element ref="ns4:MediaServiceDateTaken" minOccurs="0"/>
                <xsd:element ref="ns5:SharedWithUsers" minOccurs="0"/>
                <xsd:element ref="ns5:SharedWithDetail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ff0862-dda6-4fd7-9437-296e7a0fcd4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cc4a76-b6f0-4a5c-8242-557922f7abb0"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B06176EF-D8AC-47F1-8EB9-4ACBF4D460EC}">
  <ds:schemaRefs>
    <ds:schemaRef ds:uri="http://www.w3.org/XML/1998/namespace"/>
    <ds:schemaRef ds:uri="http://schemas.microsoft.com/office/2006/documentManagement/types"/>
    <ds:schemaRef ds:uri="7dcc4a76-b6f0-4a5c-8242-557922f7abb0"/>
    <ds:schemaRef ds:uri="http://schemas.microsoft.com/office/infopath/2007/PartnerControls"/>
    <ds:schemaRef ds:uri="http://purl.org/dc/terms/"/>
    <ds:schemaRef ds:uri="9fff0862-dda6-4fd7-9437-296e7a0fcd45"/>
    <ds:schemaRef ds:uri="http://schemas.openxmlformats.org/package/2006/metadata/core-properties"/>
    <ds:schemaRef ds:uri="http://schemas.microsoft.com/sharepoint/v4"/>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B86D026D-00AB-46E3-8EFF-2B2F1A0CE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9fff0862-dda6-4fd7-9437-296e7a0fcd45"/>
    <ds:schemaRef ds:uri="7dcc4a76-b6f0-4a5c-8242-557922f7ab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387092-3344-434C-A818-6B5642953744}">
  <ds:schemaRefs>
    <ds:schemaRef ds:uri="http://schemas.microsoft.com/sharepoint/v3/contenttype/forms"/>
  </ds:schemaRefs>
</ds:datastoreItem>
</file>

<file path=customXml/itemProps4.xml><?xml version="1.0" encoding="utf-8"?>
<ds:datastoreItem xmlns:ds="http://schemas.openxmlformats.org/officeDocument/2006/customXml" ds:itemID="{70CAAC25-93EE-412B-B4E4-4A20912DC5D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Savings Tables</vt:lpstr>
      <vt:lpstr>Grants Data</vt:lpstr>
      <vt:lpstr>By Fiscal Year</vt:lpstr>
      <vt:lpstr>SC4 Pivot</vt:lpstr>
      <vt:lpstr>Institution Ranks</vt:lpstr>
      <vt:lpstr>Designator Summary</vt:lpstr>
      <vt:lpstr>eCore Savings Data</vt:lpstr>
      <vt:lpstr>Data Types</vt:lpstr>
    </vt:vector>
  </TitlesOfParts>
  <Manager/>
  <Company>University System of Georgia Board of Regents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Gallant</dc:creator>
  <cp:keywords/>
  <dc:description/>
  <cp:lastModifiedBy>Jeff Gallant</cp:lastModifiedBy>
  <cp:revision/>
  <dcterms:created xsi:type="dcterms:W3CDTF">2018-04-09T19:28:56Z</dcterms:created>
  <dcterms:modified xsi:type="dcterms:W3CDTF">2021-04-02T12:34:55Z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0x0101007222C76DF9BD8349B0CA3C9A1AA4C548</vt:lpwstr>
  </property>
  <property fmtid="{D5CDD505-2E9C-101B-9397-08002B2CF9AE}" pid="3" name="AuthorIds_UIVersion_254">
    <vt:lpwstr>125</vt:lpwstr>
  </property>
  <property fmtid="{D5CDD505-2E9C-101B-9397-08002B2CF9AE}" pid="4" name="e1a5b98cdd71426dacb6e478c7a5882f">
    <vt:lpwstr/>
  </property>
  <property fmtid="{D5CDD505-2E9C-101B-9397-08002B2CF9AE}" pid="5" name="TaxCatchAll">
    <vt:lpwstr/>
  </property>
  <property fmtid="{D5CDD505-2E9C-101B-9397-08002B2CF9AE}" pid="6" name="Wiki_x0020_Page_x0020_Categories">
    <vt:lpwstr/>
  </property>
  <property fmtid="{D5CDD505-2E9C-101B-9397-08002B2CF9AE}" pid="7" name="Wiki Page Categories">
    <vt:lpwstr/>
  </property>
</Properties>
</file>